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blais\Downloads\"/>
    </mc:Choice>
  </mc:AlternateContent>
  <bookViews>
    <workbookView xWindow="0" yWindow="0" windowWidth="28800" windowHeight="12000" activeTab="4"/>
  </bookViews>
  <sheets>
    <sheet name="2023" sheetId="4" r:id="rId1"/>
    <sheet name="2024" sheetId="1" r:id="rId2"/>
    <sheet name="Feuil1" sheetId="2" r:id="rId3"/>
    <sheet name="STATS" sheetId="5" r:id="rId4"/>
    <sheet name="GRAPHIQUES" sheetId="3" r:id="rId5"/>
  </sheets>
  <externalReferences>
    <externalReference r:id="rId6"/>
  </externalReferences>
  <definedNames>
    <definedName name="_xlnm._FilterDatabase" localSheetId="1" hidden="1">'2024'!$A$1:$X$1135</definedName>
  </definedNames>
  <calcPr calcId="162913"/>
</workbook>
</file>

<file path=xl/calcChain.xml><?xml version="1.0" encoding="utf-8"?>
<calcChain xmlns="http://schemas.openxmlformats.org/spreadsheetml/2006/main">
  <c r="J190" i="1" l="1"/>
  <c r="K190" i="1"/>
  <c r="N190" i="1"/>
  <c r="P190" i="1"/>
  <c r="R190" i="1"/>
  <c r="K224" i="1" l="1"/>
  <c r="K181" i="1"/>
  <c r="K18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188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185" i="1"/>
  <c r="K182" i="1"/>
  <c r="K252" i="1"/>
  <c r="K253" i="1"/>
  <c r="K254" i="1"/>
  <c r="K255" i="1"/>
  <c r="K256" i="1"/>
  <c r="K257" i="1"/>
  <c r="K258" i="1"/>
  <c r="K259" i="1"/>
  <c r="K260" i="1"/>
  <c r="K261" i="1"/>
  <c r="K262" i="1"/>
  <c r="K187" i="1"/>
  <c r="K263" i="1"/>
  <c r="K265" i="1"/>
  <c r="K266" i="1"/>
  <c r="K267" i="1"/>
  <c r="K268" i="1"/>
  <c r="K269" i="1"/>
  <c r="K270" i="1"/>
  <c r="K271" i="1"/>
  <c r="K272" i="1"/>
  <c r="K273" i="1"/>
  <c r="K274" i="1"/>
  <c r="J216" i="1"/>
  <c r="J217" i="1"/>
  <c r="J218" i="1"/>
  <c r="J219" i="1"/>
  <c r="J189" i="1"/>
  <c r="J220" i="1"/>
  <c r="J221" i="1"/>
  <c r="J222" i="1"/>
  <c r="J183" i="1"/>
  <c r="J223" i="1"/>
  <c r="J224" i="1"/>
  <c r="J181" i="1"/>
  <c r="J18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188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185" i="1"/>
  <c r="J182" i="1"/>
  <c r="J252" i="1"/>
  <c r="J253" i="1"/>
  <c r="J254" i="1"/>
  <c r="J255" i="1"/>
  <c r="J256" i="1"/>
  <c r="J257" i="1"/>
  <c r="J258" i="1"/>
  <c r="J259" i="1"/>
  <c r="J260" i="1"/>
  <c r="J261" i="1"/>
  <c r="J262" i="1"/>
  <c r="J187" i="1"/>
  <c r="J263" i="1"/>
  <c r="J265" i="1"/>
  <c r="J266" i="1"/>
  <c r="J267" i="1"/>
  <c r="J268" i="1"/>
  <c r="J269" i="1"/>
  <c r="J270" i="1"/>
  <c r="J271" i="1"/>
  <c r="J272" i="1"/>
  <c r="J273" i="1"/>
  <c r="J274" i="1"/>
  <c r="N263" i="1"/>
  <c r="H263" i="1"/>
  <c r="P263" i="1" l="1"/>
  <c r="R263" i="1" s="1"/>
  <c r="P193" i="1"/>
  <c r="R193" i="1"/>
  <c r="P194" i="1"/>
  <c r="R194" i="1"/>
  <c r="P195" i="1"/>
  <c r="R195" i="1"/>
  <c r="P196" i="1"/>
  <c r="R196" i="1"/>
  <c r="P197" i="1"/>
  <c r="R197" i="1"/>
  <c r="P198" i="1"/>
  <c r="R198" i="1"/>
  <c r="P199" i="1"/>
  <c r="R199" i="1"/>
  <c r="P200" i="1"/>
  <c r="R200" i="1"/>
  <c r="P201" i="1"/>
  <c r="R201" i="1"/>
  <c r="P202" i="1"/>
  <c r="R202" i="1"/>
  <c r="P203" i="1"/>
  <c r="R203" i="1"/>
  <c r="P204" i="1"/>
  <c r="R204" i="1"/>
  <c r="P205" i="1"/>
  <c r="R205" i="1"/>
  <c r="P206" i="1"/>
  <c r="R206" i="1"/>
  <c r="P207" i="1"/>
  <c r="R207" i="1"/>
  <c r="P208" i="1"/>
  <c r="R208" i="1"/>
  <c r="P209" i="1"/>
  <c r="R209" i="1"/>
  <c r="P210" i="1"/>
  <c r="R210" i="1"/>
  <c r="P211" i="1"/>
  <c r="R211" i="1"/>
  <c r="P212" i="1"/>
  <c r="R212" i="1"/>
  <c r="P213" i="1"/>
  <c r="R213" i="1"/>
  <c r="P214" i="1"/>
  <c r="R214" i="1"/>
  <c r="P215" i="1"/>
  <c r="R215" i="1"/>
  <c r="P216" i="1"/>
  <c r="R216" i="1"/>
  <c r="P217" i="1"/>
  <c r="R217" i="1"/>
  <c r="P218" i="1"/>
  <c r="R218" i="1"/>
  <c r="P219" i="1"/>
  <c r="R219" i="1"/>
  <c r="P220" i="1"/>
  <c r="R220" i="1"/>
  <c r="P221" i="1"/>
  <c r="R221" i="1"/>
  <c r="P222" i="1"/>
  <c r="R222" i="1"/>
  <c r="P223" i="1"/>
  <c r="R223" i="1"/>
  <c r="P224" i="1"/>
  <c r="R224" i="1"/>
  <c r="P225" i="1"/>
  <c r="R225" i="1"/>
  <c r="P226" i="1"/>
  <c r="R226" i="1"/>
  <c r="P227" i="1"/>
  <c r="R227" i="1"/>
  <c r="P228" i="1"/>
  <c r="R228" i="1"/>
  <c r="P229" i="1"/>
  <c r="R229" i="1"/>
  <c r="P230" i="1"/>
  <c r="R230" i="1"/>
  <c r="P231" i="1"/>
  <c r="R231" i="1"/>
  <c r="P232" i="1"/>
  <c r="R232" i="1"/>
  <c r="P233" i="1"/>
  <c r="R233" i="1"/>
  <c r="P234" i="1"/>
  <c r="R234" i="1"/>
  <c r="P235" i="1"/>
  <c r="R235" i="1"/>
  <c r="P236" i="1"/>
  <c r="R236" i="1"/>
  <c r="P237" i="1"/>
  <c r="R237" i="1"/>
  <c r="P238" i="1"/>
  <c r="R238" i="1"/>
  <c r="P239" i="1"/>
  <c r="R239" i="1"/>
  <c r="P240" i="1"/>
  <c r="R240" i="1"/>
  <c r="P241" i="1"/>
  <c r="R241" i="1"/>
  <c r="P242" i="1"/>
  <c r="R242" i="1"/>
  <c r="P243" i="1"/>
  <c r="R243" i="1"/>
  <c r="P244" i="1"/>
  <c r="R244" i="1"/>
  <c r="P245" i="1"/>
  <c r="R245" i="1"/>
  <c r="P246" i="1"/>
  <c r="R246" i="1"/>
  <c r="P247" i="1"/>
  <c r="R247" i="1"/>
  <c r="P248" i="1"/>
  <c r="R248" i="1"/>
  <c r="P249" i="1"/>
  <c r="R249" i="1"/>
  <c r="P250" i="1"/>
  <c r="R250" i="1"/>
  <c r="P251" i="1"/>
  <c r="R251" i="1"/>
  <c r="P252" i="1"/>
  <c r="R252" i="1"/>
  <c r="P253" i="1"/>
  <c r="R253" i="1"/>
  <c r="P254" i="1"/>
  <c r="R254" i="1"/>
  <c r="P255" i="1"/>
  <c r="R255" i="1"/>
  <c r="P256" i="1"/>
  <c r="R256" i="1"/>
  <c r="P257" i="1"/>
  <c r="R257" i="1"/>
  <c r="P258" i="1"/>
  <c r="R258" i="1"/>
  <c r="P259" i="1"/>
  <c r="R259" i="1"/>
  <c r="P260" i="1"/>
  <c r="R260" i="1"/>
  <c r="P261" i="1"/>
  <c r="R261" i="1"/>
  <c r="P262" i="1"/>
  <c r="R262" i="1"/>
  <c r="P265" i="1"/>
  <c r="R265" i="1"/>
  <c r="P266" i="1"/>
  <c r="R266" i="1"/>
  <c r="P267" i="1"/>
  <c r="R267" i="1"/>
  <c r="P268" i="1"/>
  <c r="R268" i="1"/>
  <c r="P269" i="1"/>
  <c r="R269" i="1"/>
  <c r="P270" i="1"/>
  <c r="R270" i="1"/>
  <c r="P271" i="1"/>
  <c r="R271" i="1"/>
  <c r="P272" i="1"/>
  <c r="R272" i="1"/>
  <c r="P273" i="1"/>
  <c r="R273" i="1"/>
  <c r="P274" i="1"/>
  <c r="R274" i="1"/>
  <c r="N259" i="1"/>
  <c r="O259" i="1" s="1"/>
  <c r="N260" i="1"/>
  <c r="O260" i="1" s="1"/>
  <c r="N261" i="1"/>
  <c r="O261" i="1" s="1"/>
  <c r="N262" i="1"/>
  <c r="O262" i="1" s="1"/>
  <c r="N187" i="1"/>
  <c r="O187" i="1" s="1"/>
  <c r="N265" i="1"/>
  <c r="O265" i="1" s="1"/>
  <c r="N266" i="1"/>
  <c r="O266" i="1" s="1"/>
  <c r="N267" i="1"/>
  <c r="O267" i="1" s="1"/>
  <c r="N268" i="1"/>
  <c r="O268" i="1" s="1"/>
  <c r="N269" i="1"/>
  <c r="O269" i="1" s="1"/>
  <c r="N270" i="1"/>
  <c r="O270" i="1" s="1"/>
  <c r="N271" i="1"/>
  <c r="O271" i="1" s="1"/>
  <c r="N272" i="1"/>
  <c r="O272" i="1" s="1"/>
  <c r="N273" i="1"/>
  <c r="O273" i="1" s="1"/>
  <c r="N274" i="1"/>
  <c r="O274" i="1" s="1"/>
  <c r="N191" i="1"/>
  <c r="O191" i="1" s="1"/>
  <c r="P187" i="1" l="1"/>
  <c r="P191" i="1"/>
  <c r="R191" i="1" s="1"/>
  <c r="L305" i="1"/>
  <c r="X262" i="4" l="1" a="1"/>
  <c r="X262" i="4" s="1"/>
  <c r="W262" i="4" a="1"/>
  <c r="W262" i="4" s="1"/>
  <c r="V262" i="4" a="1"/>
  <c r="V262" i="4" s="1"/>
  <c r="U262" i="4" a="1"/>
  <c r="U262" i="4" s="1"/>
  <c r="T262" i="4" a="1"/>
  <c r="T262" i="4" s="1"/>
  <c r="S262" i="4"/>
  <c r="R262" i="4"/>
  <c r="Q262" i="4"/>
  <c r="P262" i="4"/>
  <c r="O262" i="4"/>
  <c r="N262" i="4"/>
  <c r="M262" i="4"/>
  <c r="X261" i="4" a="1"/>
  <c r="X261" i="4" s="1"/>
  <c r="W261" i="4" a="1"/>
  <c r="W261" i="4" s="1"/>
  <c r="V261" i="4" a="1"/>
  <c r="V261" i="4" s="1"/>
  <c r="U261" i="4" a="1"/>
  <c r="U261" i="4" s="1"/>
  <c r="T261" i="4" a="1"/>
  <c r="T261" i="4" s="1"/>
  <c r="S261" i="4"/>
  <c r="R261" i="4"/>
  <c r="Q261" i="4"/>
  <c r="P261" i="4"/>
  <c r="O261" i="4"/>
  <c r="N261" i="4"/>
  <c r="M261" i="4"/>
  <c r="E252" i="4"/>
  <c r="R249" i="4"/>
  <c r="E253" i="4" s="1"/>
  <c r="P249" i="4"/>
  <c r="M249" i="4"/>
  <c r="E260" i="4" s="1"/>
  <c r="H248" i="4"/>
  <c r="E259" i="4" s="1"/>
  <c r="F248" i="4"/>
  <c r="S245" i="4"/>
  <c r="Q245" i="4"/>
  <c r="O245" i="4"/>
  <c r="L245" i="4"/>
  <c r="K245" i="4"/>
  <c r="I245" i="4"/>
  <c r="S244" i="4"/>
  <c r="Q244" i="4"/>
  <c r="O244" i="4"/>
  <c r="L244" i="4"/>
  <c r="K244" i="4"/>
  <c r="I244" i="4"/>
  <c r="S243" i="4"/>
  <c r="Q243" i="4"/>
  <c r="O243" i="4"/>
  <c r="L243" i="4"/>
  <c r="K243" i="4"/>
  <c r="S242" i="4"/>
  <c r="Q242" i="4"/>
  <c r="O242" i="4"/>
  <c r="L242" i="4"/>
  <c r="K242" i="4"/>
  <c r="I242" i="4"/>
  <c r="S241" i="4"/>
  <c r="Q241" i="4"/>
  <c r="O241" i="4"/>
  <c r="L241" i="4"/>
  <c r="K241" i="4"/>
  <c r="I241" i="4"/>
  <c r="S240" i="4"/>
  <c r="Q240" i="4"/>
  <c r="O240" i="4"/>
  <c r="L240" i="4"/>
  <c r="K240" i="4"/>
  <c r="I240" i="4"/>
  <c r="S239" i="4"/>
  <c r="Q239" i="4"/>
  <c r="O239" i="4"/>
  <c r="L239" i="4"/>
  <c r="K239" i="4"/>
  <c r="I239" i="4"/>
  <c r="S238" i="4"/>
  <c r="Q238" i="4"/>
  <c r="O238" i="4"/>
  <c r="L238" i="4"/>
  <c r="K238" i="4"/>
  <c r="I238" i="4"/>
  <c r="S237" i="4"/>
  <c r="Q237" i="4"/>
  <c r="O237" i="4"/>
  <c r="L237" i="4"/>
  <c r="K237" i="4"/>
  <c r="I237" i="4"/>
  <c r="S236" i="4"/>
  <c r="Q236" i="4"/>
  <c r="O236" i="4"/>
  <c r="L236" i="4"/>
  <c r="K236" i="4"/>
  <c r="I236" i="4"/>
  <c r="S235" i="4"/>
  <c r="Q235" i="4"/>
  <c r="O235" i="4"/>
  <c r="L235" i="4"/>
  <c r="K235" i="4"/>
  <c r="I235" i="4"/>
  <c r="S234" i="4"/>
  <c r="Q234" i="4"/>
  <c r="O234" i="4"/>
  <c r="L234" i="4"/>
  <c r="K234" i="4"/>
  <c r="I234" i="4"/>
  <c r="S233" i="4"/>
  <c r="Q233" i="4"/>
  <c r="O233" i="4"/>
  <c r="L233" i="4"/>
  <c r="K233" i="4"/>
  <c r="I233" i="4"/>
  <c r="S232" i="4"/>
  <c r="Q232" i="4"/>
  <c r="O232" i="4"/>
  <c r="L232" i="4"/>
  <c r="K232" i="4"/>
  <c r="I232" i="4"/>
  <c r="S231" i="4"/>
  <c r="Q231" i="4"/>
  <c r="O231" i="4"/>
  <c r="L231" i="4"/>
  <c r="K231" i="4"/>
  <c r="I231" i="4"/>
  <c r="S230" i="4"/>
  <c r="Q230" i="4"/>
  <c r="O230" i="4"/>
  <c r="L230" i="4"/>
  <c r="K230" i="4"/>
  <c r="I230" i="4"/>
  <c r="S229" i="4"/>
  <c r="Q229" i="4"/>
  <c r="O229" i="4"/>
  <c r="L229" i="4"/>
  <c r="K229" i="4"/>
  <c r="I229" i="4"/>
  <c r="S228" i="4"/>
  <c r="Q228" i="4"/>
  <c r="O228" i="4"/>
  <c r="L228" i="4"/>
  <c r="K228" i="4"/>
  <c r="I228" i="4"/>
  <c r="S227" i="4"/>
  <c r="Q227" i="4"/>
  <c r="O227" i="4"/>
  <c r="L227" i="4"/>
  <c r="K227" i="4"/>
  <c r="I227" i="4"/>
  <c r="S226" i="4"/>
  <c r="Q226" i="4"/>
  <c r="O226" i="4"/>
  <c r="L226" i="4"/>
  <c r="K226" i="4"/>
  <c r="I226" i="4"/>
  <c r="S225" i="4"/>
  <c r="Q225" i="4"/>
  <c r="O225" i="4"/>
  <c r="L225" i="4"/>
  <c r="K225" i="4"/>
  <c r="I225" i="4"/>
  <c r="S224" i="4"/>
  <c r="Q224" i="4"/>
  <c r="O224" i="4"/>
  <c r="L224" i="4"/>
  <c r="K224" i="4"/>
  <c r="I224" i="4"/>
  <c r="S223" i="4"/>
  <c r="Q223" i="4"/>
  <c r="O223" i="4"/>
  <c r="L223" i="4"/>
  <c r="K223" i="4"/>
  <c r="I223" i="4"/>
  <c r="S222" i="4"/>
  <c r="Q222" i="4"/>
  <c r="O222" i="4"/>
  <c r="L222" i="4"/>
  <c r="K222" i="4"/>
  <c r="I222" i="4"/>
  <c r="S221" i="4"/>
  <c r="Q221" i="4"/>
  <c r="O221" i="4"/>
  <c r="L221" i="4"/>
  <c r="K221" i="4"/>
  <c r="I221" i="4"/>
  <c r="S220" i="4"/>
  <c r="Q220" i="4"/>
  <c r="O220" i="4"/>
  <c r="L220" i="4"/>
  <c r="K220" i="4"/>
  <c r="I220" i="4"/>
  <c r="S219" i="4"/>
  <c r="Q219" i="4"/>
  <c r="O219" i="4"/>
  <c r="L219" i="4"/>
  <c r="K219" i="4"/>
  <c r="I219" i="4"/>
  <c r="S218" i="4"/>
  <c r="Q218" i="4"/>
  <c r="O218" i="4"/>
  <c r="L218" i="4"/>
  <c r="K218" i="4"/>
  <c r="I218" i="4"/>
  <c r="S217" i="4"/>
  <c r="Q217" i="4"/>
  <c r="O217" i="4"/>
  <c r="L217" i="4"/>
  <c r="K217" i="4"/>
  <c r="I217" i="4"/>
  <c r="S216" i="4"/>
  <c r="Q216" i="4"/>
  <c r="O216" i="4"/>
  <c r="L216" i="4"/>
  <c r="K216" i="4"/>
  <c r="I216" i="4"/>
  <c r="S215" i="4"/>
  <c r="Q215" i="4"/>
  <c r="O215" i="4"/>
  <c r="L215" i="4"/>
  <c r="K215" i="4"/>
  <c r="I215" i="4"/>
  <c r="S214" i="4"/>
  <c r="Q214" i="4"/>
  <c r="O214" i="4"/>
  <c r="L214" i="4"/>
  <c r="K214" i="4"/>
  <c r="I214" i="4"/>
  <c r="S213" i="4"/>
  <c r="Q213" i="4"/>
  <c r="O213" i="4"/>
  <c r="L213" i="4"/>
  <c r="K213" i="4"/>
  <c r="I213" i="4"/>
  <c r="S212" i="4"/>
  <c r="Q212" i="4"/>
  <c r="O212" i="4"/>
  <c r="L212" i="4"/>
  <c r="K212" i="4"/>
  <c r="I212" i="4"/>
  <c r="S211" i="4"/>
  <c r="Q211" i="4"/>
  <c r="O211" i="4"/>
  <c r="L211" i="4"/>
  <c r="K211" i="4"/>
  <c r="I211" i="4"/>
  <c r="S210" i="4"/>
  <c r="Q210" i="4"/>
  <c r="O210" i="4"/>
  <c r="L210" i="4"/>
  <c r="K210" i="4"/>
  <c r="I210" i="4"/>
  <c r="S209" i="4"/>
  <c r="Q209" i="4"/>
  <c r="O209" i="4"/>
  <c r="L209" i="4"/>
  <c r="K209" i="4"/>
  <c r="I209" i="4"/>
  <c r="S208" i="4"/>
  <c r="Q208" i="4"/>
  <c r="O208" i="4"/>
  <c r="L208" i="4"/>
  <c r="K208" i="4"/>
  <c r="I208" i="4"/>
  <c r="S207" i="4"/>
  <c r="Q207" i="4"/>
  <c r="O207" i="4"/>
  <c r="L207" i="4"/>
  <c r="K207" i="4"/>
  <c r="I207" i="4"/>
  <c r="S206" i="4"/>
  <c r="Q206" i="4"/>
  <c r="O206" i="4"/>
  <c r="L206" i="4"/>
  <c r="K206" i="4"/>
  <c r="I206" i="4"/>
  <c r="S205" i="4"/>
  <c r="Q205" i="4"/>
  <c r="O205" i="4"/>
  <c r="L205" i="4"/>
  <c r="K205" i="4"/>
  <c r="I205" i="4"/>
  <c r="S204" i="4"/>
  <c r="Q204" i="4"/>
  <c r="O204" i="4"/>
  <c r="L204" i="4"/>
  <c r="K204" i="4"/>
  <c r="I204" i="4"/>
  <c r="S203" i="4"/>
  <c r="Q203" i="4"/>
  <c r="O203" i="4"/>
  <c r="L203" i="4"/>
  <c r="K203" i="4"/>
  <c r="I203" i="4"/>
  <c r="S202" i="4"/>
  <c r="Q202" i="4"/>
  <c r="O202" i="4"/>
  <c r="L202" i="4"/>
  <c r="K202" i="4"/>
  <c r="I202" i="4"/>
  <c r="S201" i="4"/>
  <c r="Q201" i="4"/>
  <c r="O201" i="4"/>
  <c r="L201" i="4"/>
  <c r="K201" i="4"/>
  <c r="I201" i="4"/>
  <c r="S200" i="4"/>
  <c r="Q200" i="4"/>
  <c r="O200" i="4"/>
  <c r="L200" i="4"/>
  <c r="K200" i="4"/>
  <c r="I200" i="4"/>
  <c r="S199" i="4"/>
  <c r="Q199" i="4"/>
  <c r="O199" i="4"/>
  <c r="L199" i="4"/>
  <c r="K199" i="4"/>
  <c r="I199" i="4"/>
  <c r="S198" i="4"/>
  <c r="Q198" i="4"/>
  <c r="O198" i="4"/>
  <c r="L198" i="4"/>
  <c r="K198" i="4"/>
  <c r="I198" i="4"/>
  <c r="S197" i="4"/>
  <c r="Q197" i="4"/>
  <c r="O197" i="4"/>
  <c r="L197" i="4"/>
  <c r="K197" i="4"/>
  <c r="I197" i="4"/>
  <c r="S196" i="4"/>
  <c r="Q196" i="4"/>
  <c r="O196" i="4"/>
  <c r="L196" i="4"/>
  <c r="K196" i="4"/>
  <c r="I196" i="4"/>
  <c r="S195" i="4"/>
  <c r="Q195" i="4"/>
  <c r="O195" i="4"/>
  <c r="L195" i="4"/>
  <c r="K195" i="4"/>
  <c r="I195" i="4"/>
  <c r="S194" i="4"/>
  <c r="Q194" i="4"/>
  <c r="O194" i="4"/>
  <c r="L194" i="4"/>
  <c r="K194" i="4"/>
  <c r="I194" i="4"/>
  <c r="S193" i="4"/>
  <c r="Q193" i="4"/>
  <c r="O193" i="4"/>
  <c r="L193" i="4"/>
  <c r="K193" i="4"/>
  <c r="I193" i="4"/>
  <c r="O192" i="4"/>
  <c r="Q192" i="4" s="1"/>
  <c r="L192" i="4"/>
  <c r="K192" i="4"/>
  <c r="I192" i="4"/>
  <c r="O191" i="4"/>
  <c r="Q191" i="4" s="1"/>
  <c r="L191" i="4"/>
  <c r="K191" i="4"/>
  <c r="I191" i="4"/>
  <c r="O190" i="4"/>
  <c r="Q190" i="4" s="1"/>
  <c r="L190" i="4"/>
  <c r="K190" i="4"/>
  <c r="I190" i="4"/>
  <c r="O189" i="4"/>
  <c r="Q189" i="4" s="1"/>
  <c r="L189" i="4"/>
  <c r="K189" i="4"/>
  <c r="I189" i="4"/>
  <c r="O188" i="4"/>
  <c r="Q188" i="4" s="1"/>
  <c r="L188" i="4"/>
  <c r="K188" i="4"/>
  <c r="I188" i="4"/>
  <c r="O187" i="4"/>
  <c r="Q187" i="4" s="1"/>
  <c r="L187" i="4"/>
  <c r="K187" i="4"/>
  <c r="I187" i="4"/>
  <c r="O186" i="4"/>
  <c r="Q186" i="4" s="1"/>
  <c r="L186" i="4"/>
  <c r="K186" i="4"/>
  <c r="I186" i="4"/>
  <c r="O185" i="4"/>
  <c r="Q185" i="4" s="1"/>
  <c r="L185" i="4"/>
  <c r="K185" i="4"/>
  <c r="I185" i="4"/>
  <c r="O184" i="4"/>
  <c r="Q184" i="4" s="1"/>
  <c r="L184" i="4"/>
  <c r="K184" i="4"/>
  <c r="I184" i="4"/>
  <c r="O183" i="4"/>
  <c r="Q183" i="4" s="1"/>
  <c r="L183" i="4"/>
  <c r="K183" i="4"/>
  <c r="I183" i="4"/>
  <c r="O182" i="4"/>
  <c r="Q182" i="4" s="1"/>
  <c r="S182" i="4" s="1"/>
  <c r="L182" i="4"/>
  <c r="K182" i="4"/>
  <c r="I182" i="4"/>
  <c r="O181" i="4"/>
  <c r="Q181" i="4" s="1"/>
  <c r="L181" i="4"/>
  <c r="K181" i="4"/>
  <c r="I181" i="4"/>
  <c r="O180" i="4"/>
  <c r="Q180" i="4" s="1"/>
  <c r="L180" i="4"/>
  <c r="K180" i="4"/>
  <c r="I180" i="4"/>
  <c r="O179" i="4"/>
  <c r="Q179" i="4" s="1"/>
  <c r="L179" i="4"/>
  <c r="K179" i="4"/>
  <c r="I179" i="4"/>
  <c r="O178" i="4"/>
  <c r="Q178" i="4" s="1"/>
  <c r="L178" i="4"/>
  <c r="K178" i="4"/>
  <c r="I178" i="4"/>
  <c r="O177" i="4"/>
  <c r="Q177" i="4" s="1"/>
  <c r="L177" i="4"/>
  <c r="K177" i="4"/>
  <c r="I177" i="4"/>
  <c r="O176" i="4"/>
  <c r="Q176" i="4" s="1"/>
  <c r="S176" i="4" s="1"/>
  <c r="L176" i="4"/>
  <c r="K176" i="4"/>
  <c r="I176" i="4"/>
  <c r="O175" i="4"/>
  <c r="Q175" i="4" s="1"/>
  <c r="L175" i="4"/>
  <c r="K175" i="4"/>
  <c r="I175" i="4"/>
  <c r="O174" i="4"/>
  <c r="Q174" i="4" s="1"/>
  <c r="L174" i="4"/>
  <c r="K174" i="4"/>
  <c r="I174" i="4"/>
  <c r="O173" i="4"/>
  <c r="Q173" i="4" s="1"/>
  <c r="L173" i="4"/>
  <c r="K173" i="4"/>
  <c r="I173" i="4"/>
  <c r="O172" i="4"/>
  <c r="Q172" i="4" s="1"/>
  <c r="L172" i="4"/>
  <c r="K172" i="4"/>
  <c r="I172" i="4"/>
  <c r="O171" i="4"/>
  <c r="Q171" i="4" s="1"/>
  <c r="L171" i="4"/>
  <c r="K171" i="4"/>
  <c r="I171" i="4"/>
  <c r="O170" i="4"/>
  <c r="Q170" i="4" s="1"/>
  <c r="L170" i="4"/>
  <c r="K170" i="4"/>
  <c r="I170" i="4"/>
  <c r="O169" i="4"/>
  <c r="Q169" i="4" s="1"/>
  <c r="L169" i="4"/>
  <c r="K169" i="4"/>
  <c r="I169" i="4"/>
  <c r="O168" i="4"/>
  <c r="Q168" i="4" s="1"/>
  <c r="L168" i="4"/>
  <c r="K168" i="4"/>
  <c r="I168" i="4"/>
  <c r="O167" i="4"/>
  <c r="Q167" i="4" s="1"/>
  <c r="L167" i="4"/>
  <c r="K167" i="4"/>
  <c r="I167" i="4"/>
  <c r="O166" i="4"/>
  <c r="Q166" i="4" s="1"/>
  <c r="L166" i="4"/>
  <c r="K166" i="4"/>
  <c r="I166" i="4"/>
  <c r="O165" i="4"/>
  <c r="Q165" i="4" s="1"/>
  <c r="L165" i="4"/>
  <c r="K165" i="4"/>
  <c r="I165" i="4"/>
  <c r="O164" i="4"/>
  <c r="Q164" i="4" s="1"/>
  <c r="S164" i="4" s="1"/>
  <c r="L164" i="4"/>
  <c r="K164" i="4"/>
  <c r="I164" i="4"/>
  <c r="O163" i="4"/>
  <c r="Q163" i="4" s="1"/>
  <c r="L163" i="4"/>
  <c r="K163" i="4"/>
  <c r="I163" i="4"/>
  <c r="O162" i="4"/>
  <c r="Q162" i="4" s="1"/>
  <c r="L162" i="4"/>
  <c r="K162" i="4"/>
  <c r="I162" i="4"/>
  <c r="O161" i="4"/>
  <c r="Q161" i="4" s="1"/>
  <c r="L161" i="4"/>
  <c r="K161" i="4"/>
  <c r="I161" i="4"/>
  <c r="O160" i="4"/>
  <c r="Q160" i="4" s="1"/>
  <c r="L160" i="4"/>
  <c r="K160" i="4"/>
  <c r="I160" i="4"/>
  <c r="O159" i="4"/>
  <c r="Q159" i="4" s="1"/>
  <c r="L159" i="4"/>
  <c r="K159" i="4"/>
  <c r="I159" i="4"/>
  <c r="O158" i="4"/>
  <c r="Q158" i="4" s="1"/>
  <c r="S158" i="4" s="1"/>
  <c r="L158" i="4"/>
  <c r="K158" i="4"/>
  <c r="I158" i="4"/>
  <c r="O157" i="4"/>
  <c r="Q157" i="4" s="1"/>
  <c r="L157" i="4"/>
  <c r="K157" i="4"/>
  <c r="I157" i="4"/>
  <c r="O156" i="4"/>
  <c r="Q156" i="4" s="1"/>
  <c r="L156" i="4"/>
  <c r="K156" i="4"/>
  <c r="I156" i="4"/>
  <c r="O155" i="4"/>
  <c r="Q155" i="4" s="1"/>
  <c r="L155" i="4"/>
  <c r="K155" i="4"/>
  <c r="I155" i="4"/>
  <c r="O154" i="4"/>
  <c r="Q154" i="4" s="1"/>
  <c r="L154" i="4"/>
  <c r="K154" i="4"/>
  <c r="I154" i="4"/>
  <c r="O153" i="4"/>
  <c r="Q153" i="4" s="1"/>
  <c r="L153" i="4"/>
  <c r="K153" i="4"/>
  <c r="I153" i="4"/>
  <c r="O152" i="4"/>
  <c r="Q152" i="4" s="1"/>
  <c r="S152" i="4" s="1"/>
  <c r="L152" i="4"/>
  <c r="K152" i="4"/>
  <c r="I152" i="4"/>
  <c r="O151" i="4"/>
  <c r="Q151" i="4" s="1"/>
  <c r="L151" i="4"/>
  <c r="K151" i="4"/>
  <c r="I151" i="4"/>
  <c r="O150" i="4"/>
  <c r="Q150" i="4" s="1"/>
  <c r="L150" i="4"/>
  <c r="K150" i="4"/>
  <c r="I150" i="4"/>
  <c r="O149" i="4"/>
  <c r="Q149" i="4" s="1"/>
  <c r="L149" i="4"/>
  <c r="K149" i="4"/>
  <c r="I149" i="4"/>
  <c r="O148" i="4"/>
  <c r="Q148" i="4" s="1"/>
  <c r="L148" i="4"/>
  <c r="K148" i="4"/>
  <c r="I148" i="4"/>
  <c r="O147" i="4"/>
  <c r="Q147" i="4" s="1"/>
  <c r="L147" i="4"/>
  <c r="K147" i="4"/>
  <c r="I147" i="4"/>
  <c r="O146" i="4"/>
  <c r="Q146" i="4" s="1"/>
  <c r="L146" i="4"/>
  <c r="K146" i="4"/>
  <c r="I146" i="4"/>
  <c r="O145" i="4"/>
  <c r="Q145" i="4" s="1"/>
  <c r="L145" i="4"/>
  <c r="K145" i="4"/>
  <c r="I145" i="4"/>
  <c r="O144" i="4"/>
  <c r="Q144" i="4" s="1"/>
  <c r="L144" i="4"/>
  <c r="K144" i="4"/>
  <c r="I144" i="4"/>
  <c r="O143" i="4"/>
  <c r="Q143" i="4" s="1"/>
  <c r="L143" i="4"/>
  <c r="K143" i="4"/>
  <c r="I143" i="4"/>
  <c r="O142" i="4"/>
  <c r="Q142" i="4" s="1"/>
  <c r="L142" i="4"/>
  <c r="K142" i="4"/>
  <c r="I142" i="4"/>
  <c r="O141" i="4"/>
  <c r="Q141" i="4" s="1"/>
  <c r="L141" i="4"/>
  <c r="K141" i="4"/>
  <c r="I141" i="4"/>
  <c r="O140" i="4"/>
  <c r="Q140" i="4" s="1"/>
  <c r="S140" i="4" s="1"/>
  <c r="L140" i="4"/>
  <c r="K140" i="4"/>
  <c r="I140" i="4"/>
  <c r="O139" i="4"/>
  <c r="Q139" i="4" s="1"/>
  <c r="L139" i="4"/>
  <c r="K139" i="4"/>
  <c r="I139" i="4"/>
  <c r="O138" i="4"/>
  <c r="Q138" i="4" s="1"/>
  <c r="L138" i="4"/>
  <c r="K138" i="4"/>
  <c r="I138" i="4"/>
  <c r="O137" i="4"/>
  <c r="Q137" i="4" s="1"/>
  <c r="L137" i="4"/>
  <c r="K137" i="4"/>
  <c r="I137" i="4"/>
  <c r="O136" i="4"/>
  <c r="Q136" i="4" s="1"/>
  <c r="L136" i="4"/>
  <c r="K136" i="4"/>
  <c r="I136" i="4"/>
  <c r="O135" i="4"/>
  <c r="Q135" i="4" s="1"/>
  <c r="L135" i="4"/>
  <c r="K135" i="4"/>
  <c r="I135" i="4"/>
  <c r="O134" i="4"/>
  <c r="Q134" i="4" s="1"/>
  <c r="L134" i="4"/>
  <c r="K134" i="4"/>
  <c r="I134" i="4"/>
  <c r="O133" i="4"/>
  <c r="Q133" i="4" s="1"/>
  <c r="L133" i="4"/>
  <c r="K133" i="4"/>
  <c r="I133" i="4"/>
  <c r="O132" i="4"/>
  <c r="Q132" i="4" s="1"/>
  <c r="L132" i="4"/>
  <c r="K132" i="4"/>
  <c r="I132" i="4"/>
  <c r="O131" i="4"/>
  <c r="Q131" i="4" s="1"/>
  <c r="L131" i="4"/>
  <c r="K131" i="4"/>
  <c r="I131" i="4"/>
  <c r="O130" i="4"/>
  <c r="Q130" i="4" s="1"/>
  <c r="L130" i="4"/>
  <c r="K130" i="4"/>
  <c r="I130" i="4"/>
  <c r="O129" i="4"/>
  <c r="Q129" i="4" s="1"/>
  <c r="L129" i="4"/>
  <c r="K129" i="4"/>
  <c r="I129" i="4"/>
  <c r="O128" i="4"/>
  <c r="Q128" i="4" s="1"/>
  <c r="L128" i="4"/>
  <c r="K128" i="4"/>
  <c r="I128" i="4"/>
  <c r="O127" i="4"/>
  <c r="Q127" i="4" s="1"/>
  <c r="L127" i="4"/>
  <c r="K127" i="4"/>
  <c r="I127" i="4"/>
  <c r="O126" i="4"/>
  <c r="Q126" i="4" s="1"/>
  <c r="L126" i="4"/>
  <c r="K126" i="4"/>
  <c r="I126" i="4"/>
  <c r="Q125" i="4"/>
  <c r="O125" i="4"/>
  <c r="L125" i="4"/>
  <c r="K125" i="4"/>
  <c r="I125" i="4"/>
  <c r="O124" i="4"/>
  <c r="Q124" i="4" s="1"/>
  <c r="L124" i="4"/>
  <c r="K124" i="4"/>
  <c r="I124" i="4"/>
  <c r="O123" i="4"/>
  <c r="Q123" i="4" s="1"/>
  <c r="L123" i="4"/>
  <c r="K123" i="4"/>
  <c r="I123" i="4"/>
  <c r="O122" i="4"/>
  <c r="Q122" i="4" s="1"/>
  <c r="L122" i="4"/>
  <c r="K122" i="4"/>
  <c r="I122" i="4"/>
  <c r="O121" i="4"/>
  <c r="Q121" i="4" s="1"/>
  <c r="L121" i="4"/>
  <c r="K121" i="4"/>
  <c r="I121" i="4"/>
  <c r="O120" i="4"/>
  <c r="Q120" i="4" s="1"/>
  <c r="L120" i="4"/>
  <c r="K120" i="4"/>
  <c r="I120" i="4"/>
  <c r="O119" i="4"/>
  <c r="Q119" i="4" s="1"/>
  <c r="L119" i="4"/>
  <c r="K119" i="4"/>
  <c r="I119" i="4"/>
  <c r="O118" i="4"/>
  <c r="Q118" i="4" s="1"/>
  <c r="L118" i="4"/>
  <c r="K118" i="4"/>
  <c r="I118" i="4"/>
  <c r="O117" i="4"/>
  <c r="Q117" i="4" s="1"/>
  <c r="L117" i="4"/>
  <c r="K117" i="4"/>
  <c r="I117" i="4"/>
  <c r="O116" i="4"/>
  <c r="Q116" i="4" s="1"/>
  <c r="L116" i="4"/>
  <c r="K116" i="4"/>
  <c r="I116" i="4"/>
  <c r="O115" i="4"/>
  <c r="Q115" i="4" s="1"/>
  <c r="L115" i="4"/>
  <c r="K115" i="4"/>
  <c r="I115" i="4"/>
  <c r="O114" i="4"/>
  <c r="Q114" i="4" s="1"/>
  <c r="L114" i="4"/>
  <c r="K114" i="4"/>
  <c r="I114" i="4"/>
  <c r="O113" i="4"/>
  <c r="Q113" i="4" s="1"/>
  <c r="L113" i="4"/>
  <c r="K113" i="4"/>
  <c r="I113" i="4"/>
  <c r="O112" i="4"/>
  <c r="Q112" i="4" s="1"/>
  <c r="S112" i="4" s="1"/>
  <c r="L112" i="4"/>
  <c r="K112" i="4"/>
  <c r="I112" i="4"/>
  <c r="O111" i="4"/>
  <c r="Q111" i="4" s="1"/>
  <c r="S111" i="4" s="1"/>
  <c r="L111" i="4"/>
  <c r="K111" i="4"/>
  <c r="I111" i="4"/>
  <c r="O110" i="4"/>
  <c r="Q110" i="4" s="1"/>
  <c r="L110" i="4"/>
  <c r="K110" i="4"/>
  <c r="I110" i="4"/>
  <c r="O109" i="4"/>
  <c r="Q109" i="4" s="1"/>
  <c r="S109" i="4" s="1"/>
  <c r="L109" i="4"/>
  <c r="K109" i="4"/>
  <c r="I109" i="4"/>
  <c r="O108" i="4"/>
  <c r="Q108" i="4" s="1"/>
  <c r="L108" i="4"/>
  <c r="K108" i="4"/>
  <c r="I108" i="4"/>
  <c r="O107" i="4"/>
  <c r="Q107" i="4" s="1"/>
  <c r="L107" i="4"/>
  <c r="K107" i="4"/>
  <c r="I107" i="4"/>
  <c r="O106" i="4"/>
  <c r="Q106" i="4" s="1"/>
  <c r="L106" i="4"/>
  <c r="K106" i="4"/>
  <c r="I106" i="4"/>
  <c r="O105" i="4"/>
  <c r="Q105" i="4" s="1"/>
  <c r="L105" i="4"/>
  <c r="K105" i="4"/>
  <c r="I105" i="4"/>
  <c r="O104" i="4"/>
  <c r="Q104" i="4" s="1"/>
  <c r="S104" i="4" s="1"/>
  <c r="L104" i="4"/>
  <c r="K104" i="4"/>
  <c r="O103" i="4"/>
  <c r="Q103" i="4" s="1"/>
  <c r="L103" i="4"/>
  <c r="K103" i="4"/>
  <c r="I103" i="4"/>
  <c r="O102" i="4"/>
  <c r="Q102" i="4" s="1"/>
  <c r="S102" i="4" s="1"/>
  <c r="L102" i="4"/>
  <c r="K102" i="4"/>
  <c r="I102" i="4"/>
  <c r="O101" i="4"/>
  <c r="Q101" i="4" s="1"/>
  <c r="L101" i="4"/>
  <c r="K101" i="4"/>
  <c r="I101" i="4"/>
  <c r="O100" i="4"/>
  <c r="Q100" i="4" s="1"/>
  <c r="L100" i="4"/>
  <c r="K100" i="4"/>
  <c r="I100" i="4"/>
  <c r="O99" i="4"/>
  <c r="Q99" i="4" s="1"/>
  <c r="L99" i="4"/>
  <c r="K99" i="4"/>
  <c r="I99" i="4"/>
  <c r="O98" i="4"/>
  <c r="Q98" i="4" s="1"/>
  <c r="L98" i="4"/>
  <c r="K98" i="4"/>
  <c r="I98" i="4"/>
  <c r="O97" i="4"/>
  <c r="Q97" i="4" s="1"/>
  <c r="L97" i="4"/>
  <c r="K97" i="4"/>
  <c r="I97" i="4"/>
  <c r="O96" i="4"/>
  <c r="Q96" i="4" s="1"/>
  <c r="S96" i="4" s="1"/>
  <c r="L96" i="4"/>
  <c r="K96" i="4"/>
  <c r="I96" i="4"/>
  <c r="O95" i="4"/>
  <c r="Q95" i="4" s="1"/>
  <c r="L95" i="4"/>
  <c r="K95" i="4"/>
  <c r="I95" i="4"/>
  <c r="O94" i="4"/>
  <c r="Q94" i="4" s="1"/>
  <c r="L94" i="4"/>
  <c r="K94" i="4"/>
  <c r="I94" i="4"/>
  <c r="O93" i="4"/>
  <c r="Q93" i="4" s="1"/>
  <c r="S93" i="4" s="1"/>
  <c r="L93" i="4"/>
  <c r="K93" i="4"/>
  <c r="I93" i="4"/>
  <c r="O92" i="4"/>
  <c r="Q92" i="4" s="1"/>
  <c r="L92" i="4"/>
  <c r="K92" i="4"/>
  <c r="I92" i="4"/>
  <c r="O91" i="4"/>
  <c r="Q91" i="4" s="1"/>
  <c r="L91" i="4"/>
  <c r="K91" i="4"/>
  <c r="I91" i="4"/>
  <c r="O90" i="4"/>
  <c r="Q90" i="4" s="1"/>
  <c r="L90" i="4"/>
  <c r="K90" i="4"/>
  <c r="I90" i="4"/>
  <c r="O89" i="4"/>
  <c r="Q89" i="4" s="1"/>
  <c r="L89" i="4"/>
  <c r="K89" i="4"/>
  <c r="I89" i="4"/>
  <c r="O88" i="4"/>
  <c r="Q88" i="4" s="1"/>
  <c r="K88" i="4"/>
  <c r="I88" i="4"/>
  <c r="O87" i="4"/>
  <c r="Q87" i="4" s="1"/>
  <c r="L87" i="4"/>
  <c r="K87" i="4"/>
  <c r="I87" i="4"/>
  <c r="O86" i="4"/>
  <c r="Q86" i="4" s="1"/>
  <c r="L86" i="4"/>
  <c r="K86" i="4"/>
  <c r="I86" i="4"/>
  <c r="O85" i="4"/>
  <c r="Q85" i="4" s="1"/>
  <c r="L85" i="4"/>
  <c r="K85" i="4"/>
  <c r="I85" i="4"/>
  <c r="O84" i="4"/>
  <c r="Q84" i="4" s="1"/>
  <c r="L84" i="4"/>
  <c r="K84" i="4"/>
  <c r="I84" i="4"/>
  <c r="O83" i="4"/>
  <c r="Q83" i="4" s="1"/>
  <c r="L83" i="4"/>
  <c r="K83" i="4"/>
  <c r="I83" i="4"/>
  <c r="O82" i="4"/>
  <c r="Q82" i="4" s="1"/>
  <c r="L82" i="4"/>
  <c r="K82" i="4"/>
  <c r="I82" i="4"/>
  <c r="O81" i="4"/>
  <c r="Q81" i="4" s="1"/>
  <c r="L81" i="4"/>
  <c r="K81" i="4"/>
  <c r="I81" i="4"/>
  <c r="O80" i="4"/>
  <c r="Q80" i="4" s="1"/>
  <c r="K80" i="4"/>
  <c r="I80" i="4"/>
  <c r="O79" i="4"/>
  <c r="Q79" i="4" s="1"/>
  <c r="K79" i="4"/>
  <c r="I79" i="4"/>
  <c r="O78" i="4"/>
  <c r="Q78" i="4" s="1"/>
  <c r="K78" i="4"/>
  <c r="I78" i="4"/>
  <c r="Q77" i="4"/>
  <c r="O77" i="4"/>
  <c r="L77" i="4"/>
  <c r="K77" i="4"/>
  <c r="I77" i="4"/>
  <c r="O76" i="4"/>
  <c r="Q76" i="4" s="1"/>
  <c r="L76" i="4"/>
  <c r="K76" i="4"/>
  <c r="I76" i="4"/>
  <c r="O75" i="4"/>
  <c r="Q75" i="4" s="1"/>
  <c r="L75" i="4"/>
  <c r="K75" i="4"/>
  <c r="I75" i="4"/>
  <c r="O74" i="4"/>
  <c r="Q74" i="4" s="1"/>
  <c r="L74" i="4"/>
  <c r="K74" i="4"/>
  <c r="I74" i="4"/>
  <c r="O73" i="4"/>
  <c r="Q73" i="4" s="1"/>
  <c r="L73" i="4"/>
  <c r="K73" i="4"/>
  <c r="I73" i="4"/>
  <c r="O72" i="4"/>
  <c r="Q72" i="4" s="1"/>
  <c r="L72" i="4"/>
  <c r="K72" i="4"/>
  <c r="I72" i="4"/>
  <c r="O71" i="4"/>
  <c r="Q71" i="4" s="1"/>
  <c r="L71" i="4"/>
  <c r="K71" i="4"/>
  <c r="I71" i="4"/>
  <c r="O70" i="4"/>
  <c r="Q70" i="4" s="1"/>
  <c r="L70" i="4"/>
  <c r="K70" i="4"/>
  <c r="I70" i="4"/>
  <c r="O69" i="4"/>
  <c r="Q69" i="4" s="1"/>
  <c r="L69" i="4"/>
  <c r="K69" i="4"/>
  <c r="I69" i="4"/>
  <c r="O68" i="4"/>
  <c r="Q68" i="4" s="1"/>
  <c r="L68" i="4"/>
  <c r="K68" i="4"/>
  <c r="I68" i="4"/>
  <c r="O67" i="4"/>
  <c r="Q67" i="4" s="1"/>
  <c r="L67" i="4"/>
  <c r="K67" i="4"/>
  <c r="I67" i="4"/>
  <c r="O66" i="4"/>
  <c r="Q66" i="4" s="1"/>
  <c r="L66" i="4"/>
  <c r="K66" i="4"/>
  <c r="I66" i="4"/>
  <c r="O65" i="4"/>
  <c r="Q65" i="4" s="1"/>
  <c r="L65" i="4"/>
  <c r="K65" i="4"/>
  <c r="I65" i="4"/>
  <c r="O64" i="4"/>
  <c r="Q64" i="4" s="1"/>
  <c r="L64" i="4"/>
  <c r="K64" i="4"/>
  <c r="I64" i="4"/>
  <c r="O63" i="4"/>
  <c r="Q63" i="4" s="1"/>
  <c r="L63" i="4"/>
  <c r="K63" i="4"/>
  <c r="I63" i="4"/>
  <c r="O62" i="4"/>
  <c r="Q62" i="4" s="1"/>
  <c r="L62" i="4"/>
  <c r="K62" i="4"/>
  <c r="I62" i="4"/>
  <c r="O61" i="4"/>
  <c r="Q61" i="4" s="1"/>
  <c r="L61" i="4"/>
  <c r="K61" i="4"/>
  <c r="I61" i="4"/>
  <c r="O60" i="4"/>
  <c r="Q60" i="4" s="1"/>
  <c r="L60" i="4"/>
  <c r="K60" i="4"/>
  <c r="I60" i="4"/>
  <c r="O59" i="4"/>
  <c r="Q59" i="4" s="1"/>
  <c r="L59" i="4"/>
  <c r="K59" i="4"/>
  <c r="I59" i="4"/>
  <c r="O58" i="4"/>
  <c r="Q58" i="4" s="1"/>
  <c r="L58" i="4"/>
  <c r="K58" i="4"/>
  <c r="I58" i="4"/>
  <c r="O57" i="4"/>
  <c r="Q57" i="4" s="1"/>
  <c r="L57" i="4"/>
  <c r="K57" i="4"/>
  <c r="I57" i="4"/>
  <c r="O56" i="4"/>
  <c r="Q56" i="4" s="1"/>
  <c r="K56" i="4"/>
  <c r="I56" i="4"/>
  <c r="O55" i="4"/>
  <c r="Q55" i="4" s="1"/>
  <c r="K55" i="4"/>
  <c r="I55" i="4"/>
  <c r="O54" i="4"/>
  <c r="Q54" i="4" s="1"/>
  <c r="L54" i="4"/>
  <c r="K54" i="4"/>
  <c r="I54" i="4"/>
  <c r="O53" i="4"/>
  <c r="Q53" i="4" s="1"/>
  <c r="L53" i="4"/>
  <c r="K53" i="4"/>
  <c r="I53" i="4"/>
  <c r="O52" i="4"/>
  <c r="Q52" i="4" s="1"/>
  <c r="L52" i="4"/>
  <c r="K52" i="4"/>
  <c r="I52" i="4"/>
  <c r="O51" i="4"/>
  <c r="Q51" i="4" s="1"/>
  <c r="L51" i="4"/>
  <c r="K51" i="4"/>
  <c r="I51" i="4"/>
  <c r="O50" i="4"/>
  <c r="Q50" i="4" s="1"/>
  <c r="L50" i="4"/>
  <c r="K50" i="4"/>
  <c r="I50" i="4"/>
  <c r="O49" i="4"/>
  <c r="Q49" i="4" s="1"/>
  <c r="L49" i="4"/>
  <c r="K49" i="4"/>
  <c r="I49" i="4"/>
  <c r="O48" i="4"/>
  <c r="Q48" i="4" s="1"/>
  <c r="L48" i="4"/>
  <c r="K48" i="4"/>
  <c r="I48" i="4"/>
  <c r="O47" i="4"/>
  <c r="Q47" i="4" s="1"/>
  <c r="L47" i="4"/>
  <c r="K47" i="4"/>
  <c r="I47" i="4"/>
  <c r="O46" i="4"/>
  <c r="Q46" i="4" s="1"/>
  <c r="L46" i="4"/>
  <c r="K46" i="4"/>
  <c r="I46" i="4"/>
  <c r="O45" i="4"/>
  <c r="Q45" i="4" s="1"/>
  <c r="L45" i="4"/>
  <c r="K45" i="4"/>
  <c r="I45" i="4"/>
  <c r="O44" i="4"/>
  <c r="Q44" i="4" s="1"/>
  <c r="L44" i="4"/>
  <c r="K44" i="4"/>
  <c r="I44" i="4"/>
  <c r="O43" i="4"/>
  <c r="Q43" i="4" s="1"/>
  <c r="L43" i="4"/>
  <c r="K43" i="4"/>
  <c r="I43" i="4"/>
  <c r="O42" i="4"/>
  <c r="Q42" i="4" s="1"/>
  <c r="L42" i="4"/>
  <c r="K42" i="4"/>
  <c r="I42" i="4"/>
  <c r="O41" i="4"/>
  <c r="Q41" i="4" s="1"/>
  <c r="L41" i="4"/>
  <c r="K41" i="4"/>
  <c r="I41" i="4"/>
  <c r="O40" i="4"/>
  <c r="Q40" i="4" s="1"/>
  <c r="L40" i="4"/>
  <c r="K40" i="4"/>
  <c r="I40" i="4"/>
  <c r="O39" i="4"/>
  <c r="Q39" i="4" s="1"/>
  <c r="L39" i="4"/>
  <c r="K39" i="4"/>
  <c r="I39" i="4"/>
  <c r="O38" i="4"/>
  <c r="Q38" i="4" s="1"/>
  <c r="L38" i="4"/>
  <c r="K38" i="4"/>
  <c r="I38" i="4"/>
  <c r="O37" i="4"/>
  <c r="Q37" i="4" s="1"/>
  <c r="L37" i="4"/>
  <c r="K37" i="4"/>
  <c r="I37" i="4"/>
  <c r="O36" i="4"/>
  <c r="Q36" i="4" s="1"/>
  <c r="L36" i="4"/>
  <c r="K36" i="4"/>
  <c r="I36" i="4"/>
  <c r="O35" i="4"/>
  <c r="Q35" i="4" s="1"/>
  <c r="L35" i="4"/>
  <c r="K35" i="4"/>
  <c r="I35" i="4"/>
  <c r="O34" i="4"/>
  <c r="Q34" i="4" s="1"/>
  <c r="L34" i="4"/>
  <c r="K34" i="4"/>
  <c r="I34" i="4"/>
  <c r="O33" i="4"/>
  <c r="Q33" i="4" s="1"/>
  <c r="L33" i="4"/>
  <c r="K33" i="4"/>
  <c r="I33" i="4"/>
  <c r="O32" i="4"/>
  <c r="Q32" i="4" s="1"/>
  <c r="L32" i="4"/>
  <c r="K32" i="4"/>
  <c r="I32" i="4"/>
  <c r="O31" i="4"/>
  <c r="Q31" i="4" s="1"/>
  <c r="L31" i="4"/>
  <c r="K31" i="4"/>
  <c r="I31" i="4"/>
  <c r="O30" i="4"/>
  <c r="Q30" i="4" s="1"/>
  <c r="L30" i="4"/>
  <c r="K30" i="4"/>
  <c r="I30" i="4"/>
  <c r="O29" i="4"/>
  <c r="Q29" i="4" s="1"/>
  <c r="L29" i="4"/>
  <c r="K29" i="4"/>
  <c r="I29" i="4"/>
  <c r="O28" i="4"/>
  <c r="Q28" i="4" s="1"/>
  <c r="L28" i="4"/>
  <c r="K28" i="4"/>
  <c r="I28" i="4"/>
  <c r="O27" i="4"/>
  <c r="Q27" i="4" s="1"/>
  <c r="L27" i="4"/>
  <c r="K27" i="4"/>
  <c r="I27" i="4"/>
  <c r="O26" i="4"/>
  <c r="Q26" i="4" s="1"/>
  <c r="L26" i="4"/>
  <c r="K26" i="4"/>
  <c r="I26" i="4"/>
  <c r="O25" i="4"/>
  <c r="Q25" i="4" s="1"/>
  <c r="K25" i="4"/>
  <c r="I25" i="4"/>
  <c r="O24" i="4"/>
  <c r="Q24" i="4" s="1"/>
  <c r="L24" i="4"/>
  <c r="K24" i="4"/>
  <c r="I24" i="4"/>
  <c r="O23" i="4"/>
  <c r="Q23" i="4" s="1"/>
  <c r="L23" i="4"/>
  <c r="K23" i="4"/>
  <c r="I23" i="4"/>
  <c r="Q22" i="4"/>
  <c r="O22" i="4"/>
  <c r="L22" i="4"/>
  <c r="K22" i="4"/>
  <c r="I22" i="4"/>
  <c r="O21" i="4"/>
  <c r="Q21" i="4" s="1"/>
  <c r="L21" i="4"/>
  <c r="K21" i="4"/>
  <c r="I21" i="4"/>
  <c r="O20" i="4"/>
  <c r="Q20" i="4" s="1"/>
  <c r="L20" i="4"/>
  <c r="K20" i="4"/>
  <c r="I20" i="4"/>
  <c r="O19" i="4"/>
  <c r="Q19" i="4" s="1"/>
  <c r="L19" i="4"/>
  <c r="K19" i="4"/>
  <c r="I19" i="4"/>
  <c r="O18" i="4"/>
  <c r="Q18" i="4" s="1"/>
  <c r="L18" i="4"/>
  <c r="K18" i="4"/>
  <c r="I18" i="4"/>
  <c r="O17" i="4"/>
  <c r="Q17" i="4" s="1"/>
  <c r="L17" i="4"/>
  <c r="K17" i="4"/>
  <c r="I17" i="4"/>
  <c r="O16" i="4"/>
  <c r="Q16" i="4" s="1"/>
  <c r="L16" i="4"/>
  <c r="K16" i="4"/>
  <c r="I16" i="4"/>
  <c r="O15" i="4"/>
  <c r="Q15" i="4" s="1"/>
  <c r="L15" i="4"/>
  <c r="K15" i="4"/>
  <c r="I15" i="4"/>
  <c r="O14" i="4"/>
  <c r="Q14" i="4" s="1"/>
  <c r="L14" i="4"/>
  <c r="K14" i="4"/>
  <c r="I14" i="4"/>
  <c r="O13" i="4"/>
  <c r="Q13" i="4" s="1"/>
  <c r="K13" i="4"/>
  <c r="I13" i="4"/>
  <c r="O12" i="4"/>
  <c r="Q12" i="4" s="1"/>
  <c r="L12" i="4"/>
  <c r="K12" i="4"/>
  <c r="I12" i="4"/>
  <c r="O11" i="4"/>
  <c r="Q11" i="4" s="1"/>
  <c r="S11" i="4" s="1"/>
  <c r="K11" i="4"/>
  <c r="I11" i="4"/>
  <c r="O10" i="4"/>
  <c r="Q10" i="4" s="1"/>
  <c r="L10" i="4"/>
  <c r="K10" i="4"/>
  <c r="I10" i="4"/>
  <c r="O9" i="4"/>
  <c r="Q9" i="4" s="1"/>
  <c r="L9" i="4"/>
  <c r="K9" i="4"/>
  <c r="I9" i="4"/>
  <c r="O8" i="4"/>
  <c r="Q8" i="4" s="1"/>
  <c r="L8" i="4"/>
  <c r="K8" i="4"/>
  <c r="I8" i="4"/>
  <c r="O7" i="4"/>
  <c r="Q7" i="4" s="1"/>
  <c r="L7" i="4"/>
  <c r="K7" i="4"/>
  <c r="I7" i="4"/>
  <c r="O6" i="4"/>
  <c r="Q6" i="4" s="1"/>
  <c r="K6" i="4"/>
  <c r="I6" i="4"/>
  <c r="O5" i="4"/>
  <c r="Q5" i="4" s="1"/>
  <c r="K5" i="4"/>
  <c r="I5" i="4"/>
  <c r="O4" i="4"/>
  <c r="Q4" i="4" s="1"/>
  <c r="K4" i="4"/>
  <c r="I4" i="4"/>
  <c r="O3" i="4"/>
  <c r="Q3" i="4" s="1"/>
  <c r="K3" i="4"/>
  <c r="I3" i="4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O2" i="4"/>
  <c r="K2" i="4"/>
  <c r="I2" i="4"/>
  <c r="P275" i="4" a="1"/>
  <c r="O277" i="4" a="1"/>
  <c r="N277" i="4" a="1"/>
  <c r="W277" i="4" a="1"/>
  <c r="U277" i="4" a="1"/>
  <c r="P277" i="4" a="1"/>
  <c r="T275" i="4" a="1"/>
  <c r="U275" i="4" a="1"/>
  <c r="W275" i="4" a="1"/>
  <c r="X277" i="4" a="1"/>
  <c r="M275" i="4" a="1"/>
  <c r="V277" i="4" a="1"/>
  <c r="R277" i="4" a="1"/>
  <c r="X275" i="4" a="1"/>
  <c r="O275" i="4" a="1"/>
  <c r="V275" i="4" a="1"/>
  <c r="R275" i="4" a="1"/>
  <c r="T277" i="4" a="1"/>
  <c r="M277" i="4" a="1"/>
  <c r="S275" i="4" a="1"/>
  <c r="S277" i="4" a="1"/>
  <c r="Q277" i="4" a="1"/>
  <c r="Q275" i="4" a="1"/>
  <c r="N275" i="4" a="1"/>
  <c r="S3" i="4" l="1"/>
  <c r="S73" i="4"/>
  <c r="S76" i="4"/>
  <c r="S27" i="4"/>
  <c r="S30" i="4"/>
  <c r="S33" i="4"/>
  <c r="S36" i="4"/>
  <c r="S42" i="4"/>
  <c r="S54" i="4"/>
  <c r="S91" i="4"/>
  <c r="S126" i="4"/>
  <c r="S138" i="4"/>
  <c r="S144" i="4"/>
  <c r="S147" i="4"/>
  <c r="S153" i="4"/>
  <c r="S156" i="4"/>
  <c r="S159" i="4"/>
  <c r="S162" i="4"/>
  <c r="S165" i="4"/>
  <c r="S168" i="4"/>
  <c r="S25" i="4"/>
  <c r="S31" i="4"/>
  <c r="S37" i="4"/>
  <c r="S43" i="4"/>
  <c r="S46" i="4"/>
  <c r="S49" i="4"/>
  <c r="S52" i="4"/>
  <c r="S169" i="4"/>
  <c r="S82" i="4"/>
  <c r="S97" i="4"/>
  <c r="S186" i="4"/>
  <c r="S7" i="4"/>
  <c r="S22" i="4"/>
  <c r="S83" i="4"/>
  <c r="S175" i="4"/>
  <c r="S178" i="4"/>
  <c r="S184" i="4"/>
  <c r="S190" i="4"/>
  <c r="S10" i="4"/>
  <c r="S60" i="4"/>
  <c r="S69" i="4"/>
  <c r="S72" i="4"/>
  <c r="S114" i="4"/>
  <c r="S117" i="4"/>
  <c r="S15" i="4"/>
  <c r="S87" i="4"/>
  <c r="S141" i="4"/>
  <c r="S88" i="4"/>
  <c r="S19" i="4"/>
  <c r="S85" i="4"/>
  <c r="S120" i="4"/>
  <c r="S191" i="4"/>
  <c r="S14" i="4"/>
  <c r="S20" i="4"/>
  <c r="S92" i="4"/>
  <c r="S118" i="4"/>
  <c r="S259" i="4"/>
  <c r="S26" i="4"/>
  <c r="S29" i="4"/>
  <c r="S38" i="4"/>
  <c r="S41" i="4"/>
  <c r="S68" i="4"/>
  <c r="S71" i="4"/>
  <c r="S74" i="4"/>
  <c r="S95" i="4"/>
  <c r="S98" i="4"/>
  <c r="S127" i="4"/>
  <c r="S139" i="4"/>
  <c r="S142" i="4"/>
  <c r="S171" i="4"/>
  <c r="S23" i="4"/>
  <c r="S44" i="4"/>
  <c r="S47" i="4"/>
  <c r="S50" i="4"/>
  <c r="S53" i="4"/>
  <c r="S101" i="4"/>
  <c r="S110" i="4"/>
  <c r="S143" i="4"/>
  <c r="S154" i="4"/>
  <c r="S157" i="4"/>
  <c r="S177" i="4"/>
  <c r="S183" i="4"/>
  <c r="S6" i="4"/>
  <c r="S113" i="4"/>
  <c r="S116" i="4"/>
  <c r="S160" i="4"/>
  <c r="S163" i="4"/>
  <c r="S189" i="4"/>
  <c r="S192" i="4"/>
  <c r="S79" i="4"/>
  <c r="S86" i="4"/>
  <c r="S166" i="4"/>
  <c r="S18" i="4"/>
  <c r="S105" i="4"/>
  <c r="S4" i="4"/>
  <c r="S89" i="4"/>
  <c r="S179" i="4"/>
  <c r="S70" i="4"/>
  <c r="S13" i="4"/>
  <c r="S90" i="4"/>
  <c r="S146" i="4"/>
  <c r="S167" i="4"/>
  <c r="S180" i="4"/>
  <c r="S145" i="4"/>
  <c r="S16" i="4"/>
  <c r="S32" i="4"/>
  <c r="S40" i="4"/>
  <c r="S45" i="4"/>
  <c r="S103" i="4"/>
  <c r="S106" i="4"/>
  <c r="S181" i="4"/>
  <c r="S48" i="4"/>
  <c r="S51" i="4"/>
  <c r="S119" i="4"/>
  <c r="S150" i="4"/>
  <c r="S170" i="4"/>
  <c r="S57" i="4"/>
  <c r="S63" i="4"/>
  <c r="S66" i="4"/>
  <c r="S122" i="4"/>
  <c r="S130" i="4"/>
  <c r="S133" i="4"/>
  <c r="S136" i="4"/>
  <c r="Y261" i="4"/>
  <c r="S5" i="4"/>
  <c r="S56" i="4"/>
  <c r="S59" i="4"/>
  <c r="S62" i="4"/>
  <c r="S65" i="4"/>
  <c r="S100" i="4"/>
  <c r="S121" i="4"/>
  <c r="S124" i="4"/>
  <c r="S129" i="4"/>
  <c r="S135" i="4"/>
  <c r="S185" i="4"/>
  <c r="S9" i="4"/>
  <c r="S67" i="4"/>
  <c r="S21" i="4"/>
  <c r="S28" i="4"/>
  <c r="S61" i="4"/>
  <c r="S64" i="4"/>
  <c r="S75" i="4"/>
  <c r="S81" i="4"/>
  <c r="S99" i="4"/>
  <c r="S115" i="4"/>
  <c r="S123" i="4"/>
  <c r="S128" i="4"/>
  <c r="S131" i="4"/>
  <c r="S134" i="4"/>
  <c r="S137" i="4"/>
  <c r="S151" i="4"/>
  <c r="S55" i="4"/>
  <c r="S94" i="4"/>
  <c r="S12" i="4"/>
  <c r="S39" i="4"/>
  <c r="S108" i="4"/>
  <c r="S161" i="4"/>
  <c r="R275" i="4"/>
  <c r="X275" i="4"/>
  <c r="R277" i="4"/>
  <c r="X277" i="4"/>
  <c r="M275" i="4"/>
  <c r="S275" i="4"/>
  <c r="M277" i="4"/>
  <c r="S277" i="4"/>
  <c r="N275" i="4"/>
  <c r="T275" i="4"/>
  <c r="N277" i="4"/>
  <c r="T277" i="4"/>
  <c r="O275" i="4"/>
  <c r="U275" i="4"/>
  <c r="O277" i="4"/>
  <c r="U277" i="4"/>
  <c r="P275" i="4"/>
  <c r="V275" i="4"/>
  <c r="P277" i="4"/>
  <c r="V277" i="4"/>
  <c r="Q275" i="4"/>
  <c r="W275" i="4"/>
  <c r="Q277" i="4"/>
  <c r="W277" i="4"/>
  <c r="S35" i="4"/>
  <c r="S78" i="4"/>
  <c r="I248" i="4"/>
  <c r="E258" i="4"/>
  <c r="E261" i="4" s="1"/>
  <c r="F261" i="4" s="1"/>
  <c r="E251" i="4"/>
  <c r="F252" i="4" s="1"/>
  <c r="S58" i="4"/>
  <c r="S84" i="4"/>
  <c r="S149" i="4"/>
  <c r="S174" i="4"/>
  <c r="V259" i="4" a="1"/>
  <c r="V259" i="4" s="1"/>
  <c r="U259" i="4" a="1"/>
  <c r="U259" i="4" s="1"/>
  <c r="T259" i="4" a="1"/>
  <c r="T259" i="4" s="1"/>
  <c r="R259" i="4"/>
  <c r="X259" i="4" a="1"/>
  <c r="X259" i="4" s="1"/>
  <c r="P259" i="4"/>
  <c r="O249" i="4"/>
  <c r="P250" i="4" s="1"/>
  <c r="Q259" i="4"/>
  <c r="E249" i="4"/>
  <c r="O259" i="4"/>
  <c r="W259" i="4" a="1"/>
  <c r="W259" i="4" s="1"/>
  <c r="N259" i="4"/>
  <c r="M259" i="4"/>
  <c r="Q2" i="4"/>
  <c r="S17" i="4"/>
  <c r="S125" i="4"/>
  <c r="R250" i="4"/>
  <c r="S34" i="4"/>
  <c r="S188" i="4"/>
  <c r="Y262" i="4"/>
  <c r="S173" i="4"/>
  <c r="S132" i="4"/>
  <c r="S155" i="4"/>
  <c r="S77" i="4"/>
  <c r="S172" i="4"/>
  <c r="S8" i="4"/>
  <c r="S24" i="4"/>
  <c r="S80" i="4"/>
  <c r="S107" i="4"/>
  <c r="S187" i="4"/>
  <c r="S148" i="4"/>
  <c r="Y259" i="4" l="1"/>
  <c r="AA259" i="4" s="1"/>
  <c r="U267" i="4" a="1"/>
  <c r="U267" i="4" s="1"/>
  <c r="O267" i="4" a="1"/>
  <c r="O267" i="4" s="1"/>
  <c r="V265" i="4" a="1"/>
  <c r="V265" i="4" s="1"/>
  <c r="P265" i="4" a="1"/>
  <c r="P265" i="4" s="1"/>
  <c r="T267" i="4" a="1"/>
  <c r="T267" i="4" s="1"/>
  <c r="X267" i="4" a="1"/>
  <c r="X267" i="4" s="1"/>
  <c r="W267" i="4" a="1"/>
  <c r="W267" i="4" s="1"/>
  <c r="X265" i="4" a="1"/>
  <c r="X265" i="4" s="1"/>
  <c r="P260" i="4" a="1"/>
  <c r="P260" i="4" s="1"/>
  <c r="K54" i="5" s="1"/>
  <c r="W265" i="4" a="1"/>
  <c r="W265" i="4" s="1"/>
  <c r="V267" i="4" a="1"/>
  <c r="V267" i="4" s="1"/>
  <c r="O260" i="4" a="1"/>
  <c r="O260" i="4" s="1"/>
  <c r="J54" i="5" s="1"/>
  <c r="U265" i="4" a="1"/>
  <c r="U265" i="4" s="1"/>
  <c r="P55" i="5" s="1"/>
  <c r="X260" i="4" a="1"/>
  <c r="X260" i="4" s="1"/>
  <c r="S54" i="5" s="1"/>
  <c r="N260" i="4" a="1"/>
  <c r="N260" i="4" s="1"/>
  <c r="I54" i="5" s="1"/>
  <c r="S267" i="4" a="1"/>
  <c r="S267" i="4" s="1"/>
  <c r="T265" i="4" a="1"/>
  <c r="T265" i="4" s="1"/>
  <c r="O55" i="5" s="1"/>
  <c r="R267" i="4" a="1"/>
  <c r="R267" i="4" s="1"/>
  <c r="S265" i="4" a="1"/>
  <c r="S265" i="4" s="1"/>
  <c r="Q267" i="4" a="1"/>
  <c r="Q267" i="4" s="1"/>
  <c r="R265" i="4" a="1"/>
  <c r="R265" i="4" s="1"/>
  <c r="U260" i="4" a="1"/>
  <c r="U260" i="4" s="1"/>
  <c r="P54" i="5" s="1"/>
  <c r="O265" i="4" a="1"/>
  <c r="O265" i="4" s="1"/>
  <c r="J55" i="5" s="1"/>
  <c r="P267" i="4" a="1"/>
  <c r="P267" i="4" s="1"/>
  <c r="Q265" i="4" a="1"/>
  <c r="Q265" i="4" s="1"/>
  <c r="L55" i="5" s="1"/>
  <c r="E250" i="4"/>
  <c r="N267" i="4" a="1"/>
  <c r="N267" i="4" s="1"/>
  <c r="T260" i="4" a="1"/>
  <c r="T260" i="4" s="1"/>
  <c r="O54" i="5" s="1"/>
  <c r="O56" i="5" s="1"/>
  <c r="S2" i="4"/>
  <c r="W260" i="4" a="1"/>
  <c r="W260" i="4" s="1"/>
  <c r="R54" i="5" s="1"/>
  <c r="M267" i="4" a="1"/>
  <c r="M267" i="4" s="1"/>
  <c r="V260" i="4" a="1"/>
  <c r="V260" i="4" s="1"/>
  <c r="Q54" i="5" s="1"/>
  <c r="S260" i="4" a="1"/>
  <c r="S260" i="4" s="1"/>
  <c r="N54" i="5" s="1"/>
  <c r="N265" i="4" a="1"/>
  <c r="N265" i="4" s="1"/>
  <c r="M265" i="4" a="1"/>
  <c r="M265" i="4" s="1"/>
  <c r="H55" i="5" s="1"/>
  <c r="Q249" i="4"/>
  <c r="Q250" i="4" s="1"/>
  <c r="R260" i="4" a="1"/>
  <c r="R260" i="4" s="1"/>
  <c r="M54" i="5" s="1"/>
  <c r="Q260" i="4" a="1"/>
  <c r="Q260" i="4" s="1"/>
  <c r="L54" i="5" s="1"/>
  <c r="L56" i="5" s="1"/>
  <c r="M260" i="4" a="1"/>
  <c r="M260" i="4" s="1"/>
  <c r="H54" i="5" s="1"/>
  <c r="H56" i="5" s="1"/>
  <c r="E257" i="4"/>
  <c r="E256" i="4"/>
  <c r="E254" i="4"/>
  <c r="F254" i="4" s="1"/>
  <c r="Y277" i="4"/>
  <c r="H252" i="4"/>
  <c r="Y275" i="4"/>
  <c r="X276" i="4" s="1"/>
  <c r="P56" i="5" l="1"/>
  <c r="R55" i="5"/>
  <c r="R56" i="5" s="1"/>
  <c r="M55" i="5"/>
  <c r="M56" i="5" s="1"/>
  <c r="I55" i="5"/>
  <c r="I56" i="5" s="1"/>
  <c r="S55" i="5"/>
  <c r="S56" i="5" s="1"/>
  <c r="N55" i="5"/>
  <c r="N56" i="5" s="1"/>
  <c r="K55" i="5"/>
  <c r="K56" i="5" s="1"/>
  <c r="T54" i="5"/>
  <c r="Q55" i="5"/>
  <c r="Q56" i="5" s="1"/>
  <c r="J56" i="5"/>
  <c r="X274" i="4"/>
  <c r="X278" i="4" s="1"/>
  <c r="R274" i="4"/>
  <c r="R278" i="4" s="1"/>
  <c r="V274" i="4"/>
  <c r="V278" i="4" s="1"/>
  <c r="Q274" i="4"/>
  <c r="Q278" i="4" s="1"/>
  <c r="U274" i="4"/>
  <c r="U278" i="4" s="1"/>
  <c r="S274" i="4"/>
  <c r="S278" i="4" s="1"/>
  <c r="P274" i="4"/>
  <c r="P278" i="4" s="1"/>
  <c r="N276" i="4"/>
  <c r="Q276" i="4"/>
  <c r="R276" i="4"/>
  <c r="U276" i="4"/>
  <c r="W274" i="4"/>
  <c r="W278" i="4" s="1"/>
  <c r="S276" i="4"/>
  <c r="U268" i="4" a="1"/>
  <c r="U268" i="4" s="1"/>
  <c r="O268" i="4" a="1"/>
  <c r="O268" i="4" s="1"/>
  <c r="V266" i="4" a="1"/>
  <c r="V266" i="4" s="1"/>
  <c r="P266" i="4" a="1"/>
  <c r="P266" i="4" s="1"/>
  <c r="W263" i="4" a="1"/>
  <c r="W263" i="4" s="1"/>
  <c r="R3" i="5" s="1"/>
  <c r="N263" i="4"/>
  <c r="I3" i="5" s="1"/>
  <c r="M263" i="4"/>
  <c r="H3" i="5" s="1"/>
  <c r="T268" i="4" a="1"/>
  <c r="T268" i="4" s="1"/>
  <c r="N268" i="4" a="1"/>
  <c r="N268" i="4" s="1"/>
  <c r="S268" i="4" a="1"/>
  <c r="S268" i="4" s="1"/>
  <c r="M268" i="4" a="1"/>
  <c r="M268" i="4" s="1"/>
  <c r="X268" i="4" a="1"/>
  <c r="X268" i="4" s="1"/>
  <c r="R268" i="4" a="1"/>
  <c r="R268" i="4" s="1"/>
  <c r="S263" i="4"/>
  <c r="N3" i="5" s="1"/>
  <c r="W268" i="4" a="1"/>
  <c r="W268" i="4" s="1"/>
  <c r="Q268" i="4" a="1"/>
  <c r="Q268" i="4" s="1"/>
  <c r="Q263" i="4"/>
  <c r="L3" i="5" s="1"/>
  <c r="P268" i="4" a="1"/>
  <c r="P268" i="4" s="1"/>
  <c r="X266" i="4" a="1"/>
  <c r="X266" i="4" s="1"/>
  <c r="W266" i="4" a="1"/>
  <c r="W266" i="4" s="1"/>
  <c r="X263" i="4" a="1"/>
  <c r="X263" i="4" s="1"/>
  <c r="S3" i="5" s="1"/>
  <c r="U266" i="4" a="1"/>
  <c r="U266" i="4" s="1"/>
  <c r="U269" i="4" s="1"/>
  <c r="P4" i="5" s="1"/>
  <c r="V263" i="4" a="1"/>
  <c r="V263" i="4" s="1"/>
  <c r="Q3" i="5" s="1"/>
  <c r="T266" i="4" a="1"/>
  <c r="T266" i="4" s="1"/>
  <c r="S266" i="4" a="1"/>
  <c r="S266" i="4" s="1"/>
  <c r="S269" i="4" s="1"/>
  <c r="N4" i="5" s="1"/>
  <c r="T263" i="4" a="1"/>
  <c r="T263" i="4" s="1"/>
  <c r="O3" i="5" s="1"/>
  <c r="R266" i="4" a="1"/>
  <c r="R266" i="4" s="1"/>
  <c r="R269" i="4" s="1"/>
  <c r="M4" i="5" s="1"/>
  <c r="R263" i="4"/>
  <c r="M3" i="5" s="1"/>
  <c r="Q266" i="4" a="1"/>
  <c r="Q266" i="4" s="1"/>
  <c r="Q269" i="4" s="1"/>
  <c r="L4" i="5" s="1"/>
  <c r="P263" i="4"/>
  <c r="O266" i="4" a="1"/>
  <c r="O266" i="4" s="1"/>
  <c r="O269" i="4" s="1"/>
  <c r="J4" i="5" s="1"/>
  <c r="O263" i="4"/>
  <c r="J3" i="5" s="1"/>
  <c r="S249" i="4"/>
  <c r="S250" i="4" s="1"/>
  <c r="U263" i="4" a="1"/>
  <c r="U263" i="4" s="1"/>
  <c r="V268" i="4" a="1"/>
  <c r="V268" i="4" s="1"/>
  <c r="N266" i="4" a="1"/>
  <c r="N266" i="4" s="1"/>
  <c r="M266" i="4" a="1"/>
  <c r="M266" i="4" s="1"/>
  <c r="M269" i="4" s="1"/>
  <c r="H4" i="5" s="1"/>
  <c r="T276" i="4"/>
  <c r="V276" i="4"/>
  <c r="T274" i="4"/>
  <c r="T278" i="4" s="1"/>
  <c r="W276" i="4"/>
  <c r="M274" i="4"/>
  <c r="Y260" i="4"/>
  <c r="N274" i="4"/>
  <c r="N278" i="4" s="1"/>
  <c r="O276" i="4"/>
  <c r="P276" i="4"/>
  <c r="O274" i="4"/>
  <c r="O278" i="4" s="1"/>
  <c r="M276" i="4"/>
  <c r="H5" i="5" l="1"/>
  <c r="W269" i="4"/>
  <c r="R4" i="5" s="1"/>
  <c r="R5" i="5" s="1"/>
  <c r="J5" i="5"/>
  <c r="M5" i="5"/>
  <c r="X269" i="4"/>
  <c r="S4" i="5" s="1"/>
  <c r="P270" i="4"/>
  <c r="K3" i="5"/>
  <c r="L5" i="5"/>
  <c r="N5" i="5"/>
  <c r="T269" i="4"/>
  <c r="O4" i="5" s="1"/>
  <c r="T55" i="5"/>
  <c r="T56" i="5" s="1"/>
  <c r="N269" i="4"/>
  <c r="I4" i="5" s="1"/>
  <c r="U270" i="4"/>
  <c r="P3" i="5"/>
  <c r="X270" i="4"/>
  <c r="M270" i="4"/>
  <c r="P269" i="4"/>
  <c r="K4" i="5" s="1"/>
  <c r="V269" i="4"/>
  <c r="Q4" i="5" s="1"/>
  <c r="Z268" i="4"/>
  <c r="Z266" i="4"/>
  <c r="Z265" i="4" s="1"/>
  <c r="O270" i="4"/>
  <c r="Y263" i="4"/>
  <c r="N270" i="4"/>
  <c r="Q270" i="4"/>
  <c r="W270" i="4"/>
  <c r="R270" i="4"/>
  <c r="T270" i="4"/>
  <c r="S270" i="4"/>
  <c r="Y266" i="4"/>
  <c r="M278" i="4"/>
  <c r="Y274" i="4"/>
  <c r="V270" i="4"/>
  <c r="Y268" i="4"/>
  <c r="AA268" i="4" s="1"/>
  <c r="S5" i="5" l="1"/>
  <c r="K5" i="5"/>
  <c r="Q5" i="5"/>
  <c r="T4" i="5"/>
  <c r="P5" i="5"/>
  <c r="O5" i="5"/>
  <c r="I5" i="5"/>
  <c r="T3" i="5"/>
  <c r="Y269" i="4"/>
  <c r="AA270" i="4"/>
  <c r="Y270" i="4"/>
  <c r="W271" i="4" s="1"/>
  <c r="AA266" i="4"/>
  <c r="T5" i="5" l="1"/>
  <c r="Z263" i="4"/>
  <c r="V271" i="4"/>
  <c r="X271" i="4"/>
  <c r="R271" i="4"/>
  <c r="M271" i="4"/>
  <c r="Z269" i="4"/>
  <c r="S271" i="4"/>
  <c r="N271" i="4"/>
  <c r="Q271" i="4"/>
  <c r="T271" i="4"/>
  <c r="Y271" i="4"/>
  <c r="P271" i="4"/>
  <c r="O271" i="4"/>
  <c r="U271" i="4"/>
  <c r="H261" i="1" l="1"/>
  <c r="H260" i="1"/>
  <c r="H259" i="1"/>
  <c r="N258" i="1"/>
  <c r="O258" i="1" s="1"/>
  <c r="N257" i="1"/>
  <c r="O257" i="1" s="1"/>
  <c r="H258" i="1" l="1"/>
  <c r="K157" i="1" l="1"/>
  <c r="J157" i="1"/>
  <c r="H257" i="1" l="1"/>
  <c r="N157" i="1"/>
  <c r="P157" i="1" s="1"/>
  <c r="H157" i="1"/>
  <c r="R157" i="1" l="1"/>
  <c r="N256" i="1"/>
  <c r="O256" i="1" s="1"/>
  <c r="H256" i="1"/>
  <c r="N255" i="1" l="1"/>
  <c r="O255" i="1" s="1"/>
  <c r="H255" i="1"/>
  <c r="N254" i="1"/>
  <c r="O254" i="1" s="1"/>
  <c r="H254" i="1"/>
  <c r="N253" i="1"/>
  <c r="O253" i="1" s="1"/>
  <c r="H253" i="1"/>
  <c r="N252" i="1"/>
  <c r="O252" i="1" s="1"/>
  <c r="H252" i="1"/>
  <c r="N182" i="1"/>
  <c r="H182" i="1"/>
  <c r="N185" i="1"/>
  <c r="H185" i="1"/>
  <c r="N251" i="1"/>
  <c r="O251" i="1" s="1"/>
  <c r="H251" i="1"/>
  <c r="N250" i="1"/>
  <c r="O250" i="1" s="1"/>
  <c r="H250" i="1"/>
  <c r="P185" i="1" l="1"/>
  <c r="R185" i="1" s="1"/>
  <c r="P182" i="1"/>
  <c r="R182" i="1" s="1"/>
  <c r="N226" i="1"/>
  <c r="O226" i="1" s="1"/>
  <c r="H245" i="1" l="1"/>
  <c r="H173" i="1"/>
  <c r="H151" i="1"/>
  <c r="N245" i="1"/>
  <c r="O245" i="1" s="1"/>
  <c r="J173" i="1"/>
  <c r="K173" i="1"/>
  <c r="N173" i="1"/>
  <c r="P173" i="1" s="1"/>
  <c r="J151" i="1"/>
  <c r="K151" i="1"/>
  <c r="N151" i="1"/>
  <c r="P151" i="1" s="1"/>
  <c r="H166" i="1"/>
  <c r="J166" i="1"/>
  <c r="K166" i="1"/>
  <c r="N166" i="1"/>
  <c r="P166" i="1" s="1"/>
  <c r="H246" i="1"/>
  <c r="N246" i="1"/>
  <c r="O246" i="1" s="1"/>
  <c r="H247" i="1"/>
  <c r="N247" i="1"/>
  <c r="O247" i="1" s="1"/>
  <c r="H156" i="1"/>
  <c r="J156" i="1"/>
  <c r="K156" i="1"/>
  <c r="N156" i="1"/>
  <c r="P156" i="1" s="1"/>
  <c r="H248" i="1"/>
  <c r="N248" i="1"/>
  <c r="O248" i="1" s="1"/>
  <c r="H249" i="1"/>
  <c r="N249" i="1"/>
  <c r="O249" i="1" s="1"/>
  <c r="H150" i="1"/>
  <c r="J150" i="1"/>
  <c r="K150" i="1"/>
  <c r="N150" i="1"/>
  <c r="P150" i="1" s="1"/>
  <c r="H152" i="1"/>
  <c r="J152" i="1"/>
  <c r="K152" i="1"/>
  <c r="N152" i="1"/>
  <c r="P152" i="1" s="1"/>
  <c r="H171" i="1"/>
  <c r="J171" i="1"/>
  <c r="K171" i="1"/>
  <c r="N171" i="1"/>
  <c r="P171" i="1" s="1"/>
  <c r="H172" i="1"/>
  <c r="J172" i="1"/>
  <c r="K172" i="1"/>
  <c r="N172" i="1"/>
  <c r="P172" i="1" s="1"/>
  <c r="H262" i="1"/>
  <c r="H187" i="1"/>
  <c r="R187" i="1" s="1"/>
  <c r="R173" i="1" l="1"/>
  <c r="R171" i="1"/>
  <c r="R172" i="1"/>
  <c r="R166" i="1"/>
  <c r="R156" i="1"/>
  <c r="R150" i="1"/>
  <c r="R152" i="1"/>
  <c r="R151" i="1"/>
  <c r="H240" i="1"/>
  <c r="N240" i="1"/>
  <c r="O240" i="1" s="1"/>
  <c r="H147" i="1"/>
  <c r="J147" i="1"/>
  <c r="K147" i="1"/>
  <c r="N147" i="1"/>
  <c r="P147" i="1" s="1"/>
  <c r="H241" i="1"/>
  <c r="N241" i="1"/>
  <c r="O241" i="1" s="1"/>
  <c r="H242" i="1"/>
  <c r="N242" i="1"/>
  <c r="O242" i="1" s="1"/>
  <c r="H243" i="1"/>
  <c r="N243" i="1"/>
  <c r="O243" i="1" s="1"/>
  <c r="H244" i="1"/>
  <c r="N244" i="1"/>
  <c r="O244" i="1" s="1"/>
  <c r="R147" i="1" l="1"/>
  <c r="H188" i="1"/>
  <c r="N188" i="1"/>
  <c r="O188" i="1" l="1"/>
  <c r="P188" i="1"/>
  <c r="R188" i="1" s="1"/>
  <c r="H234" i="1"/>
  <c r="N234" i="1"/>
  <c r="O234" i="1" s="1"/>
  <c r="H177" i="1"/>
  <c r="J177" i="1"/>
  <c r="K177" i="1"/>
  <c r="N177" i="1"/>
  <c r="P177" i="1" s="1"/>
  <c r="H235" i="1"/>
  <c r="N235" i="1"/>
  <c r="O235" i="1" s="1"/>
  <c r="H236" i="1"/>
  <c r="N236" i="1"/>
  <c r="O236" i="1" s="1"/>
  <c r="H145" i="1"/>
  <c r="J145" i="1"/>
  <c r="K145" i="1"/>
  <c r="N145" i="1"/>
  <c r="P145" i="1" s="1"/>
  <c r="H237" i="1"/>
  <c r="N237" i="1"/>
  <c r="O237" i="1" s="1"/>
  <c r="H146" i="1"/>
  <c r="J146" i="1"/>
  <c r="K146" i="1"/>
  <c r="N146" i="1"/>
  <c r="P146" i="1" s="1"/>
  <c r="H238" i="1"/>
  <c r="N238" i="1"/>
  <c r="O238" i="1" s="1"/>
  <c r="H144" i="1"/>
  <c r="J144" i="1"/>
  <c r="K144" i="1"/>
  <c r="N144" i="1"/>
  <c r="P144" i="1" s="1"/>
  <c r="H239" i="1"/>
  <c r="N239" i="1"/>
  <c r="O239" i="1" s="1"/>
  <c r="H2" i="1"/>
  <c r="R177" i="1" l="1"/>
  <c r="R146" i="1"/>
  <c r="R145" i="1"/>
  <c r="R144" i="1"/>
  <c r="H233" i="1"/>
  <c r="J114" i="1"/>
  <c r="H232" i="1"/>
  <c r="K89" i="1" l="1"/>
  <c r="K84" i="1"/>
  <c r="K100" i="1"/>
  <c r="K96" i="1"/>
  <c r="K108" i="1"/>
  <c r="K116" i="1"/>
  <c r="K117" i="1"/>
  <c r="K118" i="1"/>
  <c r="K130" i="1"/>
  <c r="H170" i="1" l="1"/>
  <c r="J170" i="1"/>
  <c r="K170" i="1"/>
  <c r="N170" i="1"/>
  <c r="P170" i="1" s="1"/>
  <c r="H131" i="1"/>
  <c r="J131" i="1"/>
  <c r="K131" i="1"/>
  <c r="N131" i="1"/>
  <c r="P131" i="1" s="1"/>
  <c r="H230" i="1"/>
  <c r="N230" i="1"/>
  <c r="O230" i="1" s="1"/>
  <c r="H162" i="1"/>
  <c r="J162" i="1"/>
  <c r="K162" i="1"/>
  <c r="N162" i="1"/>
  <c r="P162" i="1" s="1"/>
  <c r="J160" i="1"/>
  <c r="K160" i="1"/>
  <c r="N160" i="1"/>
  <c r="P160" i="1" s="1"/>
  <c r="R160" i="1" s="1"/>
  <c r="H231" i="1"/>
  <c r="N231" i="1"/>
  <c r="O231" i="1" s="1"/>
  <c r="N232" i="1"/>
  <c r="O232" i="1" s="1"/>
  <c r="H138" i="1"/>
  <c r="J138" i="1"/>
  <c r="K138" i="1"/>
  <c r="N138" i="1"/>
  <c r="P138" i="1" s="1"/>
  <c r="N233" i="1"/>
  <c r="O233" i="1" s="1"/>
  <c r="H180" i="1"/>
  <c r="J180" i="1"/>
  <c r="K180" i="1"/>
  <c r="N180" i="1"/>
  <c r="P180" i="1" s="1"/>
  <c r="H159" i="1"/>
  <c r="J159" i="1"/>
  <c r="K159" i="1"/>
  <c r="N159" i="1"/>
  <c r="P159" i="1" s="1"/>
  <c r="H165" i="1"/>
  <c r="J165" i="1"/>
  <c r="K165" i="1"/>
  <c r="N165" i="1"/>
  <c r="P165" i="1" s="1"/>
  <c r="H264" i="1"/>
  <c r="J264" i="1"/>
  <c r="K264" i="1"/>
  <c r="N264" i="1"/>
  <c r="P264" i="1" s="1"/>
  <c r="R264" i="1" l="1"/>
  <c r="R180" i="1"/>
  <c r="R170" i="1"/>
  <c r="R162" i="1"/>
  <c r="R165" i="1"/>
  <c r="R159" i="1"/>
  <c r="R138" i="1"/>
  <c r="R131" i="1"/>
  <c r="K213" i="1"/>
  <c r="K214" i="1"/>
  <c r="K115" i="1"/>
  <c r="N115" i="1"/>
  <c r="P115" i="1" s="1"/>
  <c r="J115" i="1"/>
  <c r="H142" i="1" l="1"/>
  <c r="H111" i="1" l="1"/>
  <c r="H167" i="1"/>
  <c r="H133" i="1"/>
  <c r="H136" i="1"/>
  <c r="H169" i="1"/>
  <c r="H126" i="1"/>
  <c r="H161" i="1"/>
  <c r="H124" i="1"/>
  <c r="H158" i="1"/>
  <c r="H112" i="1"/>
  <c r="H141" i="1"/>
  <c r="H228" i="1"/>
  <c r="H110" i="1"/>
  <c r="H135" i="1"/>
  <c r="H125" i="1"/>
  <c r="H143" i="1"/>
  <c r="H127" i="1"/>
  <c r="H229" i="1"/>
  <c r="H128" i="1"/>
  <c r="J158" i="1"/>
  <c r="K158" i="1"/>
  <c r="N158" i="1"/>
  <c r="P158" i="1" s="1"/>
  <c r="J112" i="1"/>
  <c r="K112" i="1"/>
  <c r="N112" i="1"/>
  <c r="P112" i="1" s="1"/>
  <c r="J141" i="1"/>
  <c r="K141" i="1"/>
  <c r="N141" i="1"/>
  <c r="P141" i="1" s="1"/>
  <c r="N228" i="1"/>
  <c r="O228" i="1" s="1"/>
  <c r="J110" i="1"/>
  <c r="K110" i="1"/>
  <c r="N110" i="1"/>
  <c r="P110" i="1" s="1"/>
  <c r="J179" i="1"/>
  <c r="K179" i="1"/>
  <c r="N179" i="1"/>
  <c r="P179" i="1" s="1"/>
  <c r="R179" i="1" s="1"/>
  <c r="J135" i="1"/>
  <c r="K135" i="1"/>
  <c r="N135" i="1"/>
  <c r="P135" i="1" s="1"/>
  <c r="J125" i="1"/>
  <c r="K125" i="1"/>
  <c r="N125" i="1"/>
  <c r="P125" i="1" s="1"/>
  <c r="J111" i="1"/>
  <c r="K111" i="1"/>
  <c r="N111" i="1"/>
  <c r="P111" i="1" s="1"/>
  <c r="J167" i="1"/>
  <c r="K167" i="1"/>
  <c r="N167" i="1"/>
  <c r="P167" i="1" s="1"/>
  <c r="J133" i="1"/>
  <c r="K133" i="1"/>
  <c r="N133" i="1"/>
  <c r="P133" i="1" s="1"/>
  <c r="J136" i="1"/>
  <c r="K136" i="1"/>
  <c r="N136" i="1"/>
  <c r="P136" i="1" s="1"/>
  <c r="J169" i="1"/>
  <c r="K169" i="1"/>
  <c r="N169" i="1"/>
  <c r="P169" i="1" s="1"/>
  <c r="J126" i="1"/>
  <c r="K126" i="1"/>
  <c r="N126" i="1"/>
  <c r="P126" i="1" s="1"/>
  <c r="J143" i="1"/>
  <c r="K143" i="1"/>
  <c r="N143" i="1"/>
  <c r="P143" i="1" s="1"/>
  <c r="J127" i="1"/>
  <c r="K127" i="1"/>
  <c r="N127" i="1"/>
  <c r="P127" i="1" s="1"/>
  <c r="N229" i="1"/>
  <c r="O229" i="1" s="1"/>
  <c r="J128" i="1"/>
  <c r="K128" i="1"/>
  <c r="N128" i="1"/>
  <c r="P128" i="1" s="1"/>
  <c r="J142" i="1"/>
  <c r="K142" i="1"/>
  <c r="N142" i="1"/>
  <c r="R167" i="1" l="1"/>
  <c r="R169" i="1"/>
  <c r="R143" i="1"/>
  <c r="P142" i="1"/>
  <c r="R142" i="1" s="1"/>
  <c r="R141" i="1"/>
  <c r="R136" i="1"/>
  <c r="R135" i="1"/>
  <c r="R128" i="1"/>
  <c r="R133" i="1"/>
  <c r="R127" i="1"/>
  <c r="R125" i="1"/>
  <c r="R126" i="1"/>
  <c r="R158" i="1"/>
  <c r="R112" i="1"/>
  <c r="R111" i="1"/>
  <c r="R110" i="1"/>
  <c r="H226" i="1"/>
  <c r="H227" i="1" l="1"/>
  <c r="N227" i="1"/>
  <c r="O227" i="1" s="1"/>
  <c r="W307" i="1" l="1"/>
  <c r="V307" i="1"/>
  <c r="U307" i="1"/>
  <c r="T307" i="1"/>
  <c r="S307" i="1"/>
  <c r="R307" i="1"/>
  <c r="Q307" i="1"/>
  <c r="P307" i="1"/>
  <c r="O307" i="1"/>
  <c r="N307" i="1"/>
  <c r="M307" i="1"/>
  <c r="L307" i="1"/>
  <c r="W305" i="1"/>
  <c r="V305" i="1"/>
  <c r="U305" i="1"/>
  <c r="T305" i="1"/>
  <c r="S305" i="1"/>
  <c r="R305" i="1"/>
  <c r="Q305" i="1"/>
  <c r="P305" i="1"/>
  <c r="O305" i="1"/>
  <c r="N305" i="1"/>
  <c r="M305" i="1"/>
  <c r="W292" i="1" a="1"/>
  <c r="W292" i="1" s="1"/>
  <c r="V292" i="1" a="1"/>
  <c r="V292" i="1" s="1"/>
  <c r="U292" i="1" a="1"/>
  <c r="U292" i="1" s="1"/>
  <c r="T292" i="1" a="1"/>
  <c r="T292" i="1" s="1"/>
  <c r="S292" i="1" a="1"/>
  <c r="S292" i="1" s="1"/>
  <c r="R292" i="1" a="1"/>
  <c r="R292" i="1" s="1"/>
  <c r="Q292" i="1" a="1"/>
  <c r="Q292" i="1" s="1"/>
  <c r="P292" i="1" a="1"/>
  <c r="P292" i="1" s="1"/>
  <c r="O292" i="1" a="1"/>
  <c r="O292" i="1" s="1"/>
  <c r="N292" i="1" a="1"/>
  <c r="N292" i="1" s="1"/>
  <c r="M292" i="1" a="1"/>
  <c r="M292" i="1" s="1"/>
  <c r="L292" i="1"/>
  <c r="E283" i="1"/>
  <c r="Q279" i="1"/>
  <c r="L279" i="1"/>
  <c r="E290" i="1" s="1" a="1"/>
  <c r="E290" i="1" s="1"/>
  <c r="G278" i="1"/>
  <c r="E289" i="1" s="1" a="1"/>
  <c r="E289" i="1" s="1"/>
  <c r="F278" i="1"/>
  <c r="N124" i="1"/>
  <c r="P124" i="1" s="1"/>
  <c r="R124" i="1" s="1"/>
  <c r="K124" i="1"/>
  <c r="J124" i="1"/>
  <c r="N161" i="1"/>
  <c r="P161" i="1" s="1"/>
  <c r="R161" i="1" s="1"/>
  <c r="K161" i="1"/>
  <c r="J161" i="1"/>
  <c r="N114" i="1"/>
  <c r="P114" i="1" s="1"/>
  <c r="K114" i="1"/>
  <c r="H114" i="1"/>
  <c r="N225" i="1"/>
  <c r="O225" i="1" s="1"/>
  <c r="H225" i="1"/>
  <c r="N104" i="1"/>
  <c r="P104" i="1" s="1"/>
  <c r="K104" i="1"/>
  <c r="J104" i="1"/>
  <c r="H104" i="1"/>
  <c r="N154" i="1"/>
  <c r="P154" i="1" s="1"/>
  <c r="K154" i="1"/>
  <c r="J154" i="1"/>
  <c r="H154" i="1"/>
  <c r="N106" i="1"/>
  <c r="P106" i="1" s="1"/>
  <c r="K106" i="1"/>
  <c r="J106" i="1"/>
  <c r="H106" i="1"/>
  <c r="N184" i="1"/>
  <c r="H184" i="1"/>
  <c r="N163" i="1"/>
  <c r="P163" i="1" s="1"/>
  <c r="K163" i="1"/>
  <c r="J163" i="1"/>
  <c r="H163" i="1"/>
  <c r="N109" i="1"/>
  <c r="P109" i="1" s="1"/>
  <c r="K109" i="1"/>
  <c r="J109" i="1"/>
  <c r="H109" i="1"/>
  <c r="N164" i="1"/>
  <c r="P164" i="1" s="1"/>
  <c r="K164" i="1"/>
  <c r="J164" i="1"/>
  <c r="H164" i="1"/>
  <c r="P103" i="1"/>
  <c r="K103" i="1"/>
  <c r="J103" i="1"/>
  <c r="H103" i="1"/>
  <c r="N119" i="1"/>
  <c r="P119" i="1" s="1"/>
  <c r="K119" i="1"/>
  <c r="J119" i="1"/>
  <c r="H119" i="1"/>
  <c r="N181" i="1"/>
  <c r="H181" i="1"/>
  <c r="N224" i="1"/>
  <c r="O224" i="1" s="1"/>
  <c r="H224" i="1"/>
  <c r="N105" i="1"/>
  <c r="P105" i="1" s="1"/>
  <c r="K105" i="1"/>
  <c r="J105" i="1"/>
  <c r="H105" i="1"/>
  <c r="N223" i="1"/>
  <c r="O223" i="1" s="1"/>
  <c r="K223" i="1"/>
  <c r="H223" i="1"/>
  <c r="N140" i="1"/>
  <c r="P140" i="1" s="1"/>
  <c r="K140" i="1"/>
  <c r="J140" i="1"/>
  <c r="H140" i="1"/>
  <c r="N121" i="1"/>
  <c r="P121" i="1" s="1"/>
  <c r="K121" i="1"/>
  <c r="J121" i="1"/>
  <c r="H121" i="1"/>
  <c r="N107" i="1"/>
  <c r="P107" i="1" s="1"/>
  <c r="K107" i="1"/>
  <c r="J107" i="1"/>
  <c r="H107" i="1"/>
  <c r="N183" i="1"/>
  <c r="K183" i="1"/>
  <c r="H183" i="1"/>
  <c r="N222" i="1"/>
  <c r="O222" i="1" s="1"/>
  <c r="K222" i="1"/>
  <c r="H222" i="1"/>
  <c r="N176" i="1"/>
  <c r="P176" i="1" s="1"/>
  <c r="K176" i="1"/>
  <c r="J176" i="1"/>
  <c r="H176" i="1"/>
  <c r="N120" i="1"/>
  <c r="P120" i="1" s="1"/>
  <c r="K120" i="1"/>
  <c r="J120" i="1"/>
  <c r="H120" i="1"/>
  <c r="N221" i="1"/>
  <c r="O221" i="1" s="1"/>
  <c r="K221" i="1"/>
  <c r="H221" i="1"/>
  <c r="N220" i="1"/>
  <c r="O220" i="1" s="1"/>
  <c r="K220" i="1"/>
  <c r="H220" i="1"/>
  <c r="N102" i="1"/>
  <c r="P102" i="1" s="1"/>
  <c r="K102" i="1"/>
  <c r="J102" i="1"/>
  <c r="H102" i="1"/>
  <c r="N189" i="1"/>
  <c r="K189" i="1"/>
  <c r="H189" i="1"/>
  <c r="N219" i="1"/>
  <c r="O219" i="1" s="1"/>
  <c r="K219" i="1"/>
  <c r="H219" i="1"/>
  <c r="N113" i="1"/>
  <c r="P113" i="1" s="1"/>
  <c r="K113" i="1"/>
  <c r="J113" i="1"/>
  <c r="H113" i="1"/>
  <c r="N218" i="1"/>
  <c r="O218" i="1" s="1"/>
  <c r="K218" i="1"/>
  <c r="H218" i="1"/>
  <c r="N155" i="1"/>
  <c r="P155" i="1" s="1"/>
  <c r="R155" i="1" s="1"/>
  <c r="K155" i="1"/>
  <c r="J155" i="1"/>
  <c r="N137" i="1"/>
  <c r="P137" i="1" s="1"/>
  <c r="K137" i="1"/>
  <c r="J137" i="1"/>
  <c r="H137" i="1"/>
  <c r="N123" i="1"/>
  <c r="P123" i="1" s="1"/>
  <c r="K123" i="1"/>
  <c r="J123" i="1"/>
  <c r="H123" i="1"/>
  <c r="N132" i="1"/>
  <c r="P132" i="1" s="1"/>
  <c r="K132" i="1"/>
  <c r="J132" i="1"/>
  <c r="H132" i="1"/>
  <c r="N217" i="1"/>
  <c r="O217" i="1" s="1"/>
  <c r="K217" i="1"/>
  <c r="H217" i="1"/>
  <c r="N216" i="1"/>
  <c r="O216" i="1" s="1"/>
  <c r="K216" i="1"/>
  <c r="H216" i="1"/>
  <c r="N215" i="1"/>
  <c r="O215" i="1" s="1"/>
  <c r="K215" i="1"/>
  <c r="J215" i="1"/>
  <c r="H215" i="1"/>
  <c r="N129" i="1"/>
  <c r="P129" i="1" s="1"/>
  <c r="K129" i="1"/>
  <c r="J129" i="1"/>
  <c r="H129" i="1"/>
  <c r="N149" i="1"/>
  <c r="P149" i="1" s="1"/>
  <c r="K149" i="1"/>
  <c r="J149" i="1"/>
  <c r="H149" i="1"/>
  <c r="H115" i="1"/>
  <c r="R115" i="1" s="1"/>
  <c r="N214" i="1"/>
  <c r="O214" i="1" s="1"/>
  <c r="J214" i="1"/>
  <c r="H214" i="1"/>
  <c r="N213" i="1"/>
  <c r="O213" i="1" s="1"/>
  <c r="H213" i="1"/>
  <c r="N212" i="1"/>
  <c r="O212" i="1" s="1"/>
  <c r="K212" i="1"/>
  <c r="J212" i="1"/>
  <c r="H212" i="1"/>
  <c r="N175" i="1"/>
  <c r="P175" i="1" s="1"/>
  <c r="K175" i="1"/>
  <c r="J175" i="1"/>
  <c r="H175" i="1"/>
  <c r="N148" i="1"/>
  <c r="P148" i="1" s="1"/>
  <c r="K148" i="1"/>
  <c r="J148" i="1"/>
  <c r="H148" i="1"/>
  <c r="N211" i="1"/>
  <c r="O211" i="1" s="1"/>
  <c r="K211" i="1"/>
  <c r="J211" i="1"/>
  <c r="H211" i="1"/>
  <c r="N210" i="1"/>
  <c r="O210" i="1" s="1"/>
  <c r="K210" i="1"/>
  <c r="J210" i="1"/>
  <c r="H210" i="1"/>
  <c r="N209" i="1"/>
  <c r="O209" i="1" s="1"/>
  <c r="K209" i="1"/>
  <c r="J209" i="1"/>
  <c r="H209" i="1"/>
  <c r="N208" i="1"/>
  <c r="O208" i="1" s="1"/>
  <c r="K208" i="1"/>
  <c r="J208" i="1"/>
  <c r="H208" i="1"/>
  <c r="N207" i="1"/>
  <c r="O207" i="1" s="1"/>
  <c r="K207" i="1"/>
  <c r="J207" i="1"/>
  <c r="H207" i="1"/>
  <c r="N206" i="1"/>
  <c r="O206" i="1" s="1"/>
  <c r="K206" i="1"/>
  <c r="J206" i="1"/>
  <c r="H206" i="1"/>
  <c r="N122" i="1"/>
  <c r="P122" i="1" s="1"/>
  <c r="K122" i="1"/>
  <c r="J122" i="1"/>
  <c r="H122" i="1"/>
  <c r="N118" i="1"/>
  <c r="P118" i="1" s="1"/>
  <c r="J118" i="1"/>
  <c r="H118" i="1"/>
  <c r="N178" i="1"/>
  <c r="P178" i="1" s="1"/>
  <c r="K178" i="1"/>
  <c r="J178" i="1"/>
  <c r="H178" i="1"/>
  <c r="N205" i="1"/>
  <c r="O205" i="1" s="1"/>
  <c r="K205" i="1"/>
  <c r="J205" i="1"/>
  <c r="H205" i="1"/>
  <c r="N204" i="1"/>
  <c r="O204" i="1" s="1"/>
  <c r="K204" i="1"/>
  <c r="J204" i="1"/>
  <c r="H204" i="1"/>
  <c r="N203" i="1"/>
  <c r="O203" i="1" s="1"/>
  <c r="K203" i="1"/>
  <c r="J203" i="1"/>
  <c r="H203" i="1"/>
  <c r="N117" i="1"/>
  <c r="P117" i="1" s="1"/>
  <c r="J117" i="1"/>
  <c r="H117" i="1"/>
  <c r="N202" i="1"/>
  <c r="O202" i="1" s="1"/>
  <c r="K202" i="1"/>
  <c r="J202" i="1"/>
  <c r="H202" i="1"/>
  <c r="N116" i="1"/>
  <c r="P116" i="1" s="1"/>
  <c r="J116" i="1"/>
  <c r="H116" i="1"/>
  <c r="N201" i="1"/>
  <c r="O201" i="1" s="1"/>
  <c r="H201" i="1"/>
  <c r="N200" i="1"/>
  <c r="O200" i="1" s="1"/>
  <c r="K200" i="1"/>
  <c r="J200" i="1"/>
  <c r="H200" i="1"/>
  <c r="N199" i="1"/>
  <c r="O199" i="1" s="1"/>
  <c r="K199" i="1"/>
  <c r="J199" i="1"/>
  <c r="H199" i="1"/>
  <c r="N186" i="1"/>
  <c r="K186" i="1"/>
  <c r="J186" i="1"/>
  <c r="H186" i="1"/>
  <c r="N198" i="1"/>
  <c r="O198" i="1" s="1"/>
  <c r="K198" i="1"/>
  <c r="J198" i="1"/>
  <c r="H198" i="1"/>
  <c r="N197" i="1"/>
  <c r="O197" i="1" s="1"/>
  <c r="K197" i="1"/>
  <c r="J197" i="1"/>
  <c r="H197" i="1"/>
  <c r="N196" i="1"/>
  <c r="O196" i="1" s="1"/>
  <c r="K196" i="1"/>
  <c r="J196" i="1"/>
  <c r="H196" i="1"/>
  <c r="N108" i="1"/>
  <c r="P108" i="1" s="1"/>
  <c r="J108" i="1"/>
  <c r="H108" i="1"/>
  <c r="N134" i="1"/>
  <c r="P134" i="1" s="1"/>
  <c r="K134" i="1"/>
  <c r="J134" i="1"/>
  <c r="H134" i="1"/>
  <c r="N153" i="1"/>
  <c r="P153" i="1" s="1"/>
  <c r="K153" i="1"/>
  <c r="J153" i="1"/>
  <c r="H153" i="1"/>
  <c r="N195" i="1"/>
  <c r="O195" i="1" s="1"/>
  <c r="K195" i="1"/>
  <c r="J195" i="1"/>
  <c r="H195" i="1"/>
  <c r="N194" i="1"/>
  <c r="O194" i="1" s="1"/>
  <c r="K194" i="1"/>
  <c r="J194" i="1"/>
  <c r="H194" i="1"/>
  <c r="N130" i="1"/>
  <c r="P130" i="1" s="1"/>
  <c r="J130" i="1"/>
  <c r="H130" i="1"/>
  <c r="N168" i="1"/>
  <c r="P168" i="1" s="1"/>
  <c r="K168" i="1"/>
  <c r="J168" i="1"/>
  <c r="H168" i="1"/>
  <c r="N193" i="1"/>
  <c r="O193" i="1" s="1"/>
  <c r="K193" i="1"/>
  <c r="J193" i="1"/>
  <c r="H193" i="1"/>
  <c r="N174" i="1"/>
  <c r="P174" i="1" s="1"/>
  <c r="K174" i="1"/>
  <c r="J174" i="1"/>
  <c r="H174" i="1"/>
  <c r="R192" i="1"/>
  <c r="P192" i="1"/>
  <c r="N192" i="1"/>
  <c r="O192" i="1" s="1"/>
  <c r="K192" i="1"/>
  <c r="J192" i="1"/>
  <c r="H192" i="1"/>
  <c r="N139" i="1"/>
  <c r="P139" i="1" s="1"/>
  <c r="R139" i="1" s="1"/>
  <c r="K139" i="1"/>
  <c r="J139" i="1"/>
  <c r="K191" i="1"/>
  <c r="J191" i="1"/>
  <c r="H191" i="1"/>
  <c r="N101" i="1"/>
  <c r="P101" i="1" s="1"/>
  <c r="K101" i="1"/>
  <c r="J101" i="1"/>
  <c r="H101" i="1"/>
  <c r="N100" i="1"/>
  <c r="P100" i="1" s="1"/>
  <c r="J100" i="1"/>
  <c r="H100" i="1"/>
  <c r="N99" i="1"/>
  <c r="P99" i="1" s="1"/>
  <c r="K99" i="1"/>
  <c r="J99" i="1"/>
  <c r="H99" i="1"/>
  <c r="N98" i="1"/>
  <c r="P98" i="1" s="1"/>
  <c r="K98" i="1"/>
  <c r="J98" i="1"/>
  <c r="H98" i="1"/>
  <c r="N97" i="1"/>
  <c r="P97" i="1" s="1"/>
  <c r="K97" i="1"/>
  <c r="J97" i="1"/>
  <c r="H97" i="1"/>
  <c r="N96" i="1"/>
  <c r="P96" i="1" s="1"/>
  <c r="J96" i="1"/>
  <c r="H96" i="1"/>
  <c r="N95" i="1"/>
  <c r="P95" i="1" s="1"/>
  <c r="K95" i="1"/>
  <c r="J95" i="1"/>
  <c r="H95" i="1"/>
  <c r="N94" i="1"/>
  <c r="P94" i="1" s="1"/>
  <c r="K94" i="1"/>
  <c r="J94" i="1"/>
  <c r="H94" i="1"/>
  <c r="N93" i="1"/>
  <c r="P93" i="1" s="1"/>
  <c r="K93" i="1"/>
  <c r="J93" i="1"/>
  <c r="H93" i="1"/>
  <c r="N92" i="1"/>
  <c r="P92" i="1" s="1"/>
  <c r="K92" i="1"/>
  <c r="J92" i="1"/>
  <c r="H92" i="1"/>
  <c r="N91" i="1"/>
  <c r="P91" i="1" s="1"/>
  <c r="K91" i="1"/>
  <c r="J91" i="1"/>
  <c r="H91" i="1"/>
  <c r="N90" i="1"/>
  <c r="P90" i="1" s="1"/>
  <c r="K90" i="1"/>
  <c r="J90" i="1"/>
  <c r="H90" i="1"/>
  <c r="N89" i="1"/>
  <c r="P89" i="1" s="1"/>
  <c r="J89" i="1"/>
  <c r="H89" i="1"/>
  <c r="N88" i="1"/>
  <c r="P88" i="1" s="1"/>
  <c r="K88" i="1"/>
  <c r="J88" i="1"/>
  <c r="H88" i="1"/>
  <c r="N87" i="1"/>
  <c r="P87" i="1" s="1"/>
  <c r="K87" i="1"/>
  <c r="J87" i="1"/>
  <c r="H87" i="1"/>
  <c r="N86" i="1"/>
  <c r="P86" i="1" s="1"/>
  <c r="K86" i="1"/>
  <c r="J86" i="1"/>
  <c r="H86" i="1"/>
  <c r="N85" i="1"/>
  <c r="P85" i="1" s="1"/>
  <c r="K85" i="1"/>
  <c r="J85" i="1"/>
  <c r="H85" i="1"/>
  <c r="N84" i="1"/>
  <c r="P84" i="1" s="1"/>
  <c r="J84" i="1"/>
  <c r="H84" i="1"/>
  <c r="N83" i="1"/>
  <c r="P83" i="1" s="1"/>
  <c r="K83" i="1"/>
  <c r="J83" i="1"/>
  <c r="H83" i="1"/>
  <c r="N82" i="1"/>
  <c r="P82" i="1" s="1"/>
  <c r="K82" i="1"/>
  <c r="J82" i="1"/>
  <c r="H82" i="1"/>
  <c r="N81" i="1"/>
  <c r="P81" i="1" s="1"/>
  <c r="K81" i="1"/>
  <c r="J81" i="1"/>
  <c r="H81" i="1"/>
  <c r="N80" i="1"/>
  <c r="P80" i="1" s="1"/>
  <c r="K80" i="1"/>
  <c r="J80" i="1"/>
  <c r="H80" i="1"/>
  <c r="N79" i="1"/>
  <c r="P79" i="1" s="1"/>
  <c r="K79" i="1"/>
  <c r="J79" i="1"/>
  <c r="H79" i="1"/>
  <c r="N78" i="1"/>
  <c r="P78" i="1" s="1"/>
  <c r="K78" i="1"/>
  <c r="J78" i="1"/>
  <c r="H78" i="1"/>
  <c r="N77" i="1"/>
  <c r="P77" i="1" s="1"/>
  <c r="K77" i="1"/>
  <c r="J77" i="1"/>
  <c r="H77" i="1"/>
  <c r="N76" i="1"/>
  <c r="P76" i="1" s="1"/>
  <c r="K76" i="1"/>
  <c r="J76" i="1"/>
  <c r="H76" i="1"/>
  <c r="N75" i="1"/>
  <c r="P75" i="1" s="1"/>
  <c r="K75" i="1"/>
  <c r="J75" i="1"/>
  <c r="H75" i="1"/>
  <c r="N74" i="1"/>
  <c r="P74" i="1" s="1"/>
  <c r="K74" i="1"/>
  <c r="J74" i="1"/>
  <c r="H74" i="1"/>
  <c r="N73" i="1"/>
  <c r="P73" i="1" s="1"/>
  <c r="K73" i="1"/>
  <c r="J73" i="1"/>
  <c r="H73" i="1"/>
  <c r="N72" i="1"/>
  <c r="P72" i="1" s="1"/>
  <c r="K72" i="1"/>
  <c r="J72" i="1"/>
  <c r="H72" i="1"/>
  <c r="N71" i="1"/>
  <c r="P71" i="1" s="1"/>
  <c r="K71" i="1"/>
  <c r="J71" i="1"/>
  <c r="H71" i="1"/>
  <c r="N70" i="1"/>
  <c r="P70" i="1" s="1"/>
  <c r="K70" i="1"/>
  <c r="J70" i="1"/>
  <c r="H70" i="1"/>
  <c r="N69" i="1"/>
  <c r="P69" i="1" s="1"/>
  <c r="K69" i="1"/>
  <c r="J69" i="1"/>
  <c r="H69" i="1"/>
  <c r="N68" i="1"/>
  <c r="P68" i="1" s="1"/>
  <c r="K68" i="1"/>
  <c r="J68" i="1"/>
  <c r="H68" i="1"/>
  <c r="N67" i="1"/>
  <c r="P67" i="1" s="1"/>
  <c r="K67" i="1"/>
  <c r="J67" i="1"/>
  <c r="H67" i="1"/>
  <c r="N66" i="1"/>
  <c r="P66" i="1" s="1"/>
  <c r="K66" i="1"/>
  <c r="J66" i="1"/>
  <c r="H66" i="1"/>
  <c r="N65" i="1"/>
  <c r="P65" i="1" s="1"/>
  <c r="K65" i="1"/>
  <c r="J65" i="1"/>
  <c r="H65" i="1"/>
  <c r="N64" i="1"/>
  <c r="P64" i="1" s="1"/>
  <c r="K64" i="1"/>
  <c r="J64" i="1"/>
  <c r="H64" i="1"/>
  <c r="N63" i="1"/>
  <c r="P63" i="1" s="1"/>
  <c r="K63" i="1"/>
  <c r="J63" i="1"/>
  <c r="H63" i="1"/>
  <c r="N62" i="1"/>
  <c r="P62" i="1" s="1"/>
  <c r="K62" i="1"/>
  <c r="J62" i="1"/>
  <c r="H62" i="1"/>
  <c r="N61" i="1"/>
  <c r="P61" i="1" s="1"/>
  <c r="K61" i="1"/>
  <c r="J61" i="1"/>
  <c r="H61" i="1"/>
  <c r="N60" i="1"/>
  <c r="P60" i="1" s="1"/>
  <c r="K60" i="1"/>
  <c r="J60" i="1"/>
  <c r="H60" i="1"/>
  <c r="N59" i="1"/>
  <c r="P59" i="1" s="1"/>
  <c r="K59" i="1"/>
  <c r="J59" i="1"/>
  <c r="H59" i="1"/>
  <c r="N58" i="1"/>
  <c r="P58" i="1" s="1"/>
  <c r="K58" i="1"/>
  <c r="J58" i="1"/>
  <c r="H58" i="1"/>
  <c r="N57" i="1"/>
  <c r="P57" i="1" s="1"/>
  <c r="K57" i="1"/>
  <c r="J57" i="1"/>
  <c r="H57" i="1"/>
  <c r="N56" i="1"/>
  <c r="P56" i="1" s="1"/>
  <c r="K56" i="1"/>
  <c r="J56" i="1"/>
  <c r="H56" i="1"/>
  <c r="N55" i="1"/>
  <c r="P55" i="1" s="1"/>
  <c r="K55" i="1"/>
  <c r="J55" i="1"/>
  <c r="H55" i="1"/>
  <c r="N54" i="1"/>
  <c r="P54" i="1" s="1"/>
  <c r="K54" i="1"/>
  <c r="J54" i="1"/>
  <c r="H54" i="1"/>
  <c r="N53" i="1"/>
  <c r="P53" i="1" s="1"/>
  <c r="K53" i="1"/>
  <c r="J53" i="1"/>
  <c r="H53" i="1"/>
  <c r="N52" i="1"/>
  <c r="P52" i="1" s="1"/>
  <c r="K52" i="1"/>
  <c r="J52" i="1"/>
  <c r="H52" i="1"/>
  <c r="N51" i="1"/>
  <c r="P51" i="1" s="1"/>
  <c r="K51" i="1"/>
  <c r="J51" i="1"/>
  <c r="H51" i="1"/>
  <c r="N50" i="1"/>
  <c r="P50" i="1" s="1"/>
  <c r="K50" i="1"/>
  <c r="J50" i="1"/>
  <c r="H50" i="1"/>
  <c r="N49" i="1"/>
  <c r="P49" i="1" s="1"/>
  <c r="K49" i="1"/>
  <c r="J49" i="1"/>
  <c r="H49" i="1"/>
  <c r="N48" i="1"/>
  <c r="P48" i="1" s="1"/>
  <c r="K48" i="1"/>
  <c r="J48" i="1"/>
  <c r="H48" i="1"/>
  <c r="N47" i="1"/>
  <c r="P47" i="1" s="1"/>
  <c r="K47" i="1"/>
  <c r="J47" i="1"/>
  <c r="H47" i="1"/>
  <c r="N46" i="1"/>
  <c r="P46" i="1" s="1"/>
  <c r="K46" i="1"/>
  <c r="J46" i="1"/>
  <c r="H46" i="1"/>
  <c r="N45" i="1"/>
  <c r="P45" i="1" s="1"/>
  <c r="K45" i="1"/>
  <c r="J45" i="1"/>
  <c r="H45" i="1"/>
  <c r="N44" i="1"/>
  <c r="P44" i="1" s="1"/>
  <c r="K44" i="1"/>
  <c r="J44" i="1"/>
  <c r="H44" i="1"/>
  <c r="N43" i="1"/>
  <c r="P43" i="1" s="1"/>
  <c r="K43" i="1"/>
  <c r="J43" i="1"/>
  <c r="H43" i="1"/>
  <c r="N42" i="1"/>
  <c r="P42" i="1" s="1"/>
  <c r="K42" i="1"/>
  <c r="J42" i="1"/>
  <c r="H42" i="1"/>
  <c r="N41" i="1"/>
  <c r="P41" i="1" s="1"/>
  <c r="K41" i="1"/>
  <c r="J41" i="1"/>
  <c r="H41" i="1"/>
  <c r="N40" i="1"/>
  <c r="P40" i="1" s="1"/>
  <c r="K40" i="1"/>
  <c r="J40" i="1"/>
  <c r="H40" i="1"/>
  <c r="N39" i="1"/>
  <c r="P39" i="1" s="1"/>
  <c r="K39" i="1"/>
  <c r="J39" i="1"/>
  <c r="H39" i="1"/>
  <c r="N38" i="1"/>
  <c r="P38" i="1" s="1"/>
  <c r="K38" i="1"/>
  <c r="J38" i="1"/>
  <c r="H38" i="1"/>
  <c r="N37" i="1"/>
  <c r="P37" i="1" s="1"/>
  <c r="K37" i="1"/>
  <c r="J37" i="1"/>
  <c r="H37" i="1"/>
  <c r="N36" i="1"/>
  <c r="P36" i="1" s="1"/>
  <c r="K36" i="1"/>
  <c r="J36" i="1"/>
  <c r="H36" i="1"/>
  <c r="N35" i="1"/>
  <c r="P35" i="1" s="1"/>
  <c r="K35" i="1"/>
  <c r="J35" i="1"/>
  <c r="H35" i="1"/>
  <c r="N34" i="1"/>
  <c r="P34" i="1" s="1"/>
  <c r="K34" i="1"/>
  <c r="J34" i="1"/>
  <c r="H34" i="1"/>
  <c r="N33" i="1"/>
  <c r="P33" i="1" s="1"/>
  <c r="K33" i="1"/>
  <c r="J33" i="1"/>
  <c r="H33" i="1"/>
  <c r="N32" i="1"/>
  <c r="P32" i="1" s="1"/>
  <c r="K32" i="1"/>
  <c r="J32" i="1"/>
  <c r="H32" i="1"/>
  <c r="N31" i="1"/>
  <c r="P31" i="1" s="1"/>
  <c r="K31" i="1"/>
  <c r="J31" i="1"/>
  <c r="H31" i="1"/>
  <c r="N30" i="1"/>
  <c r="P30" i="1" s="1"/>
  <c r="K30" i="1"/>
  <c r="J30" i="1"/>
  <c r="H30" i="1"/>
  <c r="N29" i="1"/>
  <c r="P29" i="1" s="1"/>
  <c r="K29" i="1"/>
  <c r="J29" i="1"/>
  <c r="H29" i="1"/>
  <c r="N28" i="1"/>
  <c r="P28" i="1" s="1"/>
  <c r="K28" i="1"/>
  <c r="J28" i="1"/>
  <c r="H28" i="1"/>
  <c r="N27" i="1"/>
  <c r="P27" i="1" s="1"/>
  <c r="K27" i="1"/>
  <c r="J27" i="1"/>
  <c r="H27" i="1"/>
  <c r="N26" i="1"/>
  <c r="P26" i="1" s="1"/>
  <c r="K26" i="1"/>
  <c r="J26" i="1"/>
  <c r="H26" i="1"/>
  <c r="N25" i="1"/>
  <c r="P25" i="1" s="1"/>
  <c r="K25" i="1"/>
  <c r="J25" i="1"/>
  <c r="H25" i="1"/>
  <c r="N24" i="1"/>
  <c r="P24" i="1" s="1"/>
  <c r="K24" i="1"/>
  <c r="J24" i="1"/>
  <c r="H24" i="1"/>
  <c r="N23" i="1"/>
  <c r="P23" i="1" s="1"/>
  <c r="K23" i="1"/>
  <c r="H23" i="1"/>
  <c r="N22" i="1"/>
  <c r="P22" i="1" s="1"/>
  <c r="K22" i="1"/>
  <c r="J22" i="1"/>
  <c r="H22" i="1"/>
  <c r="N21" i="1"/>
  <c r="P21" i="1" s="1"/>
  <c r="K21" i="1"/>
  <c r="J21" i="1"/>
  <c r="H21" i="1"/>
  <c r="N20" i="1"/>
  <c r="P20" i="1" s="1"/>
  <c r="K20" i="1"/>
  <c r="J20" i="1"/>
  <c r="H20" i="1"/>
  <c r="N19" i="1"/>
  <c r="P19" i="1" s="1"/>
  <c r="K19" i="1"/>
  <c r="J19" i="1"/>
  <c r="H19" i="1"/>
  <c r="N18" i="1"/>
  <c r="P18" i="1" s="1"/>
  <c r="K18" i="1"/>
  <c r="J18" i="1"/>
  <c r="H18" i="1"/>
  <c r="N17" i="1"/>
  <c r="P17" i="1" s="1"/>
  <c r="K17" i="1"/>
  <c r="J17" i="1"/>
  <c r="H17" i="1"/>
  <c r="N16" i="1"/>
  <c r="P16" i="1" s="1"/>
  <c r="K16" i="1"/>
  <c r="J16" i="1"/>
  <c r="H16" i="1"/>
  <c r="N15" i="1"/>
  <c r="P15" i="1" s="1"/>
  <c r="K15" i="1"/>
  <c r="J15" i="1"/>
  <c r="H15" i="1"/>
  <c r="N14" i="1"/>
  <c r="P14" i="1" s="1"/>
  <c r="K14" i="1"/>
  <c r="J14" i="1"/>
  <c r="H14" i="1"/>
  <c r="N13" i="1"/>
  <c r="P13" i="1" s="1"/>
  <c r="K13" i="1"/>
  <c r="J13" i="1"/>
  <c r="H13" i="1"/>
  <c r="N12" i="1"/>
  <c r="P12" i="1" s="1"/>
  <c r="K12" i="1"/>
  <c r="J12" i="1"/>
  <c r="H12" i="1"/>
  <c r="N11" i="1"/>
  <c r="P11" i="1" s="1"/>
  <c r="K11" i="1"/>
  <c r="J11" i="1"/>
  <c r="H11" i="1"/>
  <c r="N10" i="1"/>
  <c r="P10" i="1" s="1"/>
  <c r="K10" i="1"/>
  <c r="J10" i="1"/>
  <c r="H10" i="1"/>
  <c r="N9" i="1"/>
  <c r="P9" i="1" s="1"/>
  <c r="K9" i="1"/>
  <c r="J9" i="1"/>
  <c r="H9" i="1"/>
  <c r="N8" i="1"/>
  <c r="P8" i="1" s="1"/>
  <c r="K8" i="1"/>
  <c r="J8" i="1"/>
  <c r="H8" i="1"/>
  <c r="N7" i="1"/>
  <c r="P7" i="1" s="1"/>
  <c r="K7" i="1"/>
  <c r="J7" i="1"/>
  <c r="H7" i="1"/>
  <c r="N6" i="1"/>
  <c r="P6" i="1" s="1"/>
  <c r="K6" i="1"/>
  <c r="J6" i="1"/>
  <c r="H6" i="1"/>
  <c r="N5" i="1"/>
  <c r="P5" i="1" s="1"/>
  <c r="K5" i="1"/>
  <c r="J5" i="1"/>
  <c r="H5" i="1"/>
  <c r="N4" i="1"/>
  <c r="P4" i="1" s="1"/>
  <c r="K4" i="1"/>
  <c r="J4" i="1"/>
  <c r="H4" i="1"/>
  <c r="N3" i="1"/>
  <c r="P3" i="1" s="1"/>
  <c r="K3" i="1"/>
  <c r="J3" i="1"/>
  <c r="H3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N2" i="1"/>
  <c r="K2" i="1"/>
  <c r="J2" i="1"/>
  <c r="O189" i="1" l="1"/>
  <c r="P189" i="1" s="1"/>
  <c r="R189" i="1" s="1"/>
  <c r="U291" i="1" a="1"/>
  <c r="U291" i="1" s="1"/>
  <c r="P186" i="1"/>
  <c r="R186" i="1" s="1"/>
  <c r="T291" i="1" a="1"/>
  <c r="T291" i="1" s="1"/>
  <c r="M291" i="1" a="1"/>
  <c r="M291" i="1" s="1"/>
  <c r="S291" i="1" a="1"/>
  <c r="S291" i="1" s="1"/>
  <c r="Q291" i="1" a="1"/>
  <c r="Q291" i="1" s="1"/>
  <c r="N291" i="1" a="1"/>
  <c r="N291" i="1" s="1"/>
  <c r="O291" i="1" a="1"/>
  <c r="O291" i="1" s="1"/>
  <c r="P291" i="1" a="1"/>
  <c r="P291" i="1" s="1"/>
  <c r="P184" i="1"/>
  <c r="R184" i="1" s="1"/>
  <c r="R291" i="1" a="1"/>
  <c r="R291" i="1" s="1"/>
  <c r="V291" i="1" a="1"/>
  <c r="V291" i="1" s="1"/>
  <c r="W291" i="1" a="1"/>
  <c r="W291" i="1" s="1"/>
  <c r="L291" i="1"/>
  <c r="P183" i="1"/>
  <c r="R183" i="1" s="1"/>
  <c r="E280" i="1"/>
  <c r="F283" i="1" s="1"/>
  <c r="O279" i="1"/>
  <c r="P181" i="1"/>
  <c r="R181" i="1" s="1"/>
  <c r="R178" i="1"/>
  <c r="R176" i="1"/>
  <c r="R175" i="1"/>
  <c r="R174" i="1"/>
  <c r="R168" i="1"/>
  <c r="R163" i="1"/>
  <c r="R164" i="1"/>
  <c r="A197" i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R154" i="1"/>
  <c r="R153" i="1"/>
  <c r="R148" i="1"/>
  <c r="R149" i="1"/>
  <c r="R140" i="1"/>
  <c r="R137" i="1"/>
  <c r="R132" i="1"/>
  <c r="R134" i="1"/>
  <c r="K277" i="1"/>
  <c r="X292" i="1"/>
  <c r="R130" i="1"/>
  <c r="R129" i="1"/>
  <c r="R123" i="1"/>
  <c r="R122" i="1"/>
  <c r="R120" i="1"/>
  <c r="R121" i="1"/>
  <c r="R118" i="1"/>
  <c r="R116" i="1"/>
  <c r="R117" i="1"/>
  <c r="R119" i="1"/>
  <c r="R114" i="1"/>
  <c r="R113" i="1"/>
  <c r="R109" i="1"/>
  <c r="R108" i="1"/>
  <c r="R107" i="1"/>
  <c r="R106" i="1"/>
  <c r="R105" i="1"/>
  <c r="R104" i="1"/>
  <c r="U289" i="1" a="1"/>
  <c r="U289" i="1" s="1"/>
  <c r="T289" i="1" a="1"/>
  <c r="T289" i="1" s="1"/>
  <c r="N289" i="1" a="1"/>
  <c r="N289" i="1" s="1"/>
  <c r="R103" i="1"/>
  <c r="R102" i="1"/>
  <c r="O289" i="1" a="1"/>
  <c r="O289" i="1" s="1"/>
  <c r="R53" i="1"/>
  <c r="R77" i="1"/>
  <c r="R16" i="1"/>
  <c r="R19" i="1"/>
  <c r="R22" i="1"/>
  <c r="R31" i="1"/>
  <c r="R37" i="1"/>
  <c r="R40" i="1"/>
  <c r="R46" i="1"/>
  <c r="R52" i="1"/>
  <c r="R64" i="1"/>
  <c r="R67" i="1"/>
  <c r="R70" i="1"/>
  <c r="R76" i="1"/>
  <c r="R94" i="1"/>
  <c r="R97" i="1"/>
  <c r="R100" i="1"/>
  <c r="R3" i="1"/>
  <c r="R6" i="1"/>
  <c r="R18" i="1"/>
  <c r="R63" i="1"/>
  <c r="R66" i="1"/>
  <c r="R72" i="1"/>
  <c r="R78" i="1"/>
  <c r="R81" i="1"/>
  <c r="R96" i="1"/>
  <c r="R29" i="1"/>
  <c r="R38" i="1"/>
  <c r="R50" i="1"/>
  <c r="R47" i="1"/>
  <c r="R62" i="1"/>
  <c r="R68" i="1"/>
  <c r="R71" i="1"/>
  <c r="R74" i="1"/>
  <c r="R86" i="1"/>
  <c r="R98" i="1"/>
  <c r="R101" i="1"/>
  <c r="R17" i="1"/>
  <c r="R21" i="1"/>
  <c r="R91" i="1"/>
  <c r="R59" i="1"/>
  <c r="R88" i="1"/>
  <c r="R28" i="1"/>
  <c r="R60" i="1"/>
  <c r="R5" i="1"/>
  <c r="R49" i="1"/>
  <c r="R84" i="1"/>
  <c r="R14" i="1"/>
  <c r="R23" i="1"/>
  <c r="R26" i="1"/>
  <c r="R55" i="1"/>
  <c r="R90" i="1"/>
  <c r="R65" i="1"/>
  <c r="R24" i="1"/>
  <c r="R9" i="1"/>
  <c r="R42" i="1"/>
  <c r="R48" i="1"/>
  <c r="R83" i="1"/>
  <c r="R7" i="1"/>
  <c r="R25" i="1"/>
  <c r="R54" i="1"/>
  <c r="R57" i="1"/>
  <c r="R89" i="1"/>
  <c r="X307" i="1"/>
  <c r="R30" i="1"/>
  <c r="R33" i="1"/>
  <c r="R4" i="1"/>
  <c r="R12" i="1"/>
  <c r="R41" i="1"/>
  <c r="R73" i="1"/>
  <c r="R10" i="1"/>
  <c r="R20" i="1"/>
  <c r="R36" i="1"/>
  <c r="R44" i="1"/>
  <c r="R79" i="1"/>
  <c r="R95" i="1"/>
  <c r="R92" i="1"/>
  <c r="R69" i="1"/>
  <c r="R45" i="1"/>
  <c r="R61" i="1"/>
  <c r="R87" i="1"/>
  <c r="R8" i="1"/>
  <c r="R11" i="1"/>
  <c r="R35" i="1"/>
  <c r="R27" i="1"/>
  <c r="R43" i="1"/>
  <c r="R51" i="1"/>
  <c r="R85" i="1"/>
  <c r="R93" i="1"/>
  <c r="R13" i="1"/>
  <c r="R56" i="1"/>
  <c r="R82" i="1"/>
  <c r="R99" i="1"/>
  <c r="R80" i="1"/>
  <c r="O314" i="1"/>
  <c r="R312" i="1"/>
  <c r="S311" i="1"/>
  <c r="N314" i="1"/>
  <c r="Q312" i="1"/>
  <c r="R311" i="1"/>
  <c r="M314" i="1"/>
  <c r="P312" i="1"/>
  <c r="Q311" i="1"/>
  <c r="L314" i="1"/>
  <c r="O312" i="1"/>
  <c r="P311" i="1"/>
  <c r="W314" i="1"/>
  <c r="N312" i="1"/>
  <c r="O311" i="1"/>
  <c r="V314" i="1"/>
  <c r="M312" i="1"/>
  <c r="N311" i="1"/>
  <c r="U314" i="1"/>
  <c r="L312" i="1"/>
  <c r="M311" i="1"/>
  <c r="T314" i="1"/>
  <c r="W312" i="1"/>
  <c r="L311" i="1"/>
  <c r="S314" i="1"/>
  <c r="V312" i="1"/>
  <c r="W311" i="1"/>
  <c r="R314" i="1"/>
  <c r="U312" i="1"/>
  <c r="V311" i="1"/>
  <c r="Q314" i="1"/>
  <c r="T312" i="1"/>
  <c r="U311" i="1"/>
  <c r="P314" i="1"/>
  <c r="S312" i="1"/>
  <c r="T311" i="1"/>
  <c r="R58" i="1"/>
  <c r="R75" i="1"/>
  <c r="R39" i="1"/>
  <c r="R34" i="1"/>
  <c r="R15" i="1"/>
  <c r="E288" i="1" a="1"/>
  <c r="E288" i="1" s="1"/>
  <c r="E291" i="1" s="1"/>
  <c r="H278" i="1"/>
  <c r="E282" i="1" a="1"/>
  <c r="E282" i="1" s="1"/>
  <c r="W289" i="1" a="1"/>
  <c r="W289" i="1" s="1"/>
  <c r="V289" i="1" a="1"/>
  <c r="V289" i="1" s="1"/>
  <c r="P289" i="1" a="1"/>
  <c r="P289" i="1" s="1"/>
  <c r="P2" i="1"/>
  <c r="S289" i="1" a="1"/>
  <c r="S289" i="1" s="1"/>
  <c r="M289" i="1" a="1"/>
  <c r="M289" i="1" s="1"/>
  <c r="N279" i="1"/>
  <c r="R289" i="1" a="1"/>
  <c r="R289" i="1" s="1"/>
  <c r="L289" i="1"/>
  <c r="E279" i="1" a="1"/>
  <c r="E279" i="1" s="1"/>
  <c r="Q289" i="1" a="1"/>
  <c r="Q289" i="1" s="1"/>
  <c r="R32" i="1"/>
  <c r="X305" i="1"/>
  <c r="O280" i="1" l="1"/>
  <c r="X291" i="1"/>
  <c r="A211" i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M306" i="1"/>
  <c r="W313" i="1"/>
  <c r="O313" i="1"/>
  <c r="N306" i="1"/>
  <c r="U293" i="1"/>
  <c r="Q6" i="5" s="1"/>
  <c r="Q12" i="5" s="1"/>
  <c r="T306" i="1"/>
  <c r="Q313" i="1"/>
  <c r="U313" i="1"/>
  <c r="U315" i="1" s="1"/>
  <c r="M313" i="1"/>
  <c r="M315" i="1" s="1"/>
  <c r="S293" i="1"/>
  <c r="O6" i="5" s="1"/>
  <c r="O12" i="5" s="1"/>
  <c r="T293" i="1"/>
  <c r="P6" i="5" s="1"/>
  <c r="P12" i="5" s="1"/>
  <c r="Q280" i="1"/>
  <c r="R293" i="1"/>
  <c r="N6" i="5" s="1"/>
  <c r="N12" i="5" s="1"/>
  <c r="W315" i="1"/>
  <c r="O315" i="1"/>
  <c r="S313" i="1"/>
  <c r="S315" i="1" s="1"/>
  <c r="X289" i="1"/>
  <c r="O293" i="1"/>
  <c r="K6" i="5" s="1"/>
  <c r="K12" i="5" s="1"/>
  <c r="V293" i="1"/>
  <c r="R6" i="5" s="1"/>
  <c r="R12" i="5" s="1"/>
  <c r="S306" i="1"/>
  <c r="W293" i="1"/>
  <c r="S6" i="5" s="1"/>
  <c r="S12" i="5" s="1"/>
  <c r="T313" i="1"/>
  <c r="T315" i="1" s="1"/>
  <c r="L313" i="1"/>
  <c r="L315" i="1" s="1"/>
  <c r="X311" i="1"/>
  <c r="P313" i="1"/>
  <c r="P315" i="1" s="1"/>
  <c r="M293" i="1"/>
  <c r="I6" i="5" s="1"/>
  <c r="I12" i="5" s="1"/>
  <c r="N293" i="1"/>
  <c r="J6" i="5" s="1"/>
  <c r="J12" i="5" s="1"/>
  <c r="X314" i="1"/>
  <c r="R306" i="1"/>
  <c r="P293" i="1"/>
  <c r="L6" i="5" s="1"/>
  <c r="L12" i="5" s="1"/>
  <c r="Q315" i="1"/>
  <c r="Q293" i="1"/>
  <c r="M6" i="5" s="1"/>
  <c r="M12" i="5" s="1"/>
  <c r="X312" i="1"/>
  <c r="Q306" i="1"/>
  <c r="O306" i="1"/>
  <c r="W306" i="1"/>
  <c r="V306" i="1"/>
  <c r="P306" i="1"/>
  <c r="V313" i="1"/>
  <c r="V315" i="1" s="1"/>
  <c r="N313" i="1"/>
  <c r="N315" i="1" s="1"/>
  <c r="R313" i="1"/>
  <c r="R315" i="1" s="1"/>
  <c r="L306" i="1"/>
  <c r="T295" i="1" a="1"/>
  <c r="T295" i="1" s="1"/>
  <c r="N295" i="1" a="1"/>
  <c r="N295" i="1" s="1"/>
  <c r="L297" i="1"/>
  <c r="S297" i="1" a="1"/>
  <c r="S297" i="1" s="1"/>
  <c r="M297" i="1" a="1"/>
  <c r="M297" i="1" s="1"/>
  <c r="U290" i="1" a="1"/>
  <c r="U290" i="1" s="1"/>
  <c r="Q57" i="5" s="1"/>
  <c r="O290" i="1" a="1"/>
  <c r="O290" i="1" s="1"/>
  <c r="K57" i="5" s="1"/>
  <c r="S295" i="1" a="1"/>
  <c r="S295" i="1" s="1"/>
  <c r="M295" i="1" a="1"/>
  <c r="M295" i="1" s="1"/>
  <c r="R297" i="1" a="1"/>
  <c r="R297" i="1" s="1"/>
  <c r="R295" i="1" a="1"/>
  <c r="R295" i="1" s="1"/>
  <c r="L295" i="1"/>
  <c r="W297" i="1" a="1"/>
  <c r="W297" i="1" s="1"/>
  <c r="Q297" i="1" a="1"/>
  <c r="Q297" i="1" s="1"/>
  <c r="W295" i="1" a="1"/>
  <c r="W295" i="1" s="1"/>
  <c r="Q295" i="1" a="1"/>
  <c r="Q295" i="1" s="1"/>
  <c r="V297" i="1" a="1"/>
  <c r="V297" i="1" s="1"/>
  <c r="P297" i="1" a="1"/>
  <c r="P297" i="1" s="1"/>
  <c r="R290" i="1" a="1"/>
  <c r="R290" i="1" s="1"/>
  <c r="N57" i="5" s="1"/>
  <c r="L290" i="1"/>
  <c r="H57" i="5" s="1"/>
  <c r="P279" i="1"/>
  <c r="P280" i="1" s="1"/>
  <c r="V295" i="1" a="1"/>
  <c r="V295" i="1" s="1"/>
  <c r="P295" i="1" a="1"/>
  <c r="P295" i="1" s="1"/>
  <c r="U297" i="1" a="1"/>
  <c r="U297" i="1" s="1"/>
  <c r="O297" i="1" a="1"/>
  <c r="O297" i="1" s="1"/>
  <c r="W290" i="1" a="1"/>
  <c r="W290" i="1" s="1"/>
  <c r="S57" i="5" s="1"/>
  <c r="Q290" i="1" a="1"/>
  <c r="Q290" i="1" s="1"/>
  <c r="M57" i="5" s="1"/>
  <c r="U295" i="1" a="1"/>
  <c r="U295" i="1" s="1"/>
  <c r="O295" i="1" a="1"/>
  <c r="O295" i="1" s="1"/>
  <c r="T297" i="1" a="1"/>
  <c r="T297" i="1" s="1"/>
  <c r="N297" i="1" a="1"/>
  <c r="N297" i="1" s="1"/>
  <c r="V290" i="1" a="1"/>
  <c r="V290" i="1" s="1"/>
  <c r="R57" i="5" s="1"/>
  <c r="P290" i="1" a="1"/>
  <c r="P290" i="1" s="1"/>
  <c r="L57" i="5" s="1"/>
  <c r="T290" i="1" a="1"/>
  <c r="T290" i="1" s="1"/>
  <c r="P57" i="5" s="1"/>
  <c r="R2" i="1"/>
  <c r="R277" i="1" s="1"/>
  <c r="S290" i="1" a="1"/>
  <c r="S290" i="1" s="1"/>
  <c r="O57" i="5" s="1"/>
  <c r="N290" i="1" a="1"/>
  <c r="N290" i="1" s="1"/>
  <c r="J57" i="5" s="1"/>
  <c r="M290" i="1" a="1"/>
  <c r="M290" i="1" s="1"/>
  <c r="I57" i="5" s="1"/>
  <c r="E281" i="1" a="1"/>
  <c r="E281" i="1" s="1"/>
  <c r="E284" i="1" s="1"/>
  <c r="U306" i="1"/>
  <c r="R58" i="5" l="1"/>
  <c r="R59" i="5" s="1"/>
  <c r="J58" i="5"/>
  <c r="J59" i="5" s="1"/>
  <c r="P58" i="5"/>
  <c r="P59" i="5" s="1"/>
  <c r="S58" i="5"/>
  <c r="S59" i="5" s="1"/>
  <c r="I58" i="5"/>
  <c r="I59" i="5" s="1"/>
  <c r="O58" i="5"/>
  <c r="O59" i="5" s="1"/>
  <c r="H58" i="5"/>
  <c r="H59" i="5" s="1"/>
  <c r="M58" i="5"/>
  <c r="M59" i="5" s="1"/>
  <c r="K58" i="5"/>
  <c r="Q58" i="5"/>
  <c r="Q59" i="5" s="1"/>
  <c r="T57" i="5"/>
  <c r="N58" i="5"/>
  <c r="N59" i="5" s="1"/>
  <c r="L58" i="5"/>
  <c r="L59" i="5" s="1"/>
  <c r="X295" i="1"/>
  <c r="Z296" i="1" s="1"/>
  <c r="X297" i="1"/>
  <c r="X290" i="1"/>
  <c r="W304" i="1"/>
  <c r="M304" i="1"/>
  <c r="M308" i="1" s="1"/>
  <c r="S304" i="1"/>
  <c r="V304" i="1"/>
  <c r="R304" i="1"/>
  <c r="T304" i="1"/>
  <c r="P304" i="1"/>
  <c r="P308" i="1" s="1"/>
  <c r="N304" i="1"/>
  <c r="N308" i="1" s="1"/>
  <c r="X313" i="1"/>
  <c r="T296" i="1" a="1"/>
  <c r="T296" i="1" s="1"/>
  <c r="N296" i="1" a="1"/>
  <c r="N296" i="1" s="1"/>
  <c r="S298" i="1" a="1"/>
  <c r="S298" i="1" s="1"/>
  <c r="M298" i="1" a="1"/>
  <c r="M298" i="1" s="1"/>
  <c r="S296" i="1" a="1"/>
  <c r="S296" i="1" s="1"/>
  <c r="M296" i="1" a="1"/>
  <c r="M296" i="1" s="1"/>
  <c r="R298" i="1" a="1"/>
  <c r="R298" i="1" s="1"/>
  <c r="L298" i="1"/>
  <c r="R296" i="1" a="1"/>
  <c r="R296" i="1" s="1"/>
  <c r="L296" i="1"/>
  <c r="W298" i="1" a="1"/>
  <c r="W298" i="1" s="1"/>
  <c r="Q298" i="1" a="1"/>
  <c r="Q298" i="1" s="1"/>
  <c r="W296" i="1" a="1"/>
  <c r="W296" i="1" s="1"/>
  <c r="Q296" i="1" a="1"/>
  <c r="Q296" i="1" s="1"/>
  <c r="L293" i="1"/>
  <c r="V298" i="1" a="1"/>
  <c r="V298" i="1" s="1"/>
  <c r="P298" i="1" a="1"/>
  <c r="P298" i="1" s="1"/>
  <c r="V296" i="1" a="1"/>
  <c r="V296" i="1" s="1"/>
  <c r="P296" i="1" a="1"/>
  <c r="P296" i="1" s="1"/>
  <c r="U298" i="1" a="1"/>
  <c r="U298" i="1" s="1"/>
  <c r="O298" i="1" a="1"/>
  <c r="O298" i="1" s="1"/>
  <c r="U296" i="1" a="1"/>
  <c r="U296" i="1" s="1"/>
  <c r="O296" i="1" a="1"/>
  <c r="O296" i="1" s="1"/>
  <c r="T298" i="1" a="1"/>
  <c r="T298" i="1" s="1"/>
  <c r="N298" i="1" a="1"/>
  <c r="N298" i="1" s="1"/>
  <c r="R279" i="1"/>
  <c r="R280" i="1" s="1"/>
  <c r="L304" i="1"/>
  <c r="L308" i="1" s="1"/>
  <c r="O304" i="1"/>
  <c r="O308" i="1" s="1"/>
  <c r="U304" i="1"/>
  <c r="F285" i="1"/>
  <c r="F284" i="1"/>
  <c r="Q304" i="1"/>
  <c r="T58" i="5" l="1"/>
  <c r="T59" i="5" s="1"/>
  <c r="E54" i="5" s="1"/>
  <c r="X293" i="1"/>
  <c r="H6" i="5"/>
  <c r="H12" i="5" s="1"/>
  <c r="K59" i="5"/>
  <c r="M299" i="1"/>
  <c r="I7" i="5" s="1"/>
  <c r="I13" i="5" s="1"/>
  <c r="R299" i="1"/>
  <c r="N7" i="5" s="1"/>
  <c r="N13" i="5" s="1"/>
  <c r="S299" i="1"/>
  <c r="O7" i="5" s="1"/>
  <c r="O13" i="5" s="1"/>
  <c r="L299" i="1"/>
  <c r="H7" i="5" s="1"/>
  <c r="H13" i="5" s="1"/>
  <c r="Q299" i="1"/>
  <c r="M7" i="5" s="1"/>
  <c r="M13" i="5" s="1"/>
  <c r="O299" i="1"/>
  <c r="K7" i="5" s="1"/>
  <c r="K13" i="5" s="1"/>
  <c r="P299" i="1"/>
  <c r="L7" i="5" s="1"/>
  <c r="L13" i="5" s="1"/>
  <c r="N299" i="1"/>
  <c r="J7" i="5" s="1"/>
  <c r="J13" i="5" s="1"/>
  <c r="V299" i="1"/>
  <c r="R7" i="5" s="1"/>
  <c r="R13" i="5" s="1"/>
  <c r="X298" i="1"/>
  <c r="Z298" i="1" s="1"/>
  <c r="U299" i="1"/>
  <c r="Q7" i="5" s="1"/>
  <c r="Q13" i="5" s="1"/>
  <c r="W299" i="1"/>
  <c r="S7" i="5" s="1"/>
  <c r="S13" i="5" s="1"/>
  <c r="T299" i="1"/>
  <c r="P7" i="5" s="1"/>
  <c r="P13" i="5" s="1"/>
  <c r="X296" i="1"/>
  <c r="Q308" i="1"/>
  <c r="U308" i="1"/>
  <c r="T308" i="1"/>
  <c r="R308" i="1"/>
  <c r="V308" i="1"/>
  <c r="S308" i="1"/>
  <c r="W308" i="1"/>
  <c r="X304" i="1"/>
  <c r="M282" i="1" s="1"/>
  <c r="P300" i="1"/>
  <c r="N300" i="1"/>
  <c r="S300" i="1"/>
  <c r="L300" i="1"/>
  <c r="T300" i="1"/>
  <c r="M300" i="1"/>
  <c r="X315" i="1"/>
  <c r="U300" i="1"/>
  <c r="Q300" i="1"/>
  <c r="V300" i="1"/>
  <c r="Z289" i="1"/>
  <c r="W300" i="1"/>
  <c r="R300" i="1"/>
  <c r="O300" i="1"/>
  <c r="H8" i="5" l="1"/>
  <c r="T6" i="5"/>
  <c r="T12" i="5" s="1"/>
  <c r="N8" i="5"/>
  <c r="M8" i="5"/>
  <c r="T7" i="5"/>
  <c r="T13" i="5" s="1"/>
  <c r="I8" i="5"/>
  <c r="L8" i="5"/>
  <c r="S8" i="5"/>
  <c r="P8" i="5"/>
  <c r="Q8" i="5"/>
  <c r="J8" i="5"/>
  <c r="O8" i="5"/>
  <c r="K8" i="5"/>
  <c r="R8" i="5"/>
  <c r="X299" i="1"/>
  <c r="M283" i="1" s="1"/>
  <c r="X300" i="1"/>
  <c r="M284" i="1" s="1"/>
  <c r="X316" i="1"/>
  <c r="O316" i="1"/>
  <c r="W316" i="1"/>
  <c r="S316" i="1"/>
  <c r="U316" i="1"/>
  <c r="M316" i="1"/>
  <c r="N316" i="1"/>
  <c r="T316" i="1"/>
  <c r="P316" i="1"/>
  <c r="Q316" i="1"/>
  <c r="V316" i="1"/>
  <c r="L316" i="1"/>
  <c r="R316" i="1"/>
  <c r="Y314" i="1"/>
  <c r="Y313" i="1"/>
  <c r="Q14" i="5" l="1"/>
  <c r="Q9" i="5"/>
  <c r="O14" i="5"/>
  <c r="O9" i="5"/>
  <c r="I14" i="5"/>
  <c r="I9" i="5"/>
  <c r="P14" i="5"/>
  <c r="P9" i="5"/>
  <c r="S14" i="5"/>
  <c r="S9" i="5"/>
  <c r="M14" i="5"/>
  <c r="M9" i="5"/>
  <c r="N14" i="5"/>
  <c r="N9" i="5"/>
  <c r="L14" i="5"/>
  <c r="L9" i="5"/>
  <c r="R14" i="5"/>
  <c r="R9" i="5"/>
  <c r="J14" i="5"/>
  <c r="J9" i="5"/>
  <c r="K14" i="5"/>
  <c r="K9" i="5"/>
  <c r="H14" i="5"/>
  <c r="H9" i="5"/>
  <c r="T8" i="5"/>
  <c r="M285" i="1"/>
  <c r="X301" i="1"/>
  <c r="Y289" i="1"/>
  <c r="O301" i="1"/>
  <c r="S301" i="1"/>
  <c r="R301" i="1"/>
  <c r="P301" i="1"/>
  <c r="N301" i="1"/>
  <c r="Q301" i="1"/>
  <c r="M301" i="1"/>
  <c r="L301" i="1"/>
  <c r="T301" i="1"/>
  <c r="V301" i="1"/>
  <c r="Y295" i="1"/>
  <c r="U301" i="1"/>
  <c r="W301" i="1"/>
  <c r="T14" i="5" l="1"/>
  <c r="T9" i="5"/>
  <c r="E10" i="5"/>
  <c r="R282" i="4" l="1"/>
  <c r="S282" i="4"/>
  <c r="N284" i="4"/>
  <c r="O284" i="4"/>
  <c r="V282" i="4"/>
  <c r="P282" i="4"/>
  <c r="O282" i="4"/>
  <c r="T284" i="4"/>
  <c r="P284" i="4"/>
  <c r="X282" i="4"/>
  <c r="W284" i="4"/>
  <c r="R284" i="4"/>
  <c r="W282" i="4"/>
  <c r="S284" i="4"/>
  <c r="U282" i="4"/>
  <c r="X284" i="4"/>
  <c r="N282" i="4"/>
  <c r="U284" i="4"/>
  <c r="T282" i="4"/>
  <c r="Q282" i="4"/>
  <c r="Q284" i="4"/>
  <c r="V284" i="4"/>
  <c r="Z283" i="4"/>
  <c r="R286" i="4"/>
  <c r="W286" i="4"/>
  <c r="Z284" i="4"/>
  <c r="M284" i="4"/>
  <c r="Y284" i="4"/>
  <c r="T286" i="4"/>
  <c r="P281" i="4"/>
  <c r="P283" i="4"/>
  <c r="P285" i="4"/>
  <c r="P286" i="4"/>
  <c r="U285" i="4"/>
  <c r="U286" i="4"/>
  <c r="Y281" i="4"/>
  <c r="Y283" i="4"/>
  <c r="Y285" i="4"/>
  <c r="Y286" i="4"/>
  <c r="U281" i="4"/>
  <c r="U283" i="4"/>
  <c r="X286" i="4"/>
  <c r="N285" i="4"/>
  <c r="N286" i="4"/>
  <c r="V286" i="4"/>
  <c r="W285" i="4"/>
  <c r="M282" i="4"/>
  <c r="Y282" i="4"/>
  <c r="Q286" i="4"/>
  <c r="X285" i="4"/>
  <c r="V281" i="4"/>
  <c r="V283" i="4"/>
  <c r="V285" i="4"/>
  <c r="W281" i="4"/>
  <c r="W283" i="4"/>
  <c r="R281" i="4"/>
  <c r="R283" i="4"/>
  <c r="R285" i="4"/>
  <c r="M281" i="4"/>
  <c r="M283" i="4"/>
  <c r="M285" i="4"/>
  <c r="M286" i="4"/>
  <c r="N281" i="4"/>
  <c r="N283" i="4"/>
  <c r="S281" i="4"/>
  <c r="S283" i="4"/>
  <c r="S285" i="4"/>
  <c r="S286" i="4"/>
  <c r="Q281" i="4"/>
  <c r="Q283" i="4"/>
  <c r="Q285" i="4"/>
  <c r="O281" i="4"/>
  <c r="O283" i="4"/>
  <c r="O285" i="4"/>
  <c r="O286" i="4"/>
  <c r="X281" i="4"/>
  <c r="X283" i="4"/>
  <c r="T281" i="4"/>
  <c r="T283" i="4"/>
  <c r="T285" i="4"/>
</calcChain>
</file>

<file path=xl/sharedStrings.xml><?xml version="1.0" encoding="utf-8"?>
<sst xmlns="http://schemas.openxmlformats.org/spreadsheetml/2006/main" count="1033" uniqueCount="159">
  <si>
    <t>date d'achat</t>
  </si>
  <si>
    <t>prix d'achat</t>
  </si>
  <si>
    <t>Réparation</t>
  </si>
  <si>
    <t>Coût d'acquisition</t>
  </si>
  <si>
    <t xml:space="preserve">date de vente </t>
  </si>
  <si>
    <t>Mois</t>
  </si>
  <si>
    <t>Nb jours stock</t>
  </si>
  <si>
    <t xml:space="preserve">prix de vente </t>
  </si>
  <si>
    <t>Livraison</t>
  </si>
  <si>
    <t>CA brut</t>
  </si>
  <si>
    <t xml:space="preserve">frais sur vente </t>
  </si>
  <si>
    <t>CA
Encaissé</t>
  </si>
  <si>
    <t>Port payé</t>
  </si>
  <si>
    <t>Bénéfice net d'achat</t>
  </si>
  <si>
    <t>LCB/Ebay</t>
  </si>
  <si>
    <t>PAYS</t>
  </si>
  <si>
    <t>Ebay</t>
  </si>
  <si>
    <t>France</t>
  </si>
  <si>
    <t>Allemagne</t>
  </si>
  <si>
    <t>LBC1</t>
  </si>
  <si>
    <t>Italie</t>
  </si>
  <si>
    <t>Espagne</t>
  </si>
  <si>
    <t>Belgique</t>
  </si>
  <si>
    <t>Autriche</t>
  </si>
  <si>
    <t>République chèque</t>
  </si>
  <si>
    <t>Hongrie</t>
  </si>
  <si>
    <t>Finlande</t>
  </si>
  <si>
    <t>Portugal</t>
  </si>
  <si>
    <t>NORVEGE</t>
  </si>
  <si>
    <t>Roumanie</t>
  </si>
  <si>
    <t>Slovénie</t>
  </si>
  <si>
    <t>Ca encaissé</t>
  </si>
  <si>
    <t>Total achat</t>
  </si>
  <si>
    <t>Total Réparation</t>
  </si>
  <si>
    <t>Total coût d'Acquisition</t>
  </si>
  <si>
    <t>Moyenne gain/achat :</t>
  </si>
  <si>
    <t>CA potentiel Brut Annuel</t>
  </si>
  <si>
    <t>CA brut réalisé</t>
  </si>
  <si>
    <t>CA encaissé</t>
  </si>
  <si>
    <t>Bénéfice</t>
  </si>
  <si>
    <t>CA Brut réalisé :</t>
  </si>
  <si>
    <t>TOTAL</t>
  </si>
  <si>
    <t>CA Encaissé</t>
  </si>
  <si>
    <t>%age</t>
  </si>
  <si>
    <t xml:space="preserve">Total Prix d'acquisition des ventes réalisées : </t>
  </si>
  <si>
    <t xml:space="preserve">Frais sur ventes Ebay : </t>
  </si>
  <si>
    <t>Total frais Ebay</t>
  </si>
  <si>
    <t>Annonce a poser</t>
  </si>
  <si>
    <t xml:space="preserve">Port payé Ebay : </t>
  </si>
  <si>
    <t>Chez Réparateur</t>
  </si>
  <si>
    <t xml:space="preserve">Bénéfice : </t>
  </si>
  <si>
    <t>du CA BRUT</t>
  </si>
  <si>
    <t>Non mis en vente</t>
  </si>
  <si>
    <t>du CA Encaissé</t>
  </si>
  <si>
    <t>Réparation non payées</t>
  </si>
  <si>
    <t>A déposer chez le réparateur</t>
  </si>
  <si>
    <t>A ranger</t>
  </si>
  <si>
    <t>Valo du stock non vendu :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</si>
  <si>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</si>
  <si>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</si>
  <si>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</si>
  <si>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</si>
  <si>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</si>
  <si>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</si>
  <si>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</si>
  <si>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</si>
  <si>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</si>
  <si>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</si>
  <si>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</si>
  <si>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</si>
  <si>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Reste sur 3k€ de vente</t>
  </si>
  <si>
    <t>Frais de réparation sur stock non vendu :</t>
  </si>
  <si>
    <t>CA brut Ebay</t>
  </si>
  <si>
    <t>CA brut potentiel à venir sans frais d'envoi :</t>
  </si>
  <si>
    <t>CA EBAY encaissé</t>
  </si>
  <si>
    <r>
      <rPr>
        <sz val="8"/>
        <color theme="1"/>
        <rFont val="Calibri"/>
        <family val="2"/>
      </rPr>
      <t xml:space="preserve">Bénéfice potentiel à venir 
</t>
    </r>
    <r>
      <rPr>
        <sz val="6"/>
        <color theme="1"/>
        <rFont val="Calibri"/>
        <family val="2"/>
      </rPr>
      <t>sans frais d'envoi</t>
    </r>
    <r>
      <rPr>
        <sz val="8"/>
        <color theme="1"/>
        <rFont val="Calibri"/>
        <family val="2"/>
      </rPr>
      <t xml:space="preserve"> :</t>
    </r>
  </si>
  <si>
    <t>Frais sur vente Ebay</t>
  </si>
  <si>
    <t>Port payé Ebay</t>
  </si>
  <si>
    <t>Bénéfice EBAY</t>
  </si>
  <si>
    <t>CA LBC1 encaissé</t>
  </si>
  <si>
    <t>Bénéfice LBC1</t>
  </si>
  <si>
    <t>CA LBC2 encaissé</t>
  </si>
  <si>
    <t>Bénéfice LBC2</t>
  </si>
  <si>
    <t>Bénéfice TOTAL LBC</t>
  </si>
  <si>
    <t>BENEFICE TOTAL</t>
  </si>
  <si>
    <t>%age :</t>
  </si>
  <si>
    <t>CA Encaissé mensuellement</t>
  </si>
  <si>
    <t>Achats mensuel</t>
  </si>
  <si>
    <t>Frais de réparations mensuel</t>
  </si>
  <si>
    <t>Balance mensuelle</t>
  </si>
  <si>
    <t>Nombre de ventes LBC1 :</t>
  </si>
  <si>
    <t>Nombre de ventes LBC2 :</t>
  </si>
  <si>
    <t>Nombre de ventes EBAY :</t>
  </si>
  <si>
    <t xml:space="preserve">Nombre de ventes total : </t>
  </si>
  <si>
    <t>Mondial Relais</t>
  </si>
  <si>
    <t>Chronopost</t>
  </si>
  <si>
    <t>LBC2</t>
  </si>
  <si>
    <t>Grèce</t>
  </si>
  <si>
    <t>Nb de jours de stock moyen</t>
  </si>
  <si>
    <t>% CA</t>
  </si>
  <si>
    <t>LBC</t>
  </si>
  <si>
    <t>EBAY</t>
  </si>
  <si>
    <t xml:space="preserve">Nombre total  de ventes LBC : </t>
  </si>
  <si>
    <t>Republic Tcheque</t>
  </si>
  <si>
    <t>Grece</t>
  </si>
  <si>
    <t>Canal</t>
  </si>
  <si>
    <t>VG</t>
  </si>
  <si>
    <t>VM</t>
  </si>
  <si>
    <t>CVG</t>
  </si>
  <si>
    <t>Ca - frais sur vente</t>
  </si>
  <si>
    <t xml:space="preserve">Total dépensé pour achats : </t>
  </si>
  <si>
    <t>revenus de la commande</t>
  </si>
  <si>
    <t>Total frais</t>
  </si>
  <si>
    <t xml:space="preserve">Taux de marge : </t>
  </si>
  <si>
    <t>(PV-PA)/PA</t>
  </si>
  <si>
    <t xml:space="preserve">Taux de marque : </t>
  </si>
  <si>
    <t>(PV-PA)/PV</t>
  </si>
  <si>
    <t xml:space="preserve">% CA </t>
  </si>
  <si>
    <t>frais de réparations mensuel</t>
  </si>
  <si>
    <t>JANVIER</t>
  </si>
  <si>
    <t>FEVRIER</t>
  </si>
  <si>
    <t>MARS</t>
  </si>
  <si>
    <t>AVRIL</t>
  </si>
  <si>
    <t>MAI</t>
  </si>
  <si>
    <t>JUIN</t>
  </si>
  <si>
    <t>JUILLET</t>
  </si>
  <si>
    <t xml:space="preserve">AOUT </t>
  </si>
  <si>
    <t>SEPTEMBRE</t>
  </si>
  <si>
    <t xml:space="preserve">OCTOBRE </t>
  </si>
  <si>
    <t>NOVEMBRE</t>
  </si>
  <si>
    <t>DECEMBRE</t>
  </si>
  <si>
    <t xml:space="preserve">Nombre de ventes LBC : </t>
  </si>
  <si>
    <r>
      <t xml:space="preserve">CA net potentiel à venir </t>
    </r>
    <r>
      <rPr>
        <sz val="6"/>
        <color theme="1"/>
        <rFont val="Calibri"/>
        <family val="2"/>
      </rPr>
      <t>net de frais d'envoi</t>
    </r>
    <r>
      <rPr>
        <sz val="8"/>
        <color theme="1"/>
        <rFont val="Calibri"/>
        <family val="2"/>
      </rPr>
      <t xml:space="preserve"> :</t>
    </r>
  </si>
  <si>
    <t>Bénéfice EBAY 2023</t>
  </si>
  <si>
    <t>Bénéfice LBC 2023</t>
  </si>
  <si>
    <t>BENEFICE TOTAL 2023</t>
  </si>
  <si>
    <t>Bénéfice EBAY 2024</t>
  </si>
  <si>
    <t>Bénéfice LBC 2024</t>
  </si>
  <si>
    <t>BENEFICE TOTAL 2024</t>
  </si>
  <si>
    <t>Taux d'évolution du BENEFICE 2024/2023</t>
  </si>
  <si>
    <t>Evolution du BENEFICE  2024/2023</t>
  </si>
  <si>
    <t>CA EBAY encaissé 2023</t>
  </si>
  <si>
    <t>CA EBAY/CA TOTAL</t>
  </si>
  <si>
    <t>BENEFICE EBAY /BENEFICE TOTAL</t>
  </si>
  <si>
    <t xml:space="preserve">BENEFICE LBC / BENEFICE TOTAL </t>
  </si>
  <si>
    <t>CA LBC / CA TOTAL</t>
  </si>
  <si>
    <t>CA LBC encaissé 2023</t>
  </si>
  <si>
    <t>CA EBAY encaissé 2024</t>
  </si>
  <si>
    <t>CA LBC encaissé 2024</t>
  </si>
  <si>
    <t>CA encaissé Total 2024</t>
  </si>
  <si>
    <t>CA encaissé Total 2023</t>
  </si>
  <si>
    <t>Evolution du CA  2024/2023</t>
  </si>
  <si>
    <t>Irlande</t>
  </si>
  <si>
    <t>EB</t>
  </si>
  <si>
    <t>Matisse</t>
  </si>
  <si>
    <t>MB</t>
  </si>
  <si>
    <t>TEST</t>
  </si>
  <si>
    <t>Slovaquie</t>
  </si>
  <si>
    <t>Ecart en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</si>
</sst>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d/m/yyyy"/>
    <numFmt numFmtId="166" formatCode="_-* #,##0.00\ &quot;€&quot;_-;\-* #,##0.00\ &quot;€&quot;_-;_-* &quot;-&quot;??\ &quot;€&quot;_-;_-@"/>
  </numFmts>
  <fonts count="4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1"/>
      <color theme="1"/>
      <name val="Calibri"/>
      <family val="2"/>
    </font>
    <font>
      <u/>
      <sz val="8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"/>
      <name val="Calibri"/>
      <family val="2"/>
    </font>
    <font>
      <u/>
      <sz val="8"/>
      <color theme="1"/>
      <name val="Calibri"/>
      <family val="2"/>
    </font>
    <font>
      <b/>
      <sz val="8"/>
      <color theme="1"/>
      <name val="Calibri"/>
      <family val="2"/>
    </font>
    <font>
      <sz val="6"/>
      <color theme="1"/>
      <name val="Calibri"/>
      <family val="2"/>
    </font>
    <font>
      <sz val="11"/>
      <name val="Calibri"/>
      <family val="2"/>
    </font>
    <font>
      <sz val="8"/>
      <color rgb="FFFF0000"/>
      <name val="Calibri"/>
      <family val="2"/>
    </font>
    <font>
      <b/>
      <sz val="8"/>
      <color rgb="FFFF0000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FF0000"/>
      <name val="Calibri"/>
      <family val="2"/>
    </font>
    <font>
      <sz val="11"/>
      <color rgb="FF141414"/>
      <name val="Inherit"/>
    </font>
    <font>
      <sz val="11"/>
      <color rgb="FFFF0000"/>
      <name val="Calibri"/>
      <family val="2"/>
    </font>
    <font>
      <sz val="8"/>
      <color theme="1"/>
      <name val="Calibri"/>
      <family val="2"/>
    </font>
    <font>
      <sz val="7"/>
      <color rgb="FF191919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6"/>
      <color rgb="FF06233D"/>
      <name val="Calibri"/>
      <family val="2"/>
    </font>
    <font>
      <sz val="8"/>
      <color rgb="FF191919"/>
      <name val="Arial"/>
      <family val="2"/>
    </font>
    <font>
      <sz val="7"/>
      <color rgb="FF707070"/>
      <name val="Arial"/>
      <family val="2"/>
    </font>
    <font>
      <u/>
      <sz val="8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BF9000"/>
        <bgColor rgb="FFBF9000"/>
      </patternFill>
    </fill>
    <fill>
      <patternFill patternType="solid">
        <fgColor rgb="FFFFFF99"/>
        <bgColor rgb="FFFFFF99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D8D8D8"/>
        <bgColor rgb="FFD8D8D8"/>
      </patternFill>
    </fill>
    <fill>
      <patternFill patternType="solid">
        <fgColor rgb="FFB4C6E7"/>
        <bgColor rgb="FFB4C6E7"/>
      </patternFill>
    </fill>
    <fill>
      <patternFill patternType="solid">
        <fgColor rgb="FFFFD965"/>
        <bgColor rgb="FFFFD965"/>
      </patternFill>
    </fill>
    <fill>
      <patternFill patternType="solid">
        <fgColor theme="1"/>
        <bgColor theme="1"/>
      </patternFill>
    </fill>
    <fill>
      <patternFill patternType="solid">
        <fgColor theme="9"/>
        <bgColor theme="9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rgb="FFFFFF99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rgb="FF9CC2E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rgb="FFD8D8D8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rgb="FFD8D8D8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7CAAC"/>
        <bgColor rgb="FFF7CAAC"/>
      </patternFill>
    </fill>
    <fill>
      <patternFill patternType="solid">
        <fgColor rgb="FFC55A11"/>
        <bgColor rgb="FFC55A11"/>
      </patternFill>
    </fill>
    <fill>
      <patternFill patternType="solid">
        <fgColor rgb="FFFFE598"/>
        <bgColor rgb="FFFFE598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9" fillId="0" borderId="10" applyNumberFormat="0" applyFill="0" applyBorder="0" applyAlignment="0" applyProtection="0"/>
  </cellStyleXfs>
  <cellXfs count="490">
    <xf numFmtId="0" fontId="0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2" fontId="6" fillId="0" borderId="0" xfId="0" applyNumberFormat="1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center" vertical="center"/>
    </xf>
    <xf numFmtId="165" fontId="6" fillId="5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horizontal="right" vertical="center"/>
    </xf>
    <xf numFmtId="2" fontId="6" fillId="0" borderId="0" xfId="0" applyNumberFormat="1" applyFont="1"/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right" vertical="center" wrapText="1"/>
    </xf>
    <xf numFmtId="164" fontId="6" fillId="0" borderId="1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horizontal="center" vertical="center"/>
    </xf>
    <xf numFmtId="164" fontId="6" fillId="6" borderId="1" xfId="0" applyNumberFormat="1" applyFont="1" applyFill="1" applyBorder="1" applyAlignment="1">
      <alignment horizontal="right" vertical="center"/>
    </xf>
    <xf numFmtId="164" fontId="16" fillId="6" borderId="1" xfId="0" applyNumberFormat="1" applyFont="1" applyFill="1" applyBorder="1" applyAlignment="1">
      <alignment horizontal="right" vertical="center"/>
    </xf>
    <xf numFmtId="10" fontId="6" fillId="0" borderId="1" xfId="0" applyNumberFormat="1" applyFont="1" applyBorder="1" applyAlignment="1">
      <alignment horizontal="center" vertical="center"/>
    </xf>
    <xf numFmtId="0" fontId="7" fillId="0" borderId="8" xfId="0" applyFont="1" applyBorder="1"/>
    <xf numFmtId="0" fontId="6" fillId="0" borderId="6" xfId="0" applyFont="1" applyBorder="1" applyAlignment="1">
      <alignment horizontal="right" vertical="center"/>
    </xf>
    <xf numFmtId="164" fontId="6" fillId="8" borderId="1" xfId="0" applyNumberFormat="1" applyFont="1" applyFill="1" applyBorder="1" applyAlignment="1">
      <alignment horizontal="right" vertical="center"/>
    </xf>
    <xf numFmtId="0" fontId="6" fillId="8" borderId="9" xfId="0" applyFont="1" applyFill="1" applyBorder="1" applyAlignment="1">
      <alignment horizontal="center"/>
    </xf>
    <xf numFmtId="10" fontId="6" fillId="0" borderId="0" xfId="0" applyNumberFormat="1" applyFont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center" vertical="center"/>
    </xf>
    <xf numFmtId="164" fontId="6" fillId="8" borderId="11" xfId="0" applyNumberFormat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right" vertical="center"/>
    </xf>
    <xf numFmtId="164" fontId="17" fillId="9" borderId="1" xfId="0" applyNumberFormat="1" applyFont="1" applyFill="1" applyBorder="1" applyAlignment="1">
      <alignment horizontal="right" vertical="center"/>
    </xf>
    <xf numFmtId="10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0" fontId="7" fillId="10" borderId="10" xfId="0" applyFont="1" applyFill="1" applyBorder="1" applyAlignment="1">
      <alignment horizontal="left" vertical="center"/>
    </xf>
    <xf numFmtId="0" fontId="7" fillId="10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2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11" borderId="10" xfId="0" applyFont="1" applyFill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12" borderId="10" xfId="0" applyFont="1" applyFill="1" applyBorder="1" applyAlignment="1">
      <alignment horizontal="left" vertical="center"/>
    </xf>
    <xf numFmtId="0" fontId="6" fillId="12" borderId="10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right" vertical="center"/>
    </xf>
    <xf numFmtId="164" fontId="6" fillId="8" borderId="9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right"/>
    </xf>
    <xf numFmtId="164" fontId="6" fillId="13" borderId="9" xfId="0" applyNumberFormat="1" applyFont="1" applyFill="1" applyBorder="1" applyAlignment="1">
      <alignment horizontal="center" vertical="center"/>
    </xf>
    <xf numFmtId="164" fontId="6" fillId="13" borderId="1" xfId="0" applyNumberFormat="1" applyFont="1" applyFill="1" applyBorder="1" applyAlignment="1">
      <alignment horizontal="center" vertical="center"/>
    </xf>
    <xf numFmtId="164" fontId="16" fillId="0" borderId="0" xfId="0" applyNumberFormat="1" applyFont="1" applyAlignment="1">
      <alignment vertical="center"/>
    </xf>
    <xf numFmtId="164" fontId="16" fillId="7" borderId="9" xfId="0" applyNumberFormat="1" applyFont="1" applyFill="1" applyBorder="1" applyAlignment="1">
      <alignment horizontal="center" vertical="center"/>
    </xf>
    <xf numFmtId="164" fontId="16" fillId="7" borderId="1" xfId="0" applyNumberFormat="1" applyFont="1" applyFill="1" applyBorder="1" applyAlignment="1">
      <alignment horizontal="center" vertical="center"/>
    </xf>
    <xf numFmtId="164" fontId="7" fillId="14" borderId="1" xfId="0" applyNumberFormat="1" applyFont="1" applyFill="1" applyBorder="1" applyAlignment="1">
      <alignment horizontal="right" vertical="center"/>
    </xf>
    <xf numFmtId="164" fontId="7" fillId="0" borderId="0" xfId="0" applyNumberFormat="1" applyFont="1"/>
    <xf numFmtId="0" fontId="6" fillId="0" borderId="12" xfId="0" applyFont="1" applyBorder="1" applyAlignment="1">
      <alignment horizontal="right" vertical="center"/>
    </xf>
    <xf numFmtId="164" fontId="7" fillId="0" borderId="12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right" vertical="center"/>
    </xf>
    <xf numFmtId="164" fontId="12" fillId="15" borderId="1" xfId="0" applyNumberFormat="1" applyFont="1" applyFill="1" applyBorder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right" vertical="center"/>
    </xf>
    <xf numFmtId="164" fontId="6" fillId="16" borderId="14" xfId="0" applyNumberFormat="1" applyFont="1" applyFill="1" applyBorder="1" applyAlignment="1">
      <alignment horizontal="right" vertical="center"/>
    </xf>
    <xf numFmtId="165" fontId="6" fillId="16" borderId="14" xfId="0" applyNumberFormat="1" applyFont="1" applyFill="1" applyBorder="1" applyAlignment="1">
      <alignment horizontal="right" vertical="center"/>
    </xf>
    <xf numFmtId="164" fontId="6" fillId="16" borderId="15" xfId="0" applyNumberFormat="1" applyFont="1" applyFill="1" applyBorder="1" applyAlignment="1">
      <alignment horizontal="right" vertical="center"/>
    </xf>
    <xf numFmtId="164" fontId="6" fillId="16" borderId="1" xfId="0" applyNumberFormat="1" applyFont="1" applyFill="1" applyBorder="1" applyAlignment="1">
      <alignment horizontal="center" vertical="center"/>
    </xf>
    <xf numFmtId="164" fontId="6" fillId="7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18" fillId="0" borderId="0" xfId="0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164" fontId="18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7" fillId="9" borderId="18" xfId="0" applyNumberFormat="1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right" vertical="center"/>
    </xf>
    <xf numFmtId="10" fontId="12" fillId="9" borderId="11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right" vertical="center"/>
    </xf>
    <xf numFmtId="164" fontId="6" fillId="16" borderId="10" xfId="0" applyNumberFormat="1" applyFont="1" applyFill="1" applyBorder="1" applyAlignment="1">
      <alignment horizontal="right" vertical="center"/>
    </xf>
    <xf numFmtId="165" fontId="6" fillId="16" borderId="10" xfId="0" applyNumberFormat="1" applyFont="1" applyFill="1" applyBorder="1" applyAlignment="1">
      <alignment horizontal="right" vertical="center"/>
    </xf>
    <xf numFmtId="164" fontId="6" fillId="16" borderId="10" xfId="0" applyNumberFormat="1" applyFont="1" applyFill="1" applyBorder="1" applyAlignment="1">
      <alignment horizontal="center" vertical="center"/>
    </xf>
    <xf numFmtId="165" fontId="18" fillId="0" borderId="0" xfId="0" applyNumberFormat="1" applyFont="1" applyAlignment="1">
      <alignment vertical="center"/>
    </xf>
    <xf numFmtId="165" fontId="18" fillId="0" borderId="6" xfId="0" applyNumberFormat="1" applyFont="1" applyBorder="1" applyAlignment="1">
      <alignment vertical="center"/>
    </xf>
    <xf numFmtId="164" fontId="19" fillId="9" borderId="1" xfId="0" applyNumberFormat="1" applyFont="1" applyFill="1" applyBorder="1" applyAlignment="1">
      <alignment horizontal="center" vertical="center"/>
    </xf>
    <xf numFmtId="166" fontId="21" fillId="0" borderId="0" xfId="0" applyNumberFormat="1" applyFont="1" applyAlignment="1">
      <alignment horizontal="right" vertical="center"/>
    </xf>
    <xf numFmtId="164" fontId="17" fillId="6" borderId="9" xfId="0" applyNumberFormat="1" applyFont="1" applyFill="1" applyBorder="1" applyAlignment="1">
      <alignment horizontal="center" vertical="center"/>
    </xf>
    <xf numFmtId="164" fontId="17" fillId="17" borderId="9" xfId="0" applyNumberFormat="1" applyFont="1" applyFill="1" applyBorder="1" applyAlignment="1">
      <alignment horizontal="center" vertical="center"/>
    </xf>
    <xf numFmtId="165" fontId="18" fillId="17" borderId="18" xfId="0" applyNumberFormat="1" applyFont="1" applyFill="1" applyBorder="1" applyAlignment="1">
      <alignment horizontal="right" vertical="center"/>
    </xf>
    <xf numFmtId="165" fontId="18" fillId="17" borderId="19" xfId="0" applyNumberFormat="1" applyFont="1" applyFill="1" applyBorder="1" applyAlignment="1">
      <alignment horizontal="right" vertical="center"/>
    </xf>
    <xf numFmtId="10" fontId="12" fillId="17" borderId="11" xfId="0" applyNumberFormat="1" applyFont="1" applyFill="1" applyBorder="1" applyAlignment="1">
      <alignment horizontal="center" vertical="center"/>
    </xf>
    <xf numFmtId="164" fontId="17" fillId="17" borderId="11" xfId="0" applyNumberFormat="1" applyFont="1" applyFill="1" applyBorder="1" applyAlignment="1">
      <alignment horizontal="center" vertical="center"/>
    </xf>
    <xf numFmtId="164" fontId="17" fillId="6" borderId="1" xfId="0" applyNumberFormat="1" applyFont="1" applyFill="1" applyBorder="1" applyAlignment="1">
      <alignment horizontal="center" vertical="center"/>
    </xf>
    <xf numFmtId="164" fontId="17" fillId="12" borderId="1" xfId="0" applyNumberFormat="1" applyFont="1" applyFill="1" applyBorder="1" applyAlignment="1">
      <alignment horizontal="center" vertical="center"/>
    </xf>
    <xf numFmtId="10" fontId="12" fillId="0" borderId="0" xfId="0" applyNumberFormat="1" applyFont="1" applyAlignment="1">
      <alignment horizontal="center" vertical="center"/>
    </xf>
    <xf numFmtId="164" fontId="12" fillId="8" borderId="1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6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1" fontId="12" fillId="6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1" fontId="12" fillId="4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165" fontId="1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0" fontId="12" fillId="0" borderId="0" xfId="0" applyNumberFormat="1" applyFont="1" applyAlignment="1">
      <alignment horizontal="center"/>
    </xf>
    <xf numFmtId="165" fontId="7" fillId="0" borderId="0" xfId="0" applyNumberFormat="1" applyFont="1"/>
    <xf numFmtId="0" fontId="0" fillId="18" borderId="0" xfId="0" applyFont="1" applyFill="1" applyAlignment="1"/>
    <xf numFmtId="0" fontId="6" fillId="18" borderId="1" xfId="0" applyFont="1" applyFill="1" applyBorder="1" applyAlignment="1">
      <alignment horizontal="center" vertical="center"/>
    </xf>
    <xf numFmtId="165" fontId="6" fillId="18" borderId="1" xfId="0" applyNumberFormat="1" applyFont="1" applyFill="1" applyBorder="1" applyAlignment="1">
      <alignment horizontal="center" vertical="center"/>
    </xf>
    <xf numFmtId="165" fontId="6" fillId="18" borderId="1" xfId="0" applyNumberFormat="1" applyFont="1" applyFill="1" applyBorder="1" applyAlignment="1">
      <alignment horizontal="right" vertical="center"/>
    </xf>
    <xf numFmtId="164" fontId="6" fillId="18" borderId="1" xfId="0" applyNumberFormat="1" applyFont="1" applyFill="1" applyBorder="1" applyAlignment="1">
      <alignment horizontal="center" vertical="center"/>
    </xf>
    <xf numFmtId="1" fontId="6" fillId="18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/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16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4" fontId="6" fillId="19" borderId="1" xfId="0" applyNumberFormat="1" applyFont="1" applyFill="1" applyBorder="1" applyAlignment="1">
      <alignment horizontal="center" vertical="center"/>
    </xf>
    <xf numFmtId="165" fontId="6" fillId="19" borderId="1" xfId="0" applyNumberFormat="1" applyFont="1" applyFill="1" applyBorder="1" applyAlignment="1">
      <alignment horizontal="center" vertical="center"/>
    </xf>
    <xf numFmtId="0" fontId="6" fillId="19" borderId="1" xfId="0" applyFont="1" applyFill="1" applyBorder="1" applyAlignment="1">
      <alignment horizontal="center" vertical="center"/>
    </xf>
    <xf numFmtId="165" fontId="6" fillId="19" borderId="1" xfId="0" applyNumberFormat="1" applyFont="1" applyFill="1" applyBorder="1" applyAlignment="1">
      <alignment horizontal="right" vertical="center"/>
    </xf>
    <xf numFmtId="1" fontId="6" fillId="19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/>
    </xf>
    <xf numFmtId="0" fontId="18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0" fillId="0" borderId="0" xfId="0" applyFont="1" applyAlignment="1"/>
    <xf numFmtId="0" fontId="7" fillId="0" borderId="0" xfId="0" applyFont="1"/>
    <xf numFmtId="164" fontId="6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7" fillId="0" borderId="0" xfId="0" applyFont="1"/>
    <xf numFmtId="164" fontId="6" fillId="0" borderId="0" xfId="0" applyNumberFormat="1" applyFont="1" applyAlignment="1">
      <alignment horizontal="center" vertical="center"/>
    </xf>
    <xf numFmtId="164" fontId="22" fillId="0" borderId="0" xfId="0" applyNumberFormat="1" applyFont="1" applyFill="1" applyAlignment="1">
      <alignment horizontal="left" vertical="center"/>
    </xf>
    <xf numFmtId="0" fontId="6" fillId="20" borderId="1" xfId="0" applyFont="1" applyFill="1" applyBorder="1" applyAlignment="1">
      <alignment horizontal="center" vertical="center"/>
    </xf>
    <xf numFmtId="165" fontId="6" fillId="20" borderId="1" xfId="0" applyNumberFormat="1" applyFont="1" applyFill="1" applyBorder="1" applyAlignment="1">
      <alignment horizontal="center" vertical="center"/>
    </xf>
    <xf numFmtId="165" fontId="6" fillId="20" borderId="1" xfId="0" applyNumberFormat="1" applyFont="1" applyFill="1" applyBorder="1" applyAlignment="1">
      <alignment horizontal="right" vertical="center"/>
    </xf>
    <xf numFmtId="164" fontId="6" fillId="20" borderId="1" xfId="0" applyNumberFormat="1" applyFont="1" applyFill="1" applyBorder="1" applyAlignment="1">
      <alignment horizontal="center" vertical="center"/>
    </xf>
    <xf numFmtId="1" fontId="6" fillId="20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0" fillId="0" borderId="0" xfId="0" applyFont="1" applyAlignment="1"/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23" fillId="21" borderId="0" xfId="0" applyFont="1" applyFill="1" applyAlignment="1">
      <alignment wrapText="1"/>
    </xf>
    <xf numFmtId="1" fontId="7" fillId="0" borderId="15" xfId="0" applyNumberFormat="1" applyFont="1" applyBorder="1" applyAlignment="1">
      <alignment horizontal="center" vertical="center"/>
    </xf>
    <xf numFmtId="0" fontId="0" fillId="0" borderId="0" xfId="0" applyFont="1" applyAlignment="1"/>
    <xf numFmtId="164" fontId="7" fillId="0" borderId="0" xfId="0" applyNumberFormat="1" applyFont="1" applyAlignment="1">
      <alignment horizontal="center" vertical="center"/>
    </xf>
    <xf numFmtId="164" fontId="17" fillId="22" borderId="9" xfId="0" applyNumberFormat="1" applyFont="1" applyFill="1" applyBorder="1" applyAlignment="1">
      <alignment horizontal="center" vertical="center"/>
    </xf>
    <xf numFmtId="10" fontId="12" fillId="0" borderId="0" xfId="0" applyNumberFormat="1" applyFont="1" applyAlignment="1">
      <alignment horizontal="left" vertical="center"/>
    </xf>
    <xf numFmtId="0" fontId="7" fillId="23" borderId="0" xfId="0" applyFont="1" applyFill="1" applyAlignment="1">
      <alignment horizontal="center" vertical="center"/>
    </xf>
    <xf numFmtId="164" fontId="25" fillId="9" borderId="9" xfId="0" applyNumberFormat="1" applyFont="1" applyFill="1" applyBorder="1" applyAlignment="1">
      <alignment horizontal="center" vertical="center"/>
    </xf>
    <xf numFmtId="0" fontId="5" fillId="0" borderId="0" xfId="0" applyFont="1" applyAlignment="1"/>
    <xf numFmtId="0" fontId="7" fillId="9" borderId="8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/>
    <xf numFmtId="0" fontId="0" fillId="0" borderId="0" xfId="0" applyFont="1" applyAlignment="1"/>
    <xf numFmtId="164" fontId="6" fillId="0" borderId="0" xfId="0" applyNumberFormat="1" applyFont="1" applyAlignment="1">
      <alignment horizontal="center" vertical="center"/>
    </xf>
    <xf numFmtId="0" fontId="7" fillId="25" borderId="10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6" fillId="0" borderId="1" xfId="0" applyFont="1" applyFill="1" applyBorder="1" applyAlignment="1">
      <alignment horizontal="left" vertical="center"/>
    </xf>
    <xf numFmtId="164" fontId="26" fillId="0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0" fillId="0" borderId="0" xfId="0" applyFont="1" applyAlignment="1"/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7" fillId="0" borderId="0" xfId="0" applyFont="1"/>
    <xf numFmtId="164" fontId="6" fillId="0" borderId="0" xfId="0" applyNumberFormat="1" applyFont="1" applyAlignment="1">
      <alignment horizontal="center" vertical="center"/>
    </xf>
    <xf numFmtId="0" fontId="6" fillId="27" borderId="1" xfId="0" applyFont="1" applyFill="1" applyBorder="1" applyAlignment="1">
      <alignment horizontal="center" vertical="center"/>
    </xf>
    <xf numFmtId="165" fontId="6" fillId="27" borderId="1" xfId="0" applyNumberFormat="1" applyFont="1" applyFill="1" applyBorder="1" applyAlignment="1">
      <alignment horizontal="center" vertical="center"/>
    </xf>
    <xf numFmtId="165" fontId="6" fillId="27" borderId="1" xfId="0" applyNumberFormat="1" applyFont="1" applyFill="1" applyBorder="1" applyAlignment="1">
      <alignment horizontal="right" vertical="center"/>
    </xf>
    <xf numFmtId="164" fontId="6" fillId="27" borderId="1" xfId="0" applyNumberFormat="1" applyFont="1" applyFill="1" applyBorder="1" applyAlignment="1">
      <alignment horizontal="center" vertical="center"/>
    </xf>
    <xf numFmtId="1" fontId="6" fillId="27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0" fillId="0" borderId="0" xfId="0" applyFont="1" applyAlignment="1"/>
    <xf numFmtId="164" fontId="6" fillId="0" borderId="0" xfId="0" applyNumberFormat="1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center" vertical="center"/>
    </xf>
    <xf numFmtId="0" fontId="0" fillId="0" borderId="0" xfId="0" applyFont="1" applyAlignment="1"/>
    <xf numFmtId="0" fontId="7" fillId="0" borderId="0" xfId="0" applyFont="1"/>
    <xf numFmtId="0" fontId="26" fillId="0" borderId="1" xfId="0" applyFont="1" applyFill="1" applyBorder="1" applyAlignment="1">
      <alignment horizontal="center" vertical="center"/>
    </xf>
    <xf numFmtId="165" fontId="26" fillId="0" borderId="1" xfId="0" applyNumberFormat="1" applyFont="1" applyFill="1" applyBorder="1" applyAlignment="1">
      <alignment horizontal="center" vertical="center"/>
    </xf>
    <xf numFmtId="165" fontId="26" fillId="0" borderId="1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left" vertical="center"/>
    </xf>
    <xf numFmtId="0" fontId="6" fillId="28" borderId="1" xfId="0" applyFont="1" applyFill="1" applyBorder="1" applyAlignment="1">
      <alignment horizontal="center" vertical="center"/>
    </xf>
    <xf numFmtId="165" fontId="6" fillId="28" borderId="1" xfId="0" applyNumberFormat="1" applyFont="1" applyFill="1" applyBorder="1" applyAlignment="1">
      <alignment horizontal="center" vertical="center"/>
    </xf>
    <xf numFmtId="165" fontId="6" fillId="28" borderId="1" xfId="0" applyNumberFormat="1" applyFont="1" applyFill="1" applyBorder="1" applyAlignment="1">
      <alignment horizontal="right" vertical="center"/>
    </xf>
    <xf numFmtId="164" fontId="6" fillId="28" borderId="1" xfId="0" applyNumberFormat="1" applyFont="1" applyFill="1" applyBorder="1" applyAlignment="1">
      <alignment horizontal="center" vertical="center"/>
    </xf>
    <xf numFmtId="1" fontId="6" fillId="28" borderId="1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/>
    <xf numFmtId="0" fontId="0" fillId="0" borderId="0" xfId="0" applyFont="1" applyAlignment="1"/>
    <xf numFmtId="164" fontId="7" fillId="0" borderId="0" xfId="0" applyNumberFormat="1" applyFont="1" applyAlignment="1">
      <alignment horizontal="center" vertical="center"/>
    </xf>
    <xf numFmtId="0" fontId="0" fillId="0" borderId="0" xfId="0"/>
    <xf numFmtId="10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12" fillId="0" borderId="0" xfId="0" applyFont="1"/>
    <xf numFmtId="0" fontId="18" fillId="0" borderId="0" xfId="0" applyFont="1"/>
    <xf numFmtId="164" fontId="6" fillId="0" borderId="1" xfId="0" applyNumberFormat="1" applyFont="1" applyBorder="1" applyAlignment="1">
      <alignment horizontal="center"/>
    </xf>
    <xf numFmtId="10" fontId="7" fillId="0" borderId="0" xfId="0" applyNumberFormat="1" applyFont="1"/>
    <xf numFmtId="0" fontId="6" fillId="0" borderId="1" xfId="0" applyFont="1" applyBorder="1" applyAlignment="1">
      <alignment horizontal="left" vertical="center"/>
    </xf>
    <xf numFmtId="2" fontId="2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1" fontId="6" fillId="29" borderId="1" xfId="0" applyNumberFormat="1" applyFont="1" applyFill="1" applyBorder="1" applyAlignment="1">
      <alignment horizontal="center" vertical="center"/>
    </xf>
    <xf numFmtId="164" fontId="6" fillId="29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0" fillId="0" borderId="10" xfId="1" applyFont="1" applyAlignment="1">
      <alignment horizontal="center" vertical="center"/>
    </xf>
    <xf numFmtId="0" fontId="29" fillId="0" borderId="10" xfId="1"/>
    <xf numFmtId="0" fontId="6" fillId="0" borderId="2" xfId="0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65" fontId="26" fillId="0" borderId="1" xfId="0" applyNumberFormat="1" applyFont="1" applyBorder="1" applyAlignment="1">
      <alignment horizontal="center" vertical="center"/>
    </xf>
    <xf numFmtId="165" fontId="26" fillId="0" borderId="1" xfId="0" applyNumberFormat="1" applyFont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/>
    </xf>
    <xf numFmtId="1" fontId="26" fillId="0" borderId="1" xfId="0" applyNumberFormat="1" applyFont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2" fontId="32" fillId="0" borderId="0" xfId="0" applyNumberFormat="1" applyFont="1" applyAlignment="1">
      <alignment horizontal="center" vertical="center"/>
    </xf>
    <xf numFmtId="0" fontId="33" fillId="21" borderId="0" xfId="0" applyFont="1" applyFill="1" applyAlignment="1">
      <alignment vertical="center" wrapText="1"/>
    </xf>
    <xf numFmtId="0" fontId="0" fillId="30" borderId="0" xfId="0" applyFill="1"/>
    <xf numFmtId="0" fontId="34" fillId="0" borderId="0" xfId="0" applyFont="1" applyAlignment="1">
      <alignment horizontal="center" vertical="center"/>
    </xf>
    <xf numFmtId="0" fontId="35" fillId="0" borderId="0" xfId="0" applyFont="1"/>
    <xf numFmtId="0" fontId="27" fillId="21" borderId="0" xfId="0" applyFont="1" applyFill="1"/>
    <xf numFmtId="164" fontId="28" fillId="0" borderId="0" xfId="0" applyNumberFormat="1" applyFont="1" applyAlignment="1">
      <alignment horizontal="center" vertical="center"/>
    </xf>
    <xf numFmtId="0" fontId="30" fillId="0" borderId="10" xfId="1" applyFont="1" applyFill="1" applyAlignment="1">
      <alignment horizontal="center" vertical="center"/>
    </xf>
    <xf numFmtId="0" fontId="29" fillId="0" borderId="10" xfId="1" applyFill="1"/>
    <xf numFmtId="165" fontId="6" fillId="28" borderId="1" xfId="0" applyNumberFormat="1" applyFont="1" applyFill="1" applyBorder="1" applyAlignment="1">
      <alignment horizontal="center" vertical="center" wrapText="1"/>
    </xf>
    <xf numFmtId="0" fontId="7" fillId="28" borderId="0" xfId="0" applyFont="1" applyFill="1" applyAlignment="1">
      <alignment horizontal="left" vertical="center"/>
    </xf>
    <xf numFmtId="0" fontId="28" fillId="28" borderId="0" xfId="0" applyFont="1" applyFill="1" applyAlignment="1">
      <alignment horizontal="center" vertical="center"/>
    </xf>
    <xf numFmtId="165" fontId="6" fillId="0" borderId="0" xfId="0" applyNumberFormat="1" applyFont="1" applyAlignment="1">
      <alignment horizontal="center"/>
    </xf>
    <xf numFmtId="0" fontId="36" fillId="0" borderId="10" xfId="1" applyFont="1" applyFill="1" applyAlignment="1">
      <alignment horizontal="center" vertical="center"/>
    </xf>
    <xf numFmtId="0" fontId="37" fillId="0" borderId="10" xfId="1" applyFont="1" applyFill="1"/>
    <xf numFmtId="0" fontId="31" fillId="0" borderId="0" xfId="0" applyFont="1"/>
    <xf numFmtId="0" fontId="32" fillId="0" borderId="0" xfId="0" applyFont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 wrapText="1"/>
    </xf>
    <xf numFmtId="164" fontId="16" fillId="31" borderId="1" xfId="0" applyNumberFormat="1" applyFont="1" applyFill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8" borderId="1" xfId="0" applyNumberFormat="1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center" vertical="center"/>
    </xf>
    <xf numFmtId="164" fontId="17" fillId="9" borderId="1" xfId="0" applyNumberFormat="1" applyFont="1" applyFill="1" applyBorder="1" applyAlignment="1">
      <alignment horizontal="center" vertical="center"/>
    </xf>
    <xf numFmtId="10" fontId="6" fillId="0" borderId="9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4" fontId="7" fillId="15" borderId="25" xfId="0" applyNumberFormat="1" applyFont="1" applyFill="1" applyBorder="1" applyAlignment="1">
      <alignment horizontal="center" vertical="center"/>
    </xf>
    <xf numFmtId="164" fontId="0" fillId="32" borderId="25" xfId="0" applyNumberFormat="1" applyFill="1" applyBorder="1"/>
    <xf numFmtId="0" fontId="7" fillId="0" borderId="10" xfId="0" applyFont="1" applyBorder="1" applyAlignment="1">
      <alignment horizontal="center" vertical="center"/>
    </xf>
    <xf numFmtId="164" fontId="6" fillId="24" borderId="9" xfId="0" applyNumberFormat="1" applyFont="1" applyFill="1" applyBorder="1" applyAlignment="1">
      <alignment horizontal="center" vertical="center"/>
    </xf>
    <xf numFmtId="164" fontId="6" fillId="24" borderId="1" xfId="0" applyNumberFormat="1" applyFont="1" applyFill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/>
    </xf>
    <xf numFmtId="164" fontId="16" fillId="34" borderId="9" xfId="0" applyNumberFormat="1" applyFont="1" applyFill="1" applyBorder="1" applyAlignment="1">
      <alignment horizontal="center" vertical="center"/>
    </xf>
    <xf numFmtId="164" fontId="16" fillId="34" borderId="1" xfId="0" applyNumberFormat="1" applyFont="1" applyFill="1" applyBorder="1" applyAlignment="1">
      <alignment horizontal="center" vertical="center"/>
    </xf>
    <xf numFmtId="164" fontId="7" fillId="14" borderId="25" xfId="0" applyNumberFormat="1" applyFont="1" applyFill="1" applyBorder="1" applyAlignment="1">
      <alignment horizontal="center" vertical="center"/>
    </xf>
    <xf numFmtId="10" fontId="6" fillId="0" borderId="10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right" vertical="center"/>
    </xf>
    <xf numFmtId="164" fontId="7" fillId="0" borderId="26" xfId="0" applyNumberFormat="1" applyFont="1" applyBorder="1" applyAlignment="1">
      <alignment horizontal="center" vertical="center"/>
    </xf>
    <xf numFmtId="164" fontId="12" fillId="35" borderId="1" xfId="0" applyNumberFormat="1" applyFont="1" applyFill="1" applyBorder="1" applyAlignment="1">
      <alignment horizontal="center" vertical="center"/>
    </xf>
    <xf numFmtId="10" fontId="12" fillId="13" borderId="1" xfId="0" applyNumberFormat="1" applyFont="1" applyFill="1" applyBorder="1" applyAlignment="1">
      <alignment horizontal="center" vertical="center"/>
    </xf>
    <xf numFmtId="164" fontId="6" fillId="16" borderId="7" xfId="0" applyNumberFormat="1" applyFont="1" applyFill="1" applyBorder="1" applyAlignment="1">
      <alignment horizontal="right" vertical="center"/>
    </xf>
    <xf numFmtId="10" fontId="6" fillId="0" borderId="16" xfId="0" applyNumberFormat="1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164" fontId="17" fillId="9" borderId="9" xfId="0" applyNumberFormat="1" applyFont="1" applyFill="1" applyBorder="1" applyAlignment="1">
      <alignment horizontal="center" vertical="center"/>
    </xf>
    <xf numFmtId="164" fontId="38" fillId="0" borderId="0" xfId="0" applyNumberFormat="1" applyFont="1" applyAlignment="1">
      <alignment horizontal="center" vertical="center"/>
    </xf>
    <xf numFmtId="0" fontId="40" fillId="0" borderId="0" xfId="0" applyFont="1"/>
    <xf numFmtId="164" fontId="12" fillId="21" borderId="18" xfId="0" applyNumberFormat="1" applyFont="1" applyFill="1" applyBorder="1" applyAlignment="1">
      <alignment horizontal="center" vertical="center"/>
    </xf>
    <xf numFmtId="0" fontId="7" fillId="21" borderId="18" xfId="0" applyFont="1" applyFill="1" applyBorder="1" applyAlignment="1">
      <alignment horizontal="center" vertical="center"/>
    </xf>
    <xf numFmtId="165" fontId="7" fillId="21" borderId="18" xfId="0" applyNumberFormat="1" applyFont="1" applyFill="1" applyBorder="1" applyAlignment="1">
      <alignment horizontal="center" vertical="center"/>
    </xf>
    <xf numFmtId="0" fontId="7" fillId="21" borderId="19" xfId="0" applyFont="1" applyFill="1" applyBorder="1" applyAlignment="1">
      <alignment horizontal="right" vertical="center"/>
    </xf>
    <xf numFmtId="10" fontId="12" fillId="21" borderId="11" xfId="0" applyNumberFormat="1" applyFont="1" applyFill="1" applyBorder="1" applyAlignment="1">
      <alignment horizontal="center" vertical="center"/>
    </xf>
    <xf numFmtId="164" fontId="17" fillId="21" borderId="25" xfId="0" applyNumberFormat="1" applyFont="1" applyFill="1" applyBorder="1" applyAlignment="1">
      <alignment horizontal="center" vertical="center"/>
    </xf>
    <xf numFmtId="164" fontId="17" fillId="37" borderId="29" xfId="0" applyNumberFormat="1" applyFont="1" applyFill="1" applyBorder="1" applyAlignment="1">
      <alignment horizontal="center" vertical="center"/>
    </xf>
    <xf numFmtId="10" fontId="12" fillId="37" borderId="33" xfId="0" applyNumberFormat="1" applyFont="1" applyFill="1" applyBorder="1" applyAlignment="1">
      <alignment horizontal="center" vertical="center"/>
    </xf>
    <xf numFmtId="0" fontId="28" fillId="0" borderId="0" xfId="0" applyFont="1"/>
    <xf numFmtId="164" fontId="17" fillId="38" borderId="25" xfId="0" applyNumberFormat="1" applyFont="1" applyFill="1" applyBorder="1" applyAlignment="1">
      <alignment horizontal="center" vertical="center"/>
    </xf>
    <xf numFmtId="164" fontId="17" fillId="39" borderId="25" xfId="0" applyNumberFormat="1" applyFont="1" applyFill="1" applyBorder="1" applyAlignment="1">
      <alignment horizontal="center" vertical="center"/>
    </xf>
    <xf numFmtId="165" fontId="7" fillId="0" borderId="1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 readingOrder="1"/>
    </xf>
    <xf numFmtId="0" fontId="6" fillId="8" borderId="9" xfId="0" applyFont="1" applyFill="1" applyBorder="1" applyAlignment="1">
      <alignment horizontal="center" vertical="center"/>
    </xf>
    <xf numFmtId="2" fontId="6" fillId="8" borderId="9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/>
    </xf>
    <xf numFmtId="0" fontId="6" fillId="40" borderId="1" xfId="0" applyFont="1" applyFill="1" applyBorder="1" applyAlignment="1">
      <alignment horizontal="center" vertical="center"/>
    </xf>
    <xf numFmtId="1" fontId="6" fillId="40" borderId="1" xfId="0" applyNumberFormat="1" applyFont="1" applyFill="1" applyBorder="1" applyAlignment="1">
      <alignment horizontal="center" vertical="center"/>
    </xf>
    <xf numFmtId="0" fontId="12" fillId="41" borderId="1" xfId="0" applyFont="1" applyFill="1" applyBorder="1" applyAlignment="1">
      <alignment horizontal="center" vertical="center"/>
    </xf>
    <xf numFmtId="1" fontId="12" fillId="41" borderId="1" xfId="0" applyNumberFormat="1" applyFont="1" applyFill="1" applyBorder="1" applyAlignment="1">
      <alignment horizontal="center" vertical="center"/>
    </xf>
    <xf numFmtId="0" fontId="12" fillId="42" borderId="1" xfId="0" applyFont="1" applyFill="1" applyBorder="1" applyAlignment="1">
      <alignment horizontal="center" vertical="center"/>
    </xf>
    <xf numFmtId="1" fontId="12" fillId="42" borderId="1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0" fontId="41" fillId="0" borderId="0" xfId="0" applyNumberFormat="1" applyFont="1" applyAlignment="1">
      <alignment horizontal="center"/>
    </xf>
    <xf numFmtId="2" fontId="28" fillId="0" borderId="0" xfId="0" applyNumberFormat="1" applyFont="1"/>
    <xf numFmtId="164" fontId="0" fillId="0" borderId="0" xfId="0" applyNumberFormat="1"/>
    <xf numFmtId="10" fontId="0" fillId="0" borderId="0" xfId="0" applyNumberFormat="1" applyFont="1" applyAlignment="1"/>
    <xf numFmtId="0" fontId="43" fillId="0" borderId="0" xfId="0" applyFont="1" applyAlignment="1"/>
    <xf numFmtId="10" fontId="43" fillId="0" borderId="0" xfId="0" applyNumberFormat="1" applyFont="1" applyAlignment="1"/>
    <xf numFmtId="0" fontId="0" fillId="0" borderId="10" xfId="0" applyFont="1" applyBorder="1" applyAlignment="1"/>
    <xf numFmtId="0" fontId="0" fillId="0" borderId="1" xfId="0" applyFont="1" applyBorder="1" applyAlignment="1">
      <alignment horizontal="right"/>
    </xf>
    <xf numFmtId="0" fontId="42" fillId="0" borderId="1" xfId="0" applyFont="1" applyBorder="1" applyAlignment="1">
      <alignment horizontal="right"/>
    </xf>
    <xf numFmtId="164" fontId="25" fillId="9" borderId="1" xfId="0" applyNumberFormat="1" applyFont="1" applyFill="1" applyBorder="1" applyAlignment="1">
      <alignment horizontal="center" vertical="center"/>
    </xf>
    <xf numFmtId="0" fontId="2" fillId="0" borderId="25" xfId="0" applyFont="1" applyBorder="1" applyAlignment="1">
      <alignment horizontal="right"/>
    </xf>
    <xf numFmtId="10" fontId="0" fillId="0" borderId="25" xfId="0" applyNumberFormat="1" applyFont="1" applyBorder="1" applyAlignment="1"/>
    <xf numFmtId="164" fontId="6" fillId="0" borderId="16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vertical="center"/>
    </xf>
    <xf numFmtId="10" fontId="7" fillId="0" borderId="0" xfId="0" applyNumberFormat="1" applyFont="1" applyAlignment="1">
      <alignment horizontal="center" vertical="center"/>
    </xf>
    <xf numFmtId="164" fontId="16" fillId="0" borderId="10" xfId="0" applyNumberFormat="1" applyFont="1" applyFill="1" applyBorder="1" applyAlignment="1">
      <alignment vertical="center"/>
    </xf>
    <xf numFmtId="164" fontId="26" fillId="34" borderId="1" xfId="0" applyNumberFormat="1" applyFont="1" applyFill="1" applyBorder="1" applyAlignment="1">
      <alignment horizontal="center" vertical="center"/>
    </xf>
    <xf numFmtId="164" fontId="6" fillId="33" borderId="1" xfId="0" applyNumberFormat="1" applyFont="1" applyFill="1" applyBorder="1" applyAlignment="1">
      <alignment horizontal="center" vertical="center"/>
    </xf>
    <xf numFmtId="164" fontId="26" fillId="33" borderId="1" xfId="0" applyNumberFormat="1" applyFont="1" applyFill="1" applyBorder="1" applyAlignment="1">
      <alignment horizontal="right" vertical="center"/>
    </xf>
    <xf numFmtId="0" fontId="28" fillId="34" borderId="1" xfId="0" applyFont="1" applyFill="1" applyBorder="1" applyAlignment="1">
      <alignment horizontal="right"/>
    </xf>
    <xf numFmtId="0" fontId="41" fillId="21" borderId="1" xfId="0" applyFont="1" applyFill="1" applyBorder="1" applyAlignment="1">
      <alignment horizontal="right"/>
    </xf>
    <xf numFmtId="164" fontId="41" fillId="21" borderId="1" xfId="0" applyNumberFormat="1" applyFont="1" applyFill="1" applyBorder="1" applyAlignment="1">
      <alignment horizontal="center"/>
    </xf>
    <xf numFmtId="0" fontId="28" fillId="30" borderId="1" xfId="0" applyFont="1" applyFill="1" applyBorder="1" applyAlignment="1">
      <alignment horizontal="right"/>
    </xf>
    <xf numFmtId="164" fontId="28" fillId="30" borderId="1" xfId="0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center" vertical="center"/>
    </xf>
    <xf numFmtId="0" fontId="0" fillId="0" borderId="0" xfId="0" applyFont="1" applyAlignment="1"/>
    <xf numFmtId="10" fontId="44" fillId="0" borderId="25" xfId="0" applyNumberFormat="1" applyFont="1" applyBorder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28" borderId="1" xfId="0" applyFont="1" applyFill="1" applyBorder="1" applyAlignment="1">
      <alignment horizontal="left" vertical="center"/>
    </xf>
    <xf numFmtId="164" fontId="26" fillId="28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0" fontId="42" fillId="0" borderId="0" xfId="0" applyFont="1" applyAlignment="1"/>
    <xf numFmtId="0" fontId="42" fillId="30" borderId="1" xfId="0" applyFont="1" applyFill="1" applyBorder="1" applyAlignment="1">
      <alignment horizontal="right"/>
    </xf>
    <xf numFmtId="164" fontId="42" fillId="30" borderId="1" xfId="0" applyNumberFormat="1" applyFont="1" applyFill="1" applyBorder="1" applyAlignment="1"/>
    <xf numFmtId="0" fontId="7" fillId="27" borderId="18" xfId="0" applyFont="1" applyFill="1" applyBorder="1" applyAlignment="1">
      <alignment horizontal="left" vertical="center"/>
    </xf>
    <xf numFmtId="0" fontId="17" fillId="9" borderId="7" xfId="0" applyFont="1" applyFill="1" applyBorder="1" applyAlignment="1">
      <alignment horizontal="right" vertical="center"/>
    </xf>
    <xf numFmtId="0" fontId="17" fillId="9" borderId="14" xfId="0" applyFont="1" applyFill="1" applyBorder="1" applyAlignment="1">
      <alignment horizontal="right" vertical="center"/>
    </xf>
    <xf numFmtId="0" fontId="17" fillId="9" borderId="15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14" fillId="0" borderId="15" xfId="0" applyFont="1" applyBorder="1"/>
    <xf numFmtId="164" fontId="6" fillId="0" borderId="7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0" fillId="0" borderId="0" xfId="0"/>
    <xf numFmtId="164" fontId="6" fillId="8" borderId="20" xfId="0" applyNumberFormat="1" applyFont="1" applyFill="1" applyBorder="1" applyAlignment="1">
      <alignment horizontal="center" vertical="center" wrapText="1"/>
    </xf>
    <xf numFmtId="0" fontId="14" fillId="0" borderId="21" xfId="0" applyFont="1" applyBorder="1"/>
    <xf numFmtId="164" fontId="6" fillId="8" borderId="16" xfId="0" applyNumberFormat="1" applyFont="1" applyFill="1" applyBorder="1" applyAlignment="1">
      <alignment horizontal="center" vertical="center" wrapText="1"/>
    </xf>
    <xf numFmtId="164" fontId="6" fillId="8" borderId="6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14" fillId="0" borderId="15" xfId="0" applyFont="1" applyBorder="1" applyAlignment="1">
      <alignment horizontal="right"/>
    </xf>
    <xf numFmtId="0" fontId="6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horizontal="right" vertical="center"/>
    </xf>
    <xf numFmtId="0" fontId="14" fillId="0" borderId="21" xfId="0" applyFont="1" applyBorder="1" applyAlignment="1">
      <alignment horizontal="right"/>
    </xf>
    <xf numFmtId="164" fontId="17" fillId="37" borderId="29" xfId="0" applyNumberFormat="1" applyFont="1" applyFill="1" applyBorder="1" applyAlignment="1">
      <alignment horizontal="center" vertical="center"/>
    </xf>
    <xf numFmtId="164" fontId="17" fillId="37" borderId="33" xfId="0" applyNumberFormat="1" applyFont="1" applyFill="1" applyBorder="1" applyAlignment="1">
      <alignment horizontal="center" vertical="center"/>
    </xf>
    <xf numFmtId="165" fontId="18" fillId="38" borderId="25" xfId="0" applyNumberFormat="1" applyFont="1" applyFill="1" applyBorder="1" applyAlignment="1">
      <alignment horizontal="right" vertical="center"/>
    </xf>
    <xf numFmtId="165" fontId="18" fillId="39" borderId="25" xfId="0" applyNumberFormat="1" applyFont="1" applyFill="1" applyBorder="1" applyAlignment="1">
      <alignment horizontal="right" vertical="center"/>
    </xf>
    <xf numFmtId="164" fontId="12" fillId="35" borderId="7" xfId="0" applyNumberFormat="1" applyFont="1" applyFill="1" applyBorder="1" applyAlignment="1">
      <alignment horizontal="right" vertical="center"/>
    </xf>
    <xf numFmtId="0" fontId="14" fillId="20" borderId="14" xfId="0" applyFont="1" applyFill="1" applyBorder="1" applyAlignment="1">
      <alignment horizontal="right"/>
    </xf>
    <xf numFmtId="0" fontId="14" fillId="20" borderId="15" xfId="0" applyFont="1" applyFill="1" applyBorder="1" applyAlignment="1">
      <alignment horizontal="right"/>
    </xf>
    <xf numFmtId="164" fontId="16" fillId="33" borderId="7" xfId="0" applyNumberFormat="1" applyFont="1" applyFill="1" applyBorder="1" applyAlignment="1">
      <alignment horizontal="right" vertical="center"/>
    </xf>
    <xf numFmtId="164" fontId="16" fillId="33" borderId="14" xfId="0" applyNumberFormat="1" applyFont="1" applyFill="1" applyBorder="1" applyAlignment="1">
      <alignment horizontal="right" vertical="center"/>
    </xf>
    <xf numFmtId="164" fontId="16" fillId="33" borderId="15" xfId="0" applyNumberFormat="1" applyFont="1" applyFill="1" applyBorder="1" applyAlignment="1">
      <alignment horizontal="right" vertical="center"/>
    </xf>
    <xf numFmtId="164" fontId="6" fillId="36" borderId="7" xfId="0" applyNumberFormat="1" applyFont="1" applyFill="1" applyBorder="1" applyAlignment="1">
      <alignment horizontal="right" vertical="center"/>
    </xf>
    <xf numFmtId="0" fontId="14" fillId="24" borderId="14" xfId="0" applyFont="1" applyFill="1" applyBorder="1" applyAlignment="1">
      <alignment horizontal="right"/>
    </xf>
    <xf numFmtId="0" fontId="14" fillId="24" borderId="15" xfId="0" applyFont="1" applyFill="1" applyBorder="1" applyAlignment="1">
      <alignment horizontal="right"/>
    </xf>
    <xf numFmtId="164" fontId="6" fillId="13" borderId="7" xfId="0" applyNumberFormat="1" applyFont="1" applyFill="1" applyBorder="1" applyAlignment="1">
      <alignment horizontal="right" vertical="center"/>
    </xf>
    <xf numFmtId="0" fontId="14" fillId="0" borderId="14" xfId="0" applyFont="1" applyBorder="1" applyAlignment="1">
      <alignment horizontal="right"/>
    </xf>
    <xf numFmtId="0" fontId="6" fillId="40" borderId="7" xfId="0" applyFont="1" applyFill="1" applyBorder="1" applyAlignment="1">
      <alignment horizontal="right" vertical="center"/>
    </xf>
    <xf numFmtId="0" fontId="14" fillId="0" borderId="14" xfId="0" applyFont="1" applyBorder="1"/>
    <xf numFmtId="0" fontId="12" fillId="41" borderId="7" xfId="0" applyFont="1" applyFill="1" applyBorder="1" applyAlignment="1">
      <alignment horizontal="right" vertical="center"/>
    </xf>
    <xf numFmtId="0" fontId="12" fillId="42" borderId="7" xfId="0" applyFont="1" applyFill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right" vertical="center"/>
    </xf>
    <xf numFmtId="0" fontId="6" fillId="3" borderId="14" xfId="0" applyFont="1" applyFill="1" applyBorder="1" applyAlignment="1">
      <alignment horizontal="right" vertical="center"/>
    </xf>
    <xf numFmtId="0" fontId="6" fillId="3" borderId="15" xfId="0" applyFont="1" applyFill="1" applyBorder="1" applyAlignment="1">
      <alignment horizontal="right" vertical="center"/>
    </xf>
    <xf numFmtId="0" fontId="16" fillId="31" borderId="7" xfId="0" applyFont="1" applyFill="1" applyBorder="1" applyAlignment="1">
      <alignment horizontal="right" vertical="center"/>
    </xf>
    <xf numFmtId="0" fontId="16" fillId="31" borderId="14" xfId="0" applyFont="1" applyFill="1" applyBorder="1" applyAlignment="1">
      <alignment horizontal="right" vertical="center"/>
    </xf>
    <xf numFmtId="0" fontId="16" fillId="31" borderId="15" xfId="0" applyFont="1" applyFill="1" applyBorder="1" applyAlignment="1">
      <alignment horizontal="right" vertical="center"/>
    </xf>
    <xf numFmtId="0" fontId="6" fillId="8" borderId="7" xfId="0" applyFont="1" applyFill="1" applyBorder="1" applyAlignment="1">
      <alignment horizontal="right" vertical="center"/>
    </xf>
    <xf numFmtId="0" fontId="6" fillId="8" borderId="14" xfId="0" applyFont="1" applyFill="1" applyBorder="1" applyAlignment="1">
      <alignment horizontal="right" vertical="center"/>
    </xf>
    <xf numFmtId="0" fontId="6" fillId="8" borderId="15" xfId="0" applyFont="1" applyFill="1" applyBorder="1" applyAlignment="1">
      <alignment horizontal="right" vertical="center"/>
    </xf>
    <xf numFmtId="164" fontId="17" fillId="9" borderId="17" xfId="0" applyNumberFormat="1" applyFont="1" applyFill="1" applyBorder="1" applyAlignment="1">
      <alignment horizontal="right" vertical="center"/>
    </xf>
    <xf numFmtId="0" fontId="39" fillId="21" borderId="20" xfId="0" applyFont="1" applyFill="1" applyBorder="1" applyAlignment="1">
      <alignment horizontal="right"/>
    </xf>
    <xf numFmtId="0" fontId="39" fillId="21" borderId="21" xfId="0" applyFont="1" applyFill="1" applyBorder="1" applyAlignment="1">
      <alignment horizontal="right"/>
    </xf>
    <xf numFmtId="165" fontId="18" fillId="21" borderId="25" xfId="0" applyNumberFormat="1" applyFont="1" applyFill="1" applyBorder="1" applyAlignment="1">
      <alignment horizontal="right" vertical="center"/>
    </xf>
    <xf numFmtId="165" fontId="18" fillId="37" borderId="27" xfId="0" applyNumberFormat="1" applyFont="1" applyFill="1" applyBorder="1" applyAlignment="1">
      <alignment horizontal="right" vertical="center"/>
    </xf>
    <xf numFmtId="165" fontId="18" fillId="37" borderId="26" xfId="0" applyNumberFormat="1" applyFont="1" applyFill="1" applyBorder="1" applyAlignment="1">
      <alignment horizontal="right" vertical="center"/>
    </xf>
    <xf numFmtId="165" fontId="18" fillId="37" borderId="28" xfId="0" applyNumberFormat="1" applyFont="1" applyFill="1" applyBorder="1" applyAlignment="1">
      <alignment horizontal="right" vertical="center"/>
    </xf>
    <xf numFmtId="165" fontId="18" fillId="37" borderId="30" xfId="0" applyNumberFormat="1" applyFont="1" applyFill="1" applyBorder="1" applyAlignment="1">
      <alignment horizontal="right" vertical="center"/>
    </xf>
    <xf numFmtId="165" fontId="18" fillId="37" borderId="31" xfId="0" applyNumberFormat="1" applyFont="1" applyFill="1" applyBorder="1" applyAlignment="1">
      <alignment horizontal="right" vertical="center"/>
    </xf>
    <xf numFmtId="165" fontId="18" fillId="37" borderId="32" xfId="0" applyNumberFormat="1" applyFont="1" applyFill="1" applyBorder="1" applyAlignment="1">
      <alignment horizontal="right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0" fontId="14" fillId="0" borderId="18" xfId="0" applyFont="1" applyBorder="1"/>
    <xf numFmtId="0" fontId="6" fillId="24" borderId="7" xfId="0" applyFont="1" applyFill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28" fillId="0" borderId="22" xfId="0" applyFont="1" applyBorder="1" applyAlignment="1">
      <alignment horizontal="right"/>
    </xf>
    <xf numFmtId="0" fontId="28" fillId="0" borderId="23" xfId="0" applyFont="1" applyBorder="1" applyAlignment="1">
      <alignment horizontal="right"/>
    </xf>
    <xf numFmtId="0" fontId="28" fillId="0" borderId="24" xfId="0" applyFont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0" fontId="24" fillId="24" borderId="17" xfId="0" applyFont="1" applyFill="1" applyBorder="1" applyAlignment="1">
      <alignment horizontal="center" vertical="center"/>
    </xf>
    <xf numFmtId="0" fontId="24" fillId="24" borderId="21" xfId="0" applyFont="1" applyFill="1" applyBorder="1" applyAlignment="1">
      <alignment horizontal="center" vertical="center"/>
    </xf>
    <xf numFmtId="0" fontId="24" fillId="24" borderId="16" xfId="0" applyFont="1" applyFill="1" applyBorder="1" applyAlignment="1">
      <alignment horizontal="center" vertical="center"/>
    </xf>
    <xf numFmtId="0" fontId="24" fillId="24" borderId="6" xfId="0" applyFont="1" applyFill="1" applyBorder="1" applyAlignment="1">
      <alignment horizontal="center" vertical="center"/>
    </xf>
    <xf numFmtId="0" fontId="24" fillId="24" borderId="8" xfId="0" applyFont="1" applyFill="1" applyBorder="1" applyAlignment="1">
      <alignment horizontal="center" vertical="center"/>
    </xf>
    <xf numFmtId="0" fontId="24" fillId="24" borderId="19" xfId="0" applyFont="1" applyFill="1" applyBorder="1" applyAlignment="1">
      <alignment horizontal="center" vertical="center"/>
    </xf>
    <xf numFmtId="164" fontId="18" fillId="9" borderId="17" xfId="0" applyNumberFormat="1" applyFont="1" applyFill="1" applyBorder="1" applyAlignment="1">
      <alignment horizontal="right" vertical="center"/>
    </xf>
    <xf numFmtId="164" fontId="18" fillId="9" borderId="20" xfId="0" applyNumberFormat="1" applyFont="1" applyFill="1" applyBorder="1" applyAlignment="1">
      <alignment horizontal="right" vertical="center"/>
    </xf>
    <xf numFmtId="164" fontId="18" fillId="9" borderId="21" xfId="0" applyNumberFormat="1" applyFont="1" applyFill="1" applyBorder="1" applyAlignment="1">
      <alignment horizontal="right" vertical="center"/>
    </xf>
    <xf numFmtId="10" fontId="12" fillId="13" borderId="9" xfId="0" applyNumberFormat="1" applyFont="1" applyFill="1" applyBorder="1" applyAlignment="1">
      <alignment horizontal="center" vertical="center"/>
    </xf>
    <xf numFmtId="10" fontId="12" fillId="13" borderId="2" xfId="0" applyNumberFormat="1" applyFont="1" applyFill="1" applyBorder="1" applyAlignment="1">
      <alignment horizontal="center" vertical="center"/>
    </xf>
    <xf numFmtId="10" fontId="12" fillId="13" borderId="11" xfId="0" applyNumberFormat="1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6" fillId="13" borderId="15" xfId="0" applyFont="1" applyFill="1" applyBorder="1" applyAlignment="1">
      <alignment horizontal="center" vertical="center"/>
    </xf>
    <xf numFmtId="164" fontId="16" fillId="7" borderId="7" xfId="0" applyNumberFormat="1" applyFont="1" applyFill="1" applyBorder="1" applyAlignment="1">
      <alignment horizontal="center" vertical="center"/>
    </xf>
    <xf numFmtId="164" fontId="16" fillId="7" borderId="15" xfId="0" applyNumberFormat="1" applyFont="1" applyFill="1" applyBorder="1" applyAlignment="1">
      <alignment horizontal="center" vertical="center"/>
    </xf>
    <xf numFmtId="164" fontId="12" fillId="15" borderId="7" xfId="0" applyNumberFormat="1" applyFont="1" applyFill="1" applyBorder="1" applyAlignment="1">
      <alignment horizontal="center" vertical="center"/>
    </xf>
    <xf numFmtId="164" fontId="12" fillId="15" borderId="15" xfId="0" applyNumberFormat="1" applyFont="1" applyFill="1" applyBorder="1" applyAlignment="1">
      <alignment horizontal="center" vertical="center"/>
    </xf>
    <xf numFmtId="164" fontId="6" fillId="13" borderId="7" xfId="0" applyNumberFormat="1" applyFont="1" applyFill="1" applyBorder="1" applyAlignment="1">
      <alignment horizontal="center" vertical="center"/>
    </xf>
    <xf numFmtId="164" fontId="6" fillId="13" borderId="15" xfId="0" applyNumberFormat="1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right" vertical="center"/>
    </xf>
    <xf numFmtId="0" fontId="14" fillId="0" borderId="13" xfId="0" applyFont="1" applyBorder="1"/>
    <xf numFmtId="0" fontId="14" fillId="0" borderId="3" xfId="0" applyFont="1" applyBorder="1"/>
    <xf numFmtId="165" fontId="18" fillId="9" borderId="7" xfId="0" applyNumberFormat="1" applyFont="1" applyFill="1" applyBorder="1" applyAlignment="1">
      <alignment horizontal="right" vertical="center"/>
    </xf>
    <xf numFmtId="165" fontId="18" fillId="6" borderId="7" xfId="0" applyNumberFormat="1" applyFont="1" applyFill="1" applyBorder="1" applyAlignment="1">
      <alignment horizontal="right" vertical="center"/>
    </xf>
    <xf numFmtId="165" fontId="18" fillId="12" borderId="7" xfId="0" applyNumberFormat="1" applyFont="1" applyFill="1" applyBorder="1" applyAlignment="1">
      <alignment horizontal="right" vertical="center"/>
    </xf>
    <xf numFmtId="0" fontId="6" fillId="6" borderId="7" xfId="0" applyFont="1" applyFill="1" applyBorder="1" applyAlignment="1">
      <alignment horizontal="right" vertical="center"/>
    </xf>
    <xf numFmtId="165" fontId="18" fillId="17" borderId="20" xfId="0" applyNumberFormat="1" applyFont="1" applyFill="1" applyBorder="1" applyAlignment="1">
      <alignment horizontal="right" vertical="center"/>
    </xf>
    <xf numFmtId="165" fontId="18" fillId="17" borderId="21" xfId="0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wrapText="1"/>
    </xf>
    <xf numFmtId="0" fontId="6" fillId="0" borderId="7" xfId="0" applyFont="1" applyBorder="1" applyAlignment="1">
      <alignment horizontal="right" vertical="center" wrapText="1"/>
    </xf>
    <xf numFmtId="0" fontId="7" fillId="0" borderId="0" xfId="0" applyFont="1"/>
    <xf numFmtId="0" fontId="0" fillId="0" borderId="0" xfId="0" applyFont="1" applyAlignment="1"/>
    <xf numFmtId="164" fontId="7" fillId="0" borderId="4" xfId="0" applyNumberFormat="1" applyFont="1" applyBorder="1" applyAlignment="1">
      <alignment horizontal="center" vertical="center"/>
    </xf>
    <xf numFmtId="0" fontId="14" fillId="0" borderId="4" xfId="0" applyFont="1" applyBorder="1"/>
    <xf numFmtId="0" fontId="7" fillId="26" borderId="18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16" fillId="7" borderId="7" xfId="0" applyFont="1" applyFill="1" applyBorder="1" applyAlignment="1">
      <alignment horizontal="right" vertical="center"/>
    </xf>
    <xf numFmtId="0" fontId="6" fillId="8" borderId="7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14" xfId="0" applyFont="1" applyBorder="1" applyAlignment="1">
      <alignment horizontal="right" vertical="center" wrapText="1"/>
    </xf>
    <xf numFmtId="165" fontId="7" fillId="0" borderId="0" xfId="0" applyNumberFormat="1" applyFont="1" applyAlignment="1">
      <alignment horizontal="left" vertical="center" wrapText="1"/>
    </xf>
    <xf numFmtId="0" fontId="43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13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mensuel</a:t>
            </a:r>
            <a:r>
              <a:rPr lang="fr-FR" baseline="0"/>
              <a:t> BENEFICE EBAY</a:t>
            </a:r>
            <a:endParaRPr lang="fr-F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2023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STATS!$H$2:$S$2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STATS!$H$3:$S$3</c:f>
              <c:numCache>
                <c:formatCode>#\ ##0.00\ "€"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68.8</c:v>
                </c:pt>
                <c:pt idx="3">
                  <c:v>109</c:v>
                </c:pt>
                <c:pt idx="4">
                  <c:v>393.61</c:v>
                </c:pt>
                <c:pt idx="5">
                  <c:v>591.82999999999993</c:v>
                </c:pt>
                <c:pt idx="6">
                  <c:v>256.14999999999998</c:v>
                </c:pt>
                <c:pt idx="7">
                  <c:v>505.05999999999995</c:v>
                </c:pt>
                <c:pt idx="8">
                  <c:v>521.8900000000001</c:v>
                </c:pt>
                <c:pt idx="9">
                  <c:v>985.96999999999969</c:v>
                </c:pt>
                <c:pt idx="10">
                  <c:v>310.80999999999995</c:v>
                </c:pt>
                <c:pt idx="11">
                  <c:v>790.64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E9-4514-9900-847226ABEE6B}"/>
            </c:ext>
          </c:extLst>
        </c:ser>
        <c:ser>
          <c:idx val="1"/>
          <c:order val="1"/>
          <c:tx>
            <c:v>2024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STATS!$H$2:$S$2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STATS!$H$6:$S$6</c:f>
              <c:numCache>
                <c:formatCode>#\ ##0.00\ "€"</c:formatCode>
                <c:ptCount val="12"/>
                <c:pt idx="0">
                  <c:v>194.18</c:v>
                </c:pt>
                <c:pt idx="1">
                  <c:v>314.65000000000003</c:v>
                </c:pt>
                <c:pt idx="2">
                  <c:v>790.13000000000011</c:v>
                </c:pt>
                <c:pt idx="3">
                  <c:v>680.33</c:v>
                </c:pt>
                <c:pt idx="4">
                  <c:v>575.63</c:v>
                </c:pt>
                <c:pt idx="5">
                  <c:v>698.40999999999985</c:v>
                </c:pt>
                <c:pt idx="6">
                  <c:v>599.05999999999995</c:v>
                </c:pt>
                <c:pt idx="7">
                  <c:v>847.49</c:v>
                </c:pt>
                <c:pt idx="8">
                  <c:v>847.51</c:v>
                </c:pt>
                <c:pt idx="9">
                  <c:v>268</c:v>
                </c:pt>
                <c:pt idx="10">
                  <c:v>662.39</c:v>
                </c:pt>
                <c:pt idx="11">
                  <c:v>231.16900000000001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E9-4514-9900-847226ABEE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-2007323376"/>
        <c:axId val="-2007322832"/>
      </c:barChart>
      <c:catAx>
        <c:axId val="-200732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7322832"/>
        <c:crosses val="autoZero"/>
        <c:auto val="1"/>
        <c:lblAlgn val="ctr"/>
        <c:lblOffset val="100"/>
        <c:noMultiLvlLbl val="0"/>
      </c:catAx>
      <c:valAx>
        <c:axId val="-2007322832"/>
        <c:scaling>
          <c:orientation val="minMax"/>
        </c:scaling>
        <c:delete val="0"/>
        <c:axPos val="l"/>
        <c:numFmt formatCode="#\ ##0.00\ &quot;€&quot;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732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</a:t>
            </a:r>
            <a:r>
              <a:rPr lang="fr-FR" baseline="0"/>
              <a:t> BENEFICE EBAY MENSUEL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Bénéfice Ebay 2023</c:v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strRef>
              <c:f>STATS!$H$2:$S$2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STATS!$H$3:$S$3</c:f>
              <c:numCache>
                <c:formatCode>#\ ##0.00\ "€"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68.8</c:v>
                </c:pt>
                <c:pt idx="3">
                  <c:v>109</c:v>
                </c:pt>
                <c:pt idx="4">
                  <c:v>393.61</c:v>
                </c:pt>
                <c:pt idx="5">
                  <c:v>591.82999999999993</c:v>
                </c:pt>
                <c:pt idx="6">
                  <c:v>256.14999999999998</c:v>
                </c:pt>
                <c:pt idx="7">
                  <c:v>505.05999999999995</c:v>
                </c:pt>
                <c:pt idx="8">
                  <c:v>521.8900000000001</c:v>
                </c:pt>
                <c:pt idx="9">
                  <c:v>985.96999999999969</c:v>
                </c:pt>
                <c:pt idx="10">
                  <c:v>310.80999999999995</c:v>
                </c:pt>
                <c:pt idx="11">
                  <c:v>790.64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4F-4583-914C-24FF0D7EE0A1}"/>
            </c:ext>
          </c:extLst>
        </c:ser>
        <c:ser>
          <c:idx val="1"/>
          <c:order val="1"/>
          <c:tx>
            <c:v>Bénéfice Ebay 2024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STATS!$H$2:$S$2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STATS!$H$6:$S$6</c:f>
              <c:numCache>
                <c:formatCode>#\ ##0.00\ "€"</c:formatCode>
                <c:ptCount val="12"/>
                <c:pt idx="0">
                  <c:v>194.18</c:v>
                </c:pt>
                <c:pt idx="1">
                  <c:v>314.65000000000003</c:v>
                </c:pt>
                <c:pt idx="2">
                  <c:v>790.13000000000011</c:v>
                </c:pt>
                <c:pt idx="3">
                  <c:v>680.33</c:v>
                </c:pt>
                <c:pt idx="4">
                  <c:v>575.63</c:v>
                </c:pt>
                <c:pt idx="5">
                  <c:v>698.40999999999985</c:v>
                </c:pt>
                <c:pt idx="6">
                  <c:v>599.05999999999995</c:v>
                </c:pt>
                <c:pt idx="7">
                  <c:v>847.49</c:v>
                </c:pt>
                <c:pt idx="8">
                  <c:v>847.51</c:v>
                </c:pt>
                <c:pt idx="9">
                  <c:v>268</c:v>
                </c:pt>
                <c:pt idx="10">
                  <c:v>662.39</c:v>
                </c:pt>
                <c:pt idx="11">
                  <c:v>231.16900000000001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4F-4583-914C-24FF0D7EE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07322288"/>
        <c:axId val="-2007332624"/>
      </c:lineChart>
      <c:catAx>
        <c:axId val="-2007322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7332624"/>
        <c:crosses val="autoZero"/>
        <c:auto val="1"/>
        <c:lblAlgn val="ctr"/>
        <c:lblOffset val="100"/>
        <c:noMultiLvlLbl val="0"/>
      </c:catAx>
      <c:valAx>
        <c:axId val="-200733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732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</a:t>
            </a:r>
            <a:r>
              <a:rPr lang="en-US" baseline="0"/>
              <a:t> BENEFICE TOTAL MENSUEL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Bénéfice 2023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STATS!$H$2:$S$2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STATS!$H$5:$S$5</c:f>
              <c:numCache>
                <c:formatCode>#\ ##0.00\ "€"</c:formatCode>
                <c:ptCount val="12"/>
                <c:pt idx="0">
                  <c:v>36</c:v>
                </c:pt>
                <c:pt idx="1">
                  <c:v>0</c:v>
                </c:pt>
                <c:pt idx="2">
                  <c:v>83.8</c:v>
                </c:pt>
                <c:pt idx="3">
                  <c:v>199</c:v>
                </c:pt>
                <c:pt idx="4">
                  <c:v>738.11</c:v>
                </c:pt>
                <c:pt idx="5">
                  <c:v>1051.33</c:v>
                </c:pt>
                <c:pt idx="6">
                  <c:v>583.65</c:v>
                </c:pt>
                <c:pt idx="7">
                  <c:v>730.66</c:v>
                </c:pt>
                <c:pt idx="8">
                  <c:v>1049.8900000000001</c:v>
                </c:pt>
                <c:pt idx="9">
                  <c:v>1220.9699999999998</c:v>
                </c:pt>
                <c:pt idx="10">
                  <c:v>693.8599999999999</c:v>
                </c:pt>
                <c:pt idx="11">
                  <c:v>1010.64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13-4D5A-8032-8B38C6558063}"/>
            </c:ext>
          </c:extLst>
        </c:ser>
        <c:ser>
          <c:idx val="1"/>
          <c:order val="1"/>
          <c:tx>
            <c:v>Bénéfice 2024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STATS!$H$2:$S$2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STATS!$H$8:$S$8</c:f>
              <c:numCache>
                <c:formatCode>#\ ##0.00\ "€"</c:formatCode>
                <c:ptCount val="12"/>
                <c:pt idx="0">
                  <c:v>274.18</c:v>
                </c:pt>
                <c:pt idx="1">
                  <c:v>386.65000000000003</c:v>
                </c:pt>
                <c:pt idx="2">
                  <c:v>790.13000000000011</c:v>
                </c:pt>
                <c:pt idx="3">
                  <c:v>1141.33</c:v>
                </c:pt>
                <c:pt idx="4">
                  <c:v>950.63</c:v>
                </c:pt>
                <c:pt idx="5">
                  <c:v>1076.06</c:v>
                </c:pt>
                <c:pt idx="6">
                  <c:v>599.05999999999995</c:v>
                </c:pt>
                <c:pt idx="7">
                  <c:v>1297.49</c:v>
                </c:pt>
                <c:pt idx="8">
                  <c:v>1242.51</c:v>
                </c:pt>
                <c:pt idx="9">
                  <c:v>368</c:v>
                </c:pt>
                <c:pt idx="10">
                  <c:v>894.64</c:v>
                </c:pt>
                <c:pt idx="11">
                  <c:v>251.16900000000001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13-4D5A-8032-8B38C6558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07330992"/>
        <c:axId val="-2007321744"/>
      </c:lineChart>
      <c:catAx>
        <c:axId val="-200733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7321744"/>
        <c:crosses val="autoZero"/>
        <c:auto val="1"/>
        <c:lblAlgn val="ctr"/>
        <c:lblOffset val="100"/>
        <c:noMultiLvlLbl val="0"/>
      </c:catAx>
      <c:valAx>
        <c:axId val="-200732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7330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EVOLUTION DU CA TOTAL MENSUEL </a:t>
            </a:r>
            <a:endParaRPr lang="fr-FR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rgbClr val="000000">
                    <a:lumMod val="65000"/>
                    <a:lumOff val="35000"/>
                  </a:srgbClr>
                </a:solidFill>
              </a:defRPr>
            </a:pP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rgbClr val="000000">
                  <a:lumMod val="65000"/>
                  <a:lumOff val="35000"/>
                </a:srgb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CA 2023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STATS!$H$53:$S$53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STATS!$H$56:$S$56</c:f>
              <c:numCache>
                <c:formatCode>#\ ##0.00\ "€"</c:formatCode>
                <c:ptCount val="12"/>
                <c:pt idx="0">
                  <c:v>60</c:v>
                </c:pt>
                <c:pt idx="1">
                  <c:v>0</c:v>
                </c:pt>
                <c:pt idx="2">
                  <c:v>133.80000000000001</c:v>
                </c:pt>
                <c:pt idx="3">
                  <c:v>259</c:v>
                </c:pt>
                <c:pt idx="4">
                  <c:v>951.05</c:v>
                </c:pt>
                <c:pt idx="5">
                  <c:v>1419.2999999999997</c:v>
                </c:pt>
                <c:pt idx="6">
                  <c:v>837.55</c:v>
                </c:pt>
                <c:pt idx="7">
                  <c:v>1230.1499999999999</c:v>
                </c:pt>
                <c:pt idx="8">
                  <c:v>1513.5499999999997</c:v>
                </c:pt>
                <c:pt idx="9">
                  <c:v>1948.3000000000004</c:v>
                </c:pt>
                <c:pt idx="10">
                  <c:v>1174.5099999999998</c:v>
                </c:pt>
                <c:pt idx="11">
                  <c:v>1795.95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8-4D03-A72D-4CC5DEE4EB36}"/>
            </c:ext>
          </c:extLst>
        </c:ser>
        <c:ser>
          <c:idx val="1"/>
          <c:order val="1"/>
          <c:tx>
            <c:v>CA 2024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STATS!$H$53:$S$53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STATS!$H$59:$S$59</c:f>
              <c:numCache>
                <c:formatCode>#\ ##0.00\ "€"</c:formatCode>
                <c:ptCount val="12"/>
                <c:pt idx="0">
                  <c:v>452.75</c:v>
                </c:pt>
                <c:pt idx="1">
                  <c:v>782.19999999999993</c:v>
                </c:pt>
                <c:pt idx="2">
                  <c:v>1164.6200000000001</c:v>
                </c:pt>
                <c:pt idx="3">
                  <c:v>1795.7900000000002</c:v>
                </c:pt>
                <c:pt idx="4">
                  <c:v>1435.53</c:v>
                </c:pt>
                <c:pt idx="5">
                  <c:v>1789.81</c:v>
                </c:pt>
                <c:pt idx="6">
                  <c:v>986.53</c:v>
                </c:pt>
                <c:pt idx="7">
                  <c:v>2119.46</c:v>
                </c:pt>
                <c:pt idx="8">
                  <c:v>1940.68</c:v>
                </c:pt>
                <c:pt idx="9">
                  <c:v>537.22</c:v>
                </c:pt>
                <c:pt idx="10">
                  <c:v>1547.3299999999997</c:v>
                </c:pt>
                <c:pt idx="11">
                  <c:v>399.65900000000005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8-4D03-A72D-4CC5DEE4E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07335888"/>
        <c:axId val="-2007329904"/>
      </c:lineChart>
      <c:catAx>
        <c:axId val="-200733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7329904"/>
        <c:crosses val="autoZero"/>
        <c:auto val="1"/>
        <c:lblAlgn val="ctr"/>
        <c:lblOffset val="100"/>
        <c:noMultiLvlLbl val="0"/>
      </c:catAx>
      <c:valAx>
        <c:axId val="-200732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733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+mn-lt"/>
                <a:ea typeface="+mn-ea"/>
                <a:cs typeface="+mn-cs"/>
              </a:defRPr>
            </a:pPr>
            <a:r>
              <a:rPr lang="fr-FR" sz="1800" b="0" i="0" baseline="0">
                <a:effectLst/>
              </a:rPr>
              <a:t>EVOLUTION DU CA EBAY MENSUEL</a:t>
            </a:r>
            <a:endParaRPr lang="fr-FR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rgbClr val="000000">
                  <a:lumMod val="65000"/>
                  <a:lumOff val="35000"/>
                </a:srgb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CA EBAY 2023</c:v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strRef>
              <c:f>STATS!$H$53:$S$53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STATS!$H$54:$S$54</c:f>
              <c:numCache>
                <c:formatCode>#\ ##0.00\ "€"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93.8</c:v>
                </c:pt>
                <c:pt idx="3">
                  <c:v>139</c:v>
                </c:pt>
                <c:pt idx="4">
                  <c:v>516.04999999999995</c:v>
                </c:pt>
                <c:pt idx="5">
                  <c:v>844.29999999999984</c:v>
                </c:pt>
                <c:pt idx="6">
                  <c:v>407.55</c:v>
                </c:pt>
                <c:pt idx="7">
                  <c:v>835.14999999999986</c:v>
                </c:pt>
                <c:pt idx="8">
                  <c:v>758.54999999999984</c:v>
                </c:pt>
                <c:pt idx="9">
                  <c:v>1540.3000000000004</c:v>
                </c:pt>
                <c:pt idx="10">
                  <c:v>564.50999999999988</c:v>
                </c:pt>
                <c:pt idx="11">
                  <c:v>1275.95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9-4958-A38C-B655F1BC0861}"/>
            </c:ext>
          </c:extLst>
        </c:ser>
        <c:ser>
          <c:idx val="1"/>
          <c:order val="1"/>
          <c:tx>
            <c:v>CA EBAY 2024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STATS!$H$53:$S$53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STATS!$H$57:$S$57</c:f>
              <c:numCache>
                <c:formatCode>#\ ##0.00\ "€"</c:formatCode>
                <c:ptCount val="12"/>
                <c:pt idx="0">
                  <c:v>307.75</c:v>
                </c:pt>
                <c:pt idx="1">
                  <c:v>692.19999999999993</c:v>
                </c:pt>
                <c:pt idx="2">
                  <c:v>1164.6200000000001</c:v>
                </c:pt>
                <c:pt idx="3">
                  <c:v>1228.7900000000002</c:v>
                </c:pt>
                <c:pt idx="4">
                  <c:v>1015.53</c:v>
                </c:pt>
                <c:pt idx="5">
                  <c:v>1271.81</c:v>
                </c:pt>
                <c:pt idx="6">
                  <c:v>986.53</c:v>
                </c:pt>
                <c:pt idx="7">
                  <c:v>1539.46</c:v>
                </c:pt>
                <c:pt idx="8">
                  <c:v>1510.68</c:v>
                </c:pt>
                <c:pt idx="9">
                  <c:v>397.21999999999997</c:v>
                </c:pt>
                <c:pt idx="10">
                  <c:v>1097.3299999999997</c:v>
                </c:pt>
                <c:pt idx="11">
                  <c:v>379.65900000000005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49-4958-A38C-B655F1BC0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07335344"/>
        <c:axId val="-2007333168"/>
      </c:lineChart>
      <c:catAx>
        <c:axId val="-200733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7333168"/>
        <c:crosses val="autoZero"/>
        <c:auto val="1"/>
        <c:lblAlgn val="ctr"/>
        <c:lblOffset val="100"/>
        <c:noMultiLvlLbl val="0"/>
      </c:catAx>
      <c:valAx>
        <c:axId val="-200733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0733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cap="all" spc="120" normalizeH="0" baseline="0">
                <a:solidFill>
                  <a:srgbClr val="000000">
                    <a:lumMod val="65000"/>
                    <a:lumOff val="35000"/>
                  </a:srgbClr>
                </a:solidFill>
                <a:latin typeface="+mn-lt"/>
                <a:ea typeface="+mn-ea"/>
                <a:cs typeface="+mn-cs"/>
              </a:defRPr>
            </a:pPr>
            <a:r>
              <a:rPr lang="fr-FR" sz="1800" b="1" i="0" cap="all" baseline="0">
                <a:effectLst/>
              </a:rPr>
              <a:t>Evolution mensuel DU CA EBAY</a:t>
            </a:r>
            <a:endParaRPr lang="fr-FR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rgbClr val="000000">
                    <a:lumMod val="65000"/>
                    <a:lumOff val="35000"/>
                  </a:srgbClr>
                </a:solidFill>
              </a:defRPr>
            </a:pP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cap="all" spc="120" normalizeH="0" baseline="0">
              <a:solidFill>
                <a:srgbClr val="000000">
                  <a:lumMod val="65000"/>
                  <a:lumOff val="35000"/>
                </a:srgb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2023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STATS!$H$53:$S$53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STATS!$H$54:$S$54</c:f>
              <c:numCache>
                <c:formatCode>#\ ##0.00\ "€"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93.8</c:v>
                </c:pt>
                <c:pt idx="3">
                  <c:v>139</c:v>
                </c:pt>
                <c:pt idx="4">
                  <c:v>516.04999999999995</c:v>
                </c:pt>
                <c:pt idx="5">
                  <c:v>844.29999999999984</c:v>
                </c:pt>
                <c:pt idx="6">
                  <c:v>407.55</c:v>
                </c:pt>
                <c:pt idx="7">
                  <c:v>835.14999999999986</c:v>
                </c:pt>
                <c:pt idx="8">
                  <c:v>758.54999999999984</c:v>
                </c:pt>
                <c:pt idx="9">
                  <c:v>1540.3000000000004</c:v>
                </c:pt>
                <c:pt idx="10">
                  <c:v>564.50999999999988</c:v>
                </c:pt>
                <c:pt idx="11">
                  <c:v>1275.95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6A-4AF7-B9AA-D7F424986DCE}"/>
            </c:ext>
          </c:extLst>
        </c:ser>
        <c:ser>
          <c:idx val="1"/>
          <c:order val="1"/>
          <c:tx>
            <c:v>2024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STATS!$H$53:$S$53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STATS!$H$57:$S$57</c:f>
              <c:numCache>
                <c:formatCode>#\ ##0.00\ "€"</c:formatCode>
                <c:ptCount val="12"/>
                <c:pt idx="0">
                  <c:v>307.75</c:v>
                </c:pt>
                <c:pt idx="1">
                  <c:v>692.19999999999993</c:v>
                </c:pt>
                <c:pt idx="2">
                  <c:v>1164.6200000000001</c:v>
                </c:pt>
                <c:pt idx="3">
                  <c:v>1228.7900000000002</c:v>
                </c:pt>
                <c:pt idx="4">
                  <c:v>1015.53</c:v>
                </c:pt>
                <c:pt idx="5">
                  <c:v>1271.81</c:v>
                </c:pt>
                <c:pt idx="6">
                  <c:v>986.53</c:v>
                </c:pt>
                <c:pt idx="7">
                  <c:v>1539.46</c:v>
                </c:pt>
                <c:pt idx="8">
                  <c:v>1510.68</c:v>
                </c:pt>
                <c:pt idx="9">
                  <c:v>397.21999999999997</c:v>
                </c:pt>
                <c:pt idx="10">
                  <c:v>1097.3299999999997</c:v>
                </c:pt>
                <c:pt idx="11">
                  <c:v>379.65900000000005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6A-4AF7-B9AA-D7F424986DC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-45050128"/>
        <c:axId val="-45046864"/>
      </c:barChart>
      <c:catAx>
        <c:axId val="-45050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5046864"/>
        <c:crosses val="autoZero"/>
        <c:auto val="1"/>
        <c:lblAlgn val="ctr"/>
        <c:lblOffset val="100"/>
        <c:noMultiLvlLbl val="0"/>
      </c:catAx>
      <c:valAx>
        <c:axId val="-45046864"/>
        <c:scaling>
          <c:orientation val="minMax"/>
        </c:scaling>
        <c:delete val="1"/>
        <c:axPos val="l"/>
        <c:numFmt formatCode="#\ ##0.00\ &quot;€&quot;" sourceLinked="1"/>
        <c:majorTickMark val="none"/>
        <c:minorTickMark val="none"/>
        <c:tickLblPos val="nextTo"/>
        <c:crossAx val="-4505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BENEFICE MENSUEL 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'2024'!$L$288:$W$288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'2024'!$L$300:$W$300</c:f>
              <c:numCache>
                <c:formatCode>#\ ##0.00\ "€"</c:formatCode>
                <c:ptCount val="12"/>
                <c:pt idx="0">
                  <c:v>274.18</c:v>
                </c:pt>
                <c:pt idx="1">
                  <c:v>386.65000000000003</c:v>
                </c:pt>
                <c:pt idx="2">
                  <c:v>790.13000000000011</c:v>
                </c:pt>
                <c:pt idx="3">
                  <c:v>1141.33</c:v>
                </c:pt>
                <c:pt idx="4">
                  <c:v>950.63</c:v>
                </c:pt>
                <c:pt idx="5">
                  <c:v>1076.06</c:v>
                </c:pt>
                <c:pt idx="6">
                  <c:v>599.05999999999995</c:v>
                </c:pt>
                <c:pt idx="7">
                  <c:v>1297.49</c:v>
                </c:pt>
                <c:pt idx="8">
                  <c:v>1242.51</c:v>
                </c:pt>
                <c:pt idx="9">
                  <c:v>368</c:v>
                </c:pt>
                <c:pt idx="10">
                  <c:v>894.64</c:v>
                </c:pt>
                <c:pt idx="11">
                  <c:v>251.16900000000001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C3-4D2F-9763-BAE1B076C5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-45043600"/>
        <c:axId val="-45933456"/>
      </c:barChart>
      <c:catAx>
        <c:axId val="-45043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5933456"/>
        <c:crosses val="autoZero"/>
        <c:auto val="1"/>
        <c:lblAlgn val="ctr"/>
        <c:lblOffset val="100"/>
        <c:noMultiLvlLbl val="0"/>
      </c:catAx>
      <c:valAx>
        <c:axId val="-45933456"/>
        <c:scaling>
          <c:orientation val="minMax"/>
        </c:scaling>
        <c:delete val="1"/>
        <c:axPos val="l"/>
        <c:numFmt formatCode="#\ ##0.00\ &quot;€&quot;" sourceLinked="1"/>
        <c:majorTickMark val="none"/>
        <c:minorTickMark val="none"/>
        <c:tickLblPos val="nextTo"/>
        <c:crossAx val="-45043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CA MENSUEL 2024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'2024'!$L$288:$W$288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'2024'!$L$304:$W$304</c:f>
              <c:numCache>
                <c:formatCode>#\ ##0.00\ "€"</c:formatCode>
                <c:ptCount val="12"/>
                <c:pt idx="0">
                  <c:v>452.75</c:v>
                </c:pt>
                <c:pt idx="1">
                  <c:v>782.19999999999993</c:v>
                </c:pt>
                <c:pt idx="2">
                  <c:v>1164.6200000000001</c:v>
                </c:pt>
                <c:pt idx="3">
                  <c:v>1795.7900000000002</c:v>
                </c:pt>
                <c:pt idx="4">
                  <c:v>1435.53</c:v>
                </c:pt>
                <c:pt idx="5">
                  <c:v>1789.81</c:v>
                </c:pt>
                <c:pt idx="6">
                  <c:v>986.53</c:v>
                </c:pt>
                <c:pt idx="7">
                  <c:v>2119.46</c:v>
                </c:pt>
                <c:pt idx="8">
                  <c:v>1940.68</c:v>
                </c:pt>
                <c:pt idx="9">
                  <c:v>537.22</c:v>
                </c:pt>
                <c:pt idx="10">
                  <c:v>1547.3299999999997</c:v>
                </c:pt>
                <c:pt idx="11">
                  <c:v>399.65900000000005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C-4D18-ABC2-CABCA79DF4F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-45939984"/>
        <c:axId val="-1941551424"/>
      </c:barChart>
      <c:catAx>
        <c:axId val="-4593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941551424"/>
        <c:crosses val="autoZero"/>
        <c:auto val="1"/>
        <c:lblAlgn val="ctr"/>
        <c:lblOffset val="100"/>
        <c:noMultiLvlLbl val="0"/>
      </c:catAx>
      <c:valAx>
        <c:axId val="-1941551424"/>
        <c:scaling>
          <c:orientation val="minMax"/>
        </c:scaling>
        <c:delete val="1"/>
        <c:axPos val="l"/>
        <c:numFmt formatCode="#\ ##0.00\ &quot;€&quot;" sourceLinked="1"/>
        <c:majorTickMark val="none"/>
        <c:minorTickMark val="none"/>
        <c:tickLblPos val="nextTo"/>
        <c:crossAx val="-45939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2466974</xdr:colOff>
      <xdr:row>32</xdr:row>
      <xdr:rowOff>171450</xdr:rowOff>
    </xdr:from>
    <xdr:to>
      <xdr:col>14</xdr:col>
      <xdr:colOff>38099</xdr:colOff>
      <xdr:row>48</xdr:row>
      <xdr:rowOff>161925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38099</xdr:colOff>
      <xdr:row>15</xdr:row>
      <xdr:rowOff>28575</xdr:rowOff>
    </xdr:from>
    <xdr:to>
      <xdr:col>15</xdr:col>
      <xdr:colOff>295274</xdr:colOff>
      <xdr:row>31</xdr:row>
      <xdr:rowOff>180975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752474</xdr:colOff>
      <xdr:row>15</xdr:row>
      <xdr:rowOff>19050</xdr:rowOff>
    </xdr:from>
    <xdr:to>
      <xdr:col>6</xdr:col>
      <xdr:colOff>1562099</xdr:colOff>
      <xdr:row>31</xdr:row>
      <xdr:rowOff>152400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1800225</xdr:colOff>
      <xdr:row>60</xdr:row>
      <xdr:rowOff>9525</xdr:rowOff>
    </xdr:from>
    <xdr:to>
      <xdr:col>8</xdr:col>
      <xdr:colOff>600075</xdr:colOff>
      <xdr:row>76</xdr:row>
      <xdr:rowOff>161925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9525</xdr:colOff>
      <xdr:row>60</xdr:row>
      <xdr:rowOff>0</xdr:rowOff>
    </xdr:from>
    <xdr:to>
      <xdr:col>17</xdr:col>
      <xdr:colOff>257175</xdr:colOff>
      <xdr:row>76</xdr:row>
      <xdr:rowOff>171450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752475</xdr:colOff>
      <xdr:row>77</xdr:row>
      <xdr:rowOff>171450</xdr:rowOff>
    </xdr:from>
    <xdr:to>
      <xdr:col>16</xdr:col>
      <xdr:colOff>352425</xdr:colOff>
      <xdr:row>94</xdr:row>
      <xdr:rowOff>0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114300</xdr:rowOff>
    </xdr:from>
    <xdr:to>
      <xdr:col>12</xdr:col>
      <xdr:colOff>295275</xdr:colOff>
      <xdr:row>21</xdr:row>
      <xdr:rowOff>19049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257175</xdr:colOff>
      <xdr:row>22</xdr:row>
      <xdr:rowOff>9525</xdr:rowOff>
    </xdr:from>
    <xdr:to>
      <xdr:col>12</xdr:col>
      <xdr:colOff>314325</xdr:colOff>
      <xdr:row>36</xdr:row>
      <xdr:rowOff>85725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ES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"/>
      <sheetName val="2024"/>
      <sheetName val="Feuil1"/>
      <sheetName val="2025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05"/>
  <sheetViews>
    <sheetView topLeftCell="A228" workbookViewId="0">
      <selection activeCell="B246" sqref="B1:D246"/>
    </sheetView>
  </sheetViews>
  <sheetFormatPr baseColWidth="10" defaultColWidth="14.42578125" defaultRowHeight="15"/>
  <cols>
    <col min="1" max="1" width="4.28515625" style="241" customWidth="1"/>
    <col min="2" max="2" width="11.7109375" style="241" customWidth="1"/>
    <col min="3" max="3" width="10.7109375" style="241" customWidth="1"/>
    <col min="4" max="4" width="5.140625" style="241" customWidth="1"/>
    <col min="5" max="5" width="11" style="241" customWidth="1"/>
    <col min="6" max="6" width="7.140625" style="241" customWidth="1"/>
    <col min="7" max="7" width="7.5703125" style="241" customWidth="1"/>
    <col min="8" max="8" width="8.85546875" style="241" customWidth="1"/>
    <col min="9" max="9" width="10" style="241" customWidth="1"/>
    <col min="10" max="10" width="9.28515625" style="241" customWidth="1"/>
    <col min="11" max="11" width="8.7109375" style="241" customWidth="1"/>
    <col min="12" max="12" width="7.140625" style="241" customWidth="1"/>
    <col min="13" max="13" width="9.140625" style="241" customWidth="1"/>
    <col min="14" max="14" width="7.5703125" style="241" customWidth="1"/>
    <col min="15" max="15" width="8.42578125" style="241" customWidth="1"/>
    <col min="16" max="16" width="9.7109375" style="241" customWidth="1"/>
    <col min="17" max="17" width="10" style="241" customWidth="1"/>
    <col min="18" max="18" width="9.140625" style="241" customWidth="1"/>
    <col min="19" max="19" width="9.42578125" style="241" customWidth="1"/>
    <col min="20" max="21" width="10.7109375" style="241" customWidth="1"/>
    <col min="22" max="22" width="10.7109375" style="343" customWidth="1"/>
    <col min="23" max="27" width="10.7109375" style="241" customWidth="1"/>
    <col min="28" max="16384" width="14.42578125" style="241"/>
  </cols>
  <sheetData>
    <row r="1" spans="1:30" ht="22.5">
      <c r="B1" s="1"/>
      <c r="C1" s="1"/>
      <c r="D1" s="1"/>
      <c r="E1" s="1" t="s">
        <v>0</v>
      </c>
      <c r="F1" s="1" t="s">
        <v>105</v>
      </c>
      <c r="G1" s="3" t="s">
        <v>1</v>
      </c>
      <c r="H1" s="3" t="s">
        <v>2</v>
      </c>
      <c r="I1" s="3" t="s">
        <v>3</v>
      </c>
      <c r="J1" s="4" t="s">
        <v>4</v>
      </c>
      <c r="K1" s="4" t="s">
        <v>5</v>
      </c>
      <c r="L1" s="4" t="s">
        <v>6</v>
      </c>
      <c r="M1" s="3" t="s">
        <v>7</v>
      </c>
      <c r="N1" s="3" t="s">
        <v>8</v>
      </c>
      <c r="O1" s="3" t="s">
        <v>9</v>
      </c>
      <c r="P1" s="3" t="s">
        <v>10</v>
      </c>
      <c r="Q1" s="3" t="s">
        <v>11</v>
      </c>
      <c r="R1" s="3" t="s">
        <v>12</v>
      </c>
      <c r="S1" s="3" t="s">
        <v>13</v>
      </c>
      <c r="T1" s="3" t="s">
        <v>14</v>
      </c>
      <c r="U1" s="5"/>
      <c r="V1" s="3"/>
      <c r="W1" s="5"/>
      <c r="X1" s="5"/>
      <c r="Y1" s="5"/>
    </row>
    <row r="2" spans="1:30">
      <c r="A2" s="238">
        <v>1</v>
      </c>
      <c r="B2" s="7"/>
      <c r="C2" s="7"/>
      <c r="D2" s="7"/>
      <c r="E2" s="8"/>
      <c r="F2" s="38" t="s">
        <v>106</v>
      </c>
      <c r="G2" s="10">
        <v>4</v>
      </c>
      <c r="H2" s="10"/>
      <c r="I2" s="10">
        <f t="shared" ref="I2:I103" si="0">IF($G2&lt;&gt;"",SUM(G2:H2),"")</f>
        <v>4</v>
      </c>
      <c r="J2" s="8">
        <v>44933</v>
      </c>
      <c r="K2" s="7">
        <f t="shared" ref="K2:K224" si="1">IF(J2="","",MONTH(J2))</f>
        <v>1</v>
      </c>
      <c r="L2" s="11"/>
      <c r="M2" s="10">
        <v>25</v>
      </c>
      <c r="N2" s="10"/>
      <c r="O2" s="10">
        <f t="shared" ref="O2:O105" si="2">IF($J2&lt;&gt;"",SUM(M2:N2),"")</f>
        <v>25</v>
      </c>
      <c r="P2" s="10"/>
      <c r="Q2" s="10">
        <f t="shared" ref="Q2:Q105" si="3">IF(J2="","",O2-P2)</f>
        <v>25</v>
      </c>
      <c r="R2" s="10"/>
      <c r="S2" s="10">
        <f t="shared" ref="S2:S105" si="4">IF(J2="","",Q2-I2-R2)</f>
        <v>21</v>
      </c>
      <c r="T2" s="10" t="s">
        <v>19</v>
      </c>
      <c r="U2" s="370"/>
      <c r="V2" s="242"/>
      <c r="W2" s="243"/>
      <c r="X2" s="243"/>
      <c r="Y2" s="244"/>
    </row>
    <row r="3" spans="1:30">
      <c r="A3" s="238">
        <f t="shared" ref="A3:A54" si="5">SUM(A2+1)</f>
        <v>2</v>
      </c>
      <c r="B3" s="7"/>
      <c r="C3" s="7"/>
      <c r="D3" s="7"/>
      <c r="E3" s="8"/>
      <c r="F3" s="38" t="s">
        <v>106</v>
      </c>
      <c r="G3" s="10">
        <v>20</v>
      </c>
      <c r="H3" s="10"/>
      <c r="I3" s="10">
        <f t="shared" si="0"/>
        <v>20</v>
      </c>
      <c r="J3" s="8">
        <v>44935</v>
      </c>
      <c r="K3" s="7">
        <f t="shared" si="1"/>
        <v>1</v>
      </c>
      <c r="L3" s="11"/>
      <c r="M3" s="10">
        <v>35</v>
      </c>
      <c r="N3" s="10"/>
      <c r="O3" s="10">
        <f t="shared" si="2"/>
        <v>35</v>
      </c>
      <c r="P3" s="10"/>
      <c r="Q3" s="10">
        <f t="shared" si="3"/>
        <v>35</v>
      </c>
      <c r="R3" s="10"/>
      <c r="S3" s="10">
        <f t="shared" si="4"/>
        <v>15</v>
      </c>
      <c r="T3" s="10" t="s">
        <v>19</v>
      </c>
      <c r="U3" s="370"/>
      <c r="V3" s="242"/>
      <c r="W3" s="243"/>
      <c r="X3" s="243"/>
      <c r="Y3" s="244"/>
      <c r="AA3" s="245"/>
      <c r="AC3" s="238"/>
    </row>
    <row r="4" spans="1:30" ht="15" customHeight="1">
      <c r="A4" s="238">
        <f t="shared" si="5"/>
        <v>3</v>
      </c>
      <c r="B4" s="7"/>
      <c r="C4" s="7"/>
      <c r="D4" s="7"/>
      <c r="E4" s="8"/>
      <c r="F4" s="38" t="s">
        <v>100</v>
      </c>
      <c r="G4" s="10">
        <v>10</v>
      </c>
      <c r="H4" s="10"/>
      <c r="I4" s="10">
        <f t="shared" si="0"/>
        <v>10</v>
      </c>
      <c r="J4" s="8">
        <v>44986</v>
      </c>
      <c r="K4" s="7">
        <f t="shared" si="1"/>
        <v>3</v>
      </c>
      <c r="L4" s="11"/>
      <c r="M4" s="10">
        <v>50</v>
      </c>
      <c r="N4" s="10">
        <v>10</v>
      </c>
      <c r="O4" s="10">
        <f t="shared" si="2"/>
        <v>60</v>
      </c>
      <c r="P4" s="10">
        <v>6.35</v>
      </c>
      <c r="Q4" s="10">
        <f t="shared" si="3"/>
        <v>53.65</v>
      </c>
      <c r="R4" s="10"/>
      <c r="S4" s="10">
        <f t="shared" si="4"/>
        <v>43.65</v>
      </c>
      <c r="T4" s="10" t="s">
        <v>16</v>
      </c>
      <c r="U4" s="370"/>
      <c r="V4" s="242"/>
      <c r="W4" s="243"/>
      <c r="X4" s="243"/>
      <c r="Y4" s="244"/>
      <c r="AA4" s="245"/>
      <c r="AC4" s="238"/>
    </row>
    <row r="5" spans="1:30" ht="15" customHeight="1">
      <c r="A5" s="238">
        <f t="shared" si="5"/>
        <v>4</v>
      </c>
      <c r="B5" s="7"/>
      <c r="C5" s="7"/>
      <c r="D5" s="7"/>
      <c r="E5" s="8"/>
      <c r="F5" s="38" t="s">
        <v>106</v>
      </c>
      <c r="G5" s="10">
        <v>15</v>
      </c>
      <c r="H5" s="10"/>
      <c r="I5" s="10">
        <f t="shared" si="0"/>
        <v>15</v>
      </c>
      <c r="J5" s="8">
        <v>44989</v>
      </c>
      <c r="K5" s="7">
        <f t="shared" si="1"/>
        <v>3</v>
      </c>
      <c r="L5" s="11"/>
      <c r="M5" s="10">
        <v>30</v>
      </c>
      <c r="N5" s="10">
        <v>15</v>
      </c>
      <c r="O5" s="10">
        <f t="shared" si="2"/>
        <v>45</v>
      </c>
      <c r="P5" s="10">
        <v>4.8499999999999996</v>
      </c>
      <c r="Q5" s="10">
        <f t="shared" si="3"/>
        <v>40.15</v>
      </c>
      <c r="R5" s="10"/>
      <c r="S5" s="10">
        <f t="shared" si="4"/>
        <v>25.15</v>
      </c>
      <c r="T5" s="10" t="s">
        <v>16</v>
      </c>
      <c r="U5" s="370"/>
      <c r="V5" s="242"/>
      <c r="W5" s="243"/>
      <c r="X5" s="243"/>
      <c r="Y5" s="244"/>
      <c r="AA5" s="245"/>
      <c r="AC5" s="238"/>
    </row>
    <row r="6" spans="1:30" ht="15" customHeight="1">
      <c r="A6" s="238">
        <f t="shared" si="5"/>
        <v>5</v>
      </c>
      <c r="B6" s="7"/>
      <c r="C6" s="7"/>
      <c r="D6" s="7"/>
      <c r="E6" s="8"/>
      <c r="F6" s="38" t="s">
        <v>100</v>
      </c>
      <c r="G6" s="10">
        <v>25</v>
      </c>
      <c r="H6" s="10"/>
      <c r="I6" s="10">
        <f t="shared" si="0"/>
        <v>25</v>
      </c>
      <c r="J6" s="8">
        <v>45010</v>
      </c>
      <c r="K6" s="7">
        <f t="shared" si="1"/>
        <v>3</v>
      </c>
      <c r="L6" s="11"/>
      <c r="M6" s="10">
        <v>40</v>
      </c>
      <c r="N6" s="10"/>
      <c r="O6" s="10">
        <f t="shared" si="2"/>
        <v>40</v>
      </c>
      <c r="P6" s="10"/>
      <c r="Q6" s="10">
        <f t="shared" si="3"/>
        <v>40</v>
      </c>
      <c r="R6" s="10"/>
      <c r="S6" s="10">
        <f t="shared" si="4"/>
        <v>15</v>
      </c>
      <c r="T6" s="10" t="s">
        <v>19</v>
      </c>
      <c r="U6" s="370"/>
      <c r="V6" s="242"/>
      <c r="W6" s="243"/>
      <c r="X6" s="243"/>
      <c r="Y6" s="244"/>
      <c r="AA6" s="246"/>
      <c r="AB6" s="247"/>
      <c r="AC6" s="247"/>
    </row>
    <row r="7" spans="1:30" ht="15" customHeight="1">
      <c r="A7" s="238">
        <f t="shared" si="5"/>
        <v>6</v>
      </c>
      <c r="B7" s="7"/>
      <c r="C7" s="7"/>
      <c r="D7" s="7"/>
      <c r="E7" s="8">
        <v>44967</v>
      </c>
      <c r="F7" s="38" t="s">
        <v>107</v>
      </c>
      <c r="G7" s="10">
        <v>10</v>
      </c>
      <c r="H7" s="10"/>
      <c r="I7" s="10">
        <f t="shared" si="0"/>
        <v>10</v>
      </c>
      <c r="J7" s="8">
        <v>45027</v>
      </c>
      <c r="K7" s="7">
        <f t="shared" si="1"/>
        <v>4</v>
      </c>
      <c r="L7" s="11">
        <f t="shared" ref="L7:L10" si="6">IF($J7&lt;&gt;"",SUM(J7-E7),"")</f>
        <v>60</v>
      </c>
      <c r="M7" s="10">
        <v>60</v>
      </c>
      <c r="N7" s="10"/>
      <c r="O7" s="10">
        <f t="shared" si="2"/>
        <v>60</v>
      </c>
      <c r="P7" s="10"/>
      <c r="Q7" s="10">
        <f t="shared" si="3"/>
        <v>60</v>
      </c>
      <c r="R7" s="10"/>
      <c r="S7" s="10">
        <f t="shared" si="4"/>
        <v>50</v>
      </c>
      <c r="T7" s="10" t="s">
        <v>19</v>
      </c>
      <c r="U7" s="370"/>
      <c r="V7" s="242"/>
      <c r="W7" s="243"/>
      <c r="X7" s="243"/>
      <c r="Y7" s="244"/>
      <c r="AA7" s="245"/>
    </row>
    <row r="8" spans="1:30" ht="15" customHeight="1">
      <c r="A8" s="238">
        <f t="shared" si="5"/>
        <v>7</v>
      </c>
      <c r="B8" s="7"/>
      <c r="C8" s="7"/>
      <c r="D8" s="7"/>
      <c r="E8" s="8">
        <v>44969</v>
      </c>
      <c r="F8" s="38" t="s">
        <v>107</v>
      </c>
      <c r="G8" s="10">
        <v>10</v>
      </c>
      <c r="H8" s="10"/>
      <c r="I8" s="10">
        <f t="shared" si="0"/>
        <v>10</v>
      </c>
      <c r="J8" s="8">
        <v>45028</v>
      </c>
      <c r="K8" s="7">
        <f t="shared" si="1"/>
        <v>4</v>
      </c>
      <c r="L8" s="11">
        <f t="shared" si="6"/>
        <v>59</v>
      </c>
      <c r="M8" s="10">
        <v>25</v>
      </c>
      <c r="N8" s="10">
        <v>15</v>
      </c>
      <c r="O8" s="10">
        <f t="shared" si="2"/>
        <v>40</v>
      </c>
      <c r="P8" s="10">
        <v>4.3499999999999996</v>
      </c>
      <c r="Q8" s="10">
        <f t="shared" si="3"/>
        <v>35.65</v>
      </c>
      <c r="R8" s="10"/>
      <c r="S8" s="10">
        <f t="shared" si="4"/>
        <v>25.65</v>
      </c>
      <c r="T8" s="10" t="s">
        <v>16</v>
      </c>
      <c r="U8" s="370"/>
      <c r="V8" s="242"/>
      <c r="W8" s="243"/>
      <c r="X8" s="243"/>
      <c r="Y8" s="244"/>
      <c r="AA8" s="245"/>
      <c r="AC8" s="238"/>
    </row>
    <row r="9" spans="1:30" ht="15" customHeight="1">
      <c r="A9" s="238">
        <f t="shared" si="5"/>
        <v>8</v>
      </c>
      <c r="B9" s="7"/>
      <c r="C9" s="7"/>
      <c r="D9" s="7"/>
      <c r="E9" s="8">
        <v>45026</v>
      </c>
      <c r="F9" s="38" t="s">
        <v>106</v>
      </c>
      <c r="G9" s="10">
        <v>5</v>
      </c>
      <c r="H9" s="10"/>
      <c r="I9" s="10">
        <f t="shared" si="0"/>
        <v>5</v>
      </c>
      <c r="J9" s="8">
        <v>45041</v>
      </c>
      <c r="K9" s="7">
        <f t="shared" si="1"/>
        <v>4</v>
      </c>
      <c r="L9" s="11">
        <f t="shared" si="6"/>
        <v>15</v>
      </c>
      <c r="M9" s="10">
        <v>25</v>
      </c>
      <c r="N9" s="10">
        <v>8</v>
      </c>
      <c r="O9" s="10">
        <f t="shared" si="2"/>
        <v>33</v>
      </c>
      <c r="P9" s="10">
        <v>3.65</v>
      </c>
      <c r="Q9" s="10">
        <f t="shared" si="3"/>
        <v>29.35</v>
      </c>
      <c r="R9" s="10"/>
      <c r="S9" s="10">
        <f t="shared" si="4"/>
        <v>24.35</v>
      </c>
      <c r="T9" s="10" t="s">
        <v>16</v>
      </c>
      <c r="U9" s="370"/>
      <c r="V9" s="242"/>
      <c r="W9" s="243"/>
      <c r="X9" s="243"/>
      <c r="Y9" s="244"/>
      <c r="AA9" s="245"/>
      <c r="AC9" s="91"/>
    </row>
    <row r="10" spans="1:30" ht="15" customHeight="1">
      <c r="A10" s="238">
        <f t="shared" si="5"/>
        <v>9</v>
      </c>
      <c r="B10" s="7"/>
      <c r="C10" s="7"/>
      <c r="D10" s="7"/>
      <c r="E10" s="8">
        <v>45026</v>
      </c>
      <c r="F10" s="38" t="s">
        <v>106</v>
      </c>
      <c r="G10" s="10">
        <v>5</v>
      </c>
      <c r="H10" s="10"/>
      <c r="I10" s="10">
        <f t="shared" si="0"/>
        <v>5</v>
      </c>
      <c r="J10" s="8">
        <v>45042</v>
      </c>
      <c r="K10" s="7">
        <f t="shared" si="1"/>
        <v>4</v>
      </c>
      <c r="L10" s="11">
        <f t="shared" si="6"/>
        <v>16</v>
      </c>
      <c r="M10" s="10">
        <v>25</v>
      </c>
      <c r="N10" s="10">
        <v>5</v>
      </c>
      <c r="O10" s="10">
        <f t="shared" si="2"/>
        <v>30</v>
      </c>
      <c r="P10" s="10">
        <v>3.35</v>
      </c>
      <c r="Q10" s="10">
        <f t="shared" si="3"/>
        <v>26.65</v>
      </c>
      <c r="R10" s="10"/>
      <c r="S10" s="10">
        <f t="shared" si="4"/>
        <v>21.65</v>
      </c>
      <c r="T10" s="10" t="s">
        <v>16</v>
      </c>
      <c r="U10" s="370"/>
      <c r="V10" s="242"/>
      <c r="W10" s="243"/>
      <c r="X10" s="243"/>
      <c r="Y10" s="244"/>
      <c r="AA10" s="245"/>
      <c r="AC10" s="238"/>
    </row>
    <row r="11" spans="1:30" ht="15" customHeight="1">
      <c r="A11" s="238">
        <f t="shared" si="5"/>
        <v>10</v>
      </c>
      <c r="B11" s="7"/>
      <c r="C11" s="7"/>
      <c r="D11" s="7"/>
      <c r="E11" s="8"/>
      <c r="F11" s="38" t="s">
        <v>106</v>
      </c>
      <c r="G11" s="10">
        <v>20</v>
      </c>
      <c r="H11" s="10"/>
      <c r="I11" s="10">
        <f t="shared" si="0"/>
        <v>20</v>
      </c>
      <c r="J11" s="8">
        <v>45043</v>
      </c>
      <c r="K11" s="7">
        <f t="shared" si="1"/>
        <v>4</v>
      </c>
      <c r="L11" s="11"/>
      <c r="M11" s="10">
        <v>60</v>
      </c>
      <c r="N11" s="10"/>
      <c r="O11" s="10">
        <f t="shared" si="2"/>
        <v>60</v>
      </c>
      <c r="P11" s="10"/>
      <c r="Q11" s="10">
        <f t="shared" si="3"/>
        <v>60</v>
      </c>
      <c r="R11" s="10"/>
      <c r="S11" s="10">
        <f t="shared" si="4"/>
        <v>40</v>
      </c>
      <c r="T11" s="10" t="s">
        <v>19</v>
      </c>
      <c r="U11" s="370"/>
      <c r="V11" s="242"/>
      <c r="W11" s="243"/>
      <c r="X11" s="243"/>
      <c r="Y11" s="244"/>
      <c r="AA11" s="245"/>
      <c r="AC11" s="248"/>
    </row>
    <row r="12" spans="1:30" ht="15" customHeight="1">
      <c r="A12" s="238">
        <f t="shared" si="5"/>
        <v>11</v>
      </c>
      <c r="B12" s="7"/>
      <c r="C12" s="7"/>
      <c r="D12" s="7"/>
      <c r="E12" s="8">
        <v>45026</v>
      </c>
      <c r="F12" s="38" t="s">
        <v>106</v>
      </c>
      <c r="G12" s="10">
        <v>10</v>
      </c>
      <c r="H12" s="10"/>
      <c r="I12" s="10">
        <f t="shared" si="0"/>
        <v>10</v>
      </c>
      <c r="J12" s="8">
        <v>45044</v>
      </c>
      <c r="K12" s="7">
        <f t="shared" si="1"/>
        <v>4</v>
      </c>
      <c r="L12" s="11">
        <f>IF($J12&lt;&gt;"",SUM(J12-E12),"")</f>
        <v>18</v>
      </c>
      <c r="M12" s="10">
        <v>43</v>
      </c>
      <c r="N12" s="10">
        <v>10</v>
      </c>
      <c r="O12" s="10">
        <f t="shared" si="2"/>
        <v>53</v>
      </c>
      <c r="P12" s="10">
        <v>5.65</v>
      </c>
      <c r="Q12" s="10">
        <f t="shared" si="3"/>
        <v>47.35</v>
      </c>
      <c r="R12" s="10"/>
      <c r="S12" s="10">
        <f t="shared" si="4"/>
        <v>37.35</v>
      </c>
      <c r="T12" s="10" t="s">
        <v>16</v>
      </c>
      <c r="U12" s="370"/>
      <c r="V12" s="242"/>
      <c r="W12" s="243"/>
      <c r="X12" s="243"/>
      <c r="Y12" s="244"/>
      <c r="AB12" s="238"/>
      <c r="AC12" s="238"/>
    </row>
    <row r="13" spans="1:30" ht="15" customHeight="1">
      <c r="A13" s="238">
        <f t="shared" si="5"/>
        <v>12</v>
      </c>
      <c r="B13" s="7"/>
      <c r="C13" s="7"/>
      <c r="D13" s="7"/>
      <c r="E13" s="8"/>
      <c r="F13" s="38" t="s">
        <v>106</v>
      </c>
      <c r="G13" s="10">
        <v>0</v>
      </c>
      <c r="H13" s="10"/>
      <c r="I13" s="10">
        <f t="shared" si="0"/>
        <v>0</v>
      </c>
      <c r="J13" s="8">
        <v>45047</v>
      </c>
      <c r="K13" s="7">
        <f t="shared" si="1"/>
        <v>5</v>
      </c>
      <c r="L13" s="11"/>
      <c r="M13" s="10">
        <v>25</v>
      </c>
      <c r="N13" s="10"/>
      <c r="O13" s="10">
        <f t="shared" si="2"/>
        <v>25</v>
      </c>
      <c r="P13" s="10"/>
      <c r="Q13" s="10">
        <f t="shared" si="3"/>
        <v>25</v>
      </c>
      <c r="R13" s="10"/>
      <c r="S13" s="10">
        <f t="shared" si="4"/>
        <v>25</v>
      </c>
      <c r="T13" s="10" t="s">
        <v>19</v>
      </c>
      <c r="U13" s="370"/>
      <c r="V13" s="242"/>
      <c r="W13" s="243"/>
      <c r="X13" s="243"/>
      <c r="Y13" s="244"/>
    </row>
    <row r="14" spans="1:30" ht="15" customHeight="1">
      <c r="A14" s="238">
        <f t="shared" si="5"/>
        <v>13</v>
      </c>
      <c r="B14" s="7"/>
      <c r="C14" s="7"/>
      <c r="D14" s="7"/>
      <c r="E14" s="8">
        <v>45046</v>
      </c>
      <c r="F14" s="38" t="s">
        <v>106</v>
      </c>
      <c r="G14" s="10">
        <v>10</v>
      </c>
      <c r="H14" s="10"/>
      <c r="I14" s="10">
        <f t="shared" si="0"/>
        <v>10</v>
      </c>
      <c r="J14" s="8">
        <v>45052</v>
      </c>
      <c r="K14" s="7">
        <f t="shared" si="1"/>
        <v>5</v>
      </c>
      <c r="L14" s="11">
        <f t="shared" ref="L14:L24" si="7">IF($J14&lt;&gt;"",SUM(J14-E14),"")</f>
        <v>6</v>
      </c>
      <c r="M14" s="10">
        <v>50</v>
      </c>
      <c r="N14" s="10">
        <v>10</v>
      </c>
      <c r="O14" s="10">
        <f t="shared" si="2"/>
        <v>60</v>
      </c>
      <c r="P14" s="10">
        <v>6.35</v>
      </c>
      <c r="Q14" s="10">
        <f t="shared" si="3"/>
        <v>53.65</v>
      </c>
      <c r="R14" s="10">
        <v>5.99</v>
      </c>
      <c r="S14" s="10">
        <f t="shared" si="4"/>
        <v>37.659999999999997</v>
      </c>
      <c r="T14" s="10" t="s">
        <v>16</v>
      </c>
      <c r="U14" s="370"/>
      <c r="V14" s="242"/>
      <c r="W14" s="243"/>
      <c r="X14" s="243"/>
      <c r="Y14" s="244"/>
      <c r="AB14" s="238"/>
      <c r="AC14" s="238"/>
      <c r="AD14" s="249"/>
    </row>
    <row r="15" spans="1:30" ht="15" customHeight="1">
      <c r="A15" s="238">
        <f t="shared" si="5"/>
        <v>14</v>
      </c>
      <c r="B15" s="7"/>
      <c r="C15" s="7"/>
      <c r="D15" s="7"/>
      <c r="E15" s="8">
        <v>45047</v>
      </c>
      <c r="F15" s="38" t="s">
        <v>106</v>
      </c>
      <c r="G15" s="10">
        <v>10</v>
      </c>
      <c r="H15" s="10"/>
      <c r="I15" s="10">
        <f t="shared" si="0"/>
        <v>10</v>
      </c>
      <c r="J15" s="8">
        <v>45052</v>
      </c>
      <c r="K15" s="7">
        <f t="shared" si="1"/>
        <v>5</v>
      </c>
      <c r="L15" s="11">
        <f t="shared" si="7"/>
        <v>5</v>
      </c>
      <c r="M15" s="10">
        <v>120</v>
      </c>
      <c r="N15" s="10"/>
      <c r="O15" s="10">
        <f t="shared" si="2"/>
        <v>120</v>
      </c>
      <c r="P15" s="10"/>
      <c r="Q15" s="10">
        <f t="shared" si="3"/>
        <v>120</v>
      </c>
      <c r="R15" s="10"/>
      <c r="S15" s="10">
        <f t="shared" si="4"/>
        <v>110</v>
      </c>
      <c r="T15" s="10" t="s">
        <v>19</v>
      </c>
      <c r="U15" s="370"/>
      <c r="V15" s="242"/>
      <c r="W15" s="243"/>
      <c r="X15" s="243"/>
      <c r="Y15" s="244"/>
    </row>
    <row r="16" spans="1:30" ht="15" customHeight="1">
      <c r="A16" s="238">
        <f t="shared" si="5"/>
        <v>15</v>
      </c>
      <c r="B16" s="7"/>
      <c r="C16" s="7"/>
      <c r="D16" s="7"/>
      <c r="E16" s="8">
        <v>44967</v>
      </c>
      <c r="F16" s="38" t="s">
        <v>107</v>
      </c>
      <c r="G16" s="10">
        <v>10</v>
      </c>
      <c r="H16" s="10"/>
      <c r="I16" s="10">
        <f t="shared" si="0"/>
        <v>10</v>
      </c>
      <c r="J16" s="8">
        <v>45061</v>
      </c>
      <c r="K16" s="7">
        <f t="shared" si="1"/>
        <v>5</v>
      </c>
      <c r="L16" s="11">
        <f t="shared" si="7"/>
        <v>94</v>
      </c>
      <c r="M16" s="10">
        <v>40</v>
      </c>
      <c r="N16" s="10">
        <v>10</v>
      </c>
      <c r="O16" s="10">
        <f t="shared" si="2"/>
        <v>50</v>
      </c>
      <c r="P16" s="10">
        <v>5.35</v>
      </c>
      <c r="Q16" s="10">
        <f t="shared" si="3"/>
        <v>44.65</v>
      </c>
      <c r="R16" s="10">
        <v>3.49</v>
      </c>
      <c r="S16" s="10">
        <f t="shared" si="4"/>
        <v>31.159999999999997</v>
      </c>
      <c r="T16" s="10" t="s">
        <v>16</v>
      </c>
      <c r="U16" s="370"/>
      <c r="V16" s="242"/>
      <c r="W16" s="243"/>
      <c r="X16" s="243"/>
      <c r="Y16" s="244"/>
    </row>
    <row r="17" spans="1:25" ht="15" customHeight="1">
      <c r="A17" s="238">
        <f t="shared" si="5"/>
        <v>16</v>
      </c>
      <c r="B17" s="7"/>
      <c r="C17" s="7"/>
      <c r="D17" s="7"/>
      <c r="E17" s="8">
        <v>45053</v>
      </c>
      <c r="F17" s="38" t="s">
        <v>106</v>
      </c>
      <c r="G17" s="10">
        <v>15</v>
      </c>
      <c r="H17" s="10"/>
      <c r="I17" s="10">
        <f t="shared" si="0"/>
        <v>15</v>
      </c>
      <c r="J17" s="8">
        <v>45063</v>
      </c>
      <c r="K17" s="7">
        <f t="shared" si="1"/>
        <v>5</v>
      </c>
      <c r="L17" s="11">
        <f t="shared" si="7"/>
        <v>10</v>
      </c>
      <c r="M17" s="10">
        <v>100</v>
      </c>
      <c r="N17" s="10">
        <v>20</v>
      </c>
      <c r="O17" s="10">
        <f t="shared" si="2"/>
        <v>120</v>
      </c>
      <c r="P17" s="10">
        <v>12.35</v>
      </c>
      <c r="Q17" s="10">
        <f t="shared" si="3"/>
        <v>107.65</v>
      </c>
      <c r="R17" s="10">
        <v>3.49</v>
      </c>
      <c r="S17" s="10">
        <f t="shared" si="4"/>
        <v>89.160000000000011</v>
      </c>
      <c r="T17" s="10" t="s">
        <v>16</v>
      </c>
      <c r="U17" s="370"/>
      <c r="V17" s="242"/>
      <c r="W17" s="243"/>
      <c r="X17" s="243"/>
      <c r="Y17" s="244"/>
    </row>
    <row r="18" spans="1:25" ht="15" customHeight="1">
      <c r="A18" s="238">
        <f t="shared" si="5"/>
        <v>17</v>
      </c>
      <c r="B18" s="7"/>
      <c r="C18" s="7"/>
      <c r="D18" s="7"/>
      <c r="E18" s="8">
        <v>45060</v>
      </c>
      <c r="F18" s="38" t="s">
        <v>106</v>
      </c>
      <c r="G18" s="10">
        <v>15</v>
      </c>
      <c r="H18" s="10"/>
      <c r="I18" s="10">
        <f t="shared" si="0"/>
        <v>15</v>
      </c>
      <c r="J18" s="8">
        <v>45065</v>
      </c>
      <c r="K18" s="7">
        <f t="shared" si="1"/>
        <v>5</v>
      </c>
      <c r="L18" s="11">
        <f t="shared" si="7"/>
        <v>5</v>
      </c>
      <c r="M18" s="10">
        <v>70</v>
      </c>
      <c r="N18" s="10">
        <v>15</v>
      </c>
      <c r="O18" s="10">
        <f t="shared" si="2"/>
        <v>85</v>
      </c>
      <c r="P18" s="10">
        <v>8.85</v>
      </c>
      <c r="Q18" s="10">
        <f t="shared" si="3"/>
        <v>76.150000000000006</v>
      </c>
      <c r="R18" s="10">
        <v>3.49</v>
      </c>
      <c r="S18" s="10">
        <f t="shared" si="4"/>
        <v>57.660000000000004</v>
      </c>
      <c r="T18" s="10" t="s">
        <v>16</v>
      </c>
      <c r="U18" s="370"/>
      <c r="V18" s="242"/>
      <c r="W18" s="243"/>
      <c r="X18" s="243"/>
      <c r="Y18" s="244"/>
    </row>
    <row r="19" spans="1:25" ht="15" customHeight="1">
      <c r="A19" s="238">
        <f t="shared" si="5"/>
        <v>18</v>
      </c>
      <c r="B19" s="7"/>
      <c r="C19" s="7"/>
      <c r="D19" s="7"/>
      <c r="E19" s="8">
        <v>45060</v>
      </c>
      <c r="F19" s="38" t="s">
        <v>106</v>
      </c>
      <c r="G19" s="10">
        <v>30</v>
      </c>
      <c r="H19" s="10"/>
      <c r="I19" s="10">
        <f t="shared" si="0"/>
        <v>30</v>
      </c>
      <c r="J19" s="8">
        <v>45067</v>
      </c>
      <c r="K19" s="7">
        <f t="shared" si="1"/>
        <v>5</v>
      </c>
      <c r="L19" s="11">
        <f t="shared" si="7"/>
        <v>7</v>
      </c>
      <c r="M19" s="10">
        <v>90</v>
      </c>
      <c r="N19" s="10"/>
      <c r="O19" s="10">
        <f t="shared" si="2"/>
        <v>90</v>
      </c>
      <c r="P19" s="10"/>
      <c r="Q19" s="10">
        <f t="shared" si="3"/>
        <v>90</v>
      </c>
      <c r="R19" s="10"/>
      <c r="S19" s="10">
        <f t="shared" si="4"/>
        <v>60</v>
      </c>
      <c r="T19" s="10" t="s">
        <v>19</v>
      </c>
      <c r="U19" s="370"/>
      <c r="V19" s="242"/>
      <c r="W19" s="243"/>
      <c r="X19" s="243"/>
      <c r="Y19" s="244"/>
    </row>
    <row r="20" spans="1:25" ht="15" customHeight="1">
      <c r="A20" s="238">
        <f t="shared" si="5"/>
        <v>19</v>
      </c>
      <c r="B20" s="7"/>
      <c r="C20" s="7"/>
      <c r="D20" s="7"/>
      <c r="E20" s="8">
        <v>45026</v>
      </c>
      <c r="F20" s="38" t="s">
        <v>106</v>
      </c>
      <c r="G20" s="10">
        <v>12</v>
      </c>
      <c r="H20" s="10"/>
      <c r="I20" s="10">
        <f t="shared" si="0"/>
        <v>12</v>
      </c>
      <c r="J20" s="8">
        <v>45070</v>
      </c>
      <c r="K20" s="7">
        <f t="shared" si="1"/>
        <v>5</v>
      </c>
      <c r="L20" s="11">
        <f t="shared" si="7"/>
        <v>44</v>
      </c>
      <c r="M20" s="10">
        <v>25</v>
      </c>
      <c r="N20" s="10"/>
      <c r="O20" s="10">
        <f t="shared" si="2"/>
        <v>25</v>
      </c>
      <c r="P20" s="10"/>
      <c r="Q20" s="10">
        <f t="shared" si="3"/>
        <v>25</v>
      </c>
      <c r="R20" s="10"/>
      <c r="S20" s="10">
        <f t="shared" si="4"/>
        <v>13</v>
      </c>
      <c r="T20" s="10" t="s">
        <v>19</v>
      </c>
      <c r="U20" s="370"/>
      <c r="V20" s="242"/>
      <c r="W20" s="243"/>
      <c r="X20" s="243"/>
      <c r="Y20" s="244"/>
    </row>
    <row r="21" spans="1:25" ht="15" customHeight="1">
      <c r="A21" s="238">
        <f t="shared" si="5"/>
        <v>20</v>
      </c>
      <c r="B21" s="250"/>
      <c r="C21" s="7"/>
      <c r="D21" s="7"/>
      <c r="E21" s="8">
        <v>45047</v>
      </c>
      <c r="F21" s="38" t="s">
        <v>106</v>
      </c>
      <c r="G21" s="10">
        <v>11</v>
      </c>
      <c r="H21" s="10"/>
      <c r="I21" s="10">
        <f t="shared" si="0"/>
        <v>11</v>
      </c>
      <c r="J21" s="8">
        <v>45070</v>
      </c>
      <c r="K21" s="7">
        <f t="shared" si="1"/>
        <v>5</v>
      </c>
      <c r="L21" s="11">
        <f t="shared" si="7"/>
        <v>23</v>
      </c>
      <c r="M21" s="10">
        <v>90</v>
      </c>
      <c r="N21" s="10"/>
      <c r="O21" s="10">
        <f t="shared" si="2"/>
        <v>90</v>
      </c>
      <c r="P21" s="10"/>
      <c r="Q21" s="10">
        <f t="shared" si="3"/>
        <v>90</v>
      </c>
      <c r="R21" s="10"/>
      <c r="S21" s="10">
        <f t="shared" si="4"/>
        <v>79</v>
      </c>
      <c r="T21" s="10" t="s">
        <v>19</v>
      </c>
      <c r="U21" s="370"/>
      <c r="V21" s="242"/>
      <c r="W21" s="243"/>
      <c r="X21" s="243"/>
      <c r="Y21" s="244"/>
    </row>
    <row r="22" spans="1:25" ht="15" customHeight="1">
      <c r="A22" s="238">
        <f t="shared" si="5"/>
        <v>21</v>
      </c>
      <c r="B22" s="7"/>
      <c r="C22" s="7"/>
      <c r="D22" s="7"/>
      <c r="E22" s="8">
        <v>45060</v>
      </c>
      <c r="F22" s="38" t="s">
        <v>106</v>
      </c>
      <c r="G22" s="10">
        <v>15</v>
      </c>
      <c r="H22" s="10"/>
      <c r="I22" s="10">
        <f t="shared" si="0"/>
        <v>15</v>
      </c>
      <c r="J22" s="8">
        <v>45070</v>
      </c>
      <c r="K22" s="7">
        <f t="shared" si="1"/>
        <v>5</v>
      </c>
      <c r="L22" s="11">
        <f t="shared" si="7"/>
        <v>10</v>
      </c>
      <c r="M22" s="10">
        <v>50</v>
      </c>
      <c r="N22" s="10">
        <v>10</v>
      </c>
      <c r="O22" s="10">
        <f t="shared" si="2"/>
        <v>60</v>
      </c>
      <c r="P22" s="10">
        <v>6.35</v>
      </c>
      <c r="Q22" s="10">
        <f t="shared" si="3"/>
        <v>53.65</v>
      </c>
      <c r="R22" s="10">
        <v>3</v>
      </c>
      <c r="S22" s="10">
        <f t="shared" si="4"/>
        <v>35.65</v>
      </c>
      <c r="T22" s="10" t="s">
        <v>16</v>
      </c>
      <c r="U22" s="370"/>
      <c r="V22" s="242"/>
      <c r="W22" s="243"/>
      <c r="X22" s="243"/>
      <c r="Y22" s="244"/>
    </row>
    <row r="23" spans="1:25" ht="15" customHeight="1">
      <c r="A23" s="238">
        <f t="shared" si="5"/>
        <v>22</v>
      </c>
      <c r="B23" s="7"/>
      <c r="C23" s="7"/>
      <c r="D23" s="7"/>
      <c r="E23" s="8">
        <v>45060</v>
      </c>
      <c r="F23" s="38" t="s">
        <v>106</v>
      </c>
      <c r="G23" s="10">
        <v>5</v>
      </c>
      <c r="H23" s="10"/>
      <c r="I23" s="10">
        <f t="shared" si="0"/>
        <v>5</v>
      </c>
      <c r="J23" s="8">
        <v>45070</v>
      </c>
      <c r="K23" s="7">
        <f t="shared" si="1"/>
        <v>5</v>
      </c>
      <c r="L23" s="11">
        <f t="shared" si="7"/>
        <v>10</v>
      </c>
      <c r="M23" s="10">
        <v>25</v>
      </c>
      <c r="N23" s="10">
        <v>5</v>
      </c>
      <c r="O23" s="10">
        <f t="shared" si="2"/>
        <v>30</v>
      </c>
      <c r="P23" s="10">
        <v>3.35</v>
      </c>
      <c r="Q23" s="10">
        <f t="shared" si="3"/>
        <v>26.65</v>
      </c>
      <c r="R23" s="10">
        <v>2.99</v>
      </c>
      <c r="S23" s="10">
        <f t="shared" si="4"/>
        <v>18.659999999999997</v>
      </c>
      <c r="T23" s="10" t="s">
        <v>16</v>
      </c>
      <c r="U23" s="370"/>
      <c r="V23" s="242"/>
      <c r="W23" s="243"/>
      <c r="X23" s="243"/>
      <c r="Y23" s="244"/>
    </row>
    <row r="24" spans="1:25" ht="15" customHeight="1">
      <c r="A24" s="238">
        <f t="shared" si="5"/>
        <v>23</v>
      </c>
      <c r="B24" s="7"/>
      <c r="C24" s="7"/>
      <c r="D24" s="7"/>
      <c r="E24" s="8">
        <v>45053</v>
      </c>
      <c r="F24" s="38" t="s">
        <v>106</v>
      </c>
      <c r="G24" s="10">
        <v>20</v>
      </c>
      <c r="H24" s="10"/>
      <c r="I24" s="10">
        <f t="shared" si="0"/>
        <v>20</v>
      </c>
      <c r="J24" s="8">
        <v>45073</v>
      </c>
      <c r="K24" s="7">
        <f t="shared" si="1"/>
        <v>5</v>
      </c>
      <c r="L24" s="11">
        <f t="shared" si="7"/>
        <v>20</v>
      </c>
      <c r="M24" s="10">
        <v>60</v>
      </c>
      <c r="N24" s="10"/>
      <c r="O24" s="10">
        <f t="shared" si="2"/>
        <v>60</v>
      </c>
      <c r="P24" s="10"/>
      <c r="Q24" s="10">
        <f t="shared" si="3"/>
        <v>60</v>
      </c>
      <c r="R24" s="10"/>
      <c r="S24" s="10">
        <f t="shared" si="4"/>
        <v>40</v>
      </c>
      <c r="T24" s="10" t="s">
        <v>19</v>
      </c>
      <c r="U24" s="45"/>
      <c r="V24" s="242"/>
      <c r="W24" s="243"/>
      <c r="X24" s="243"/>
      <c r="Y24" s="244"/>
    </row>
    <row r="25" spans="1:25" ht="15" customHeight="1">
      <c r="A25" s="238">
        <f t="shared" si="5"/>
        <v>24</v>
      </c>
      <c r="B25" s="7"/>
      <c r="C25" s="7"/>
      <c r="D25" s="7"/>
      <c r="E25" s="8"/>
      <c r="F25" s="38"/>
      <c r="G25" s="10">
        <v>0</v>
      </c>
      <c r="H25" s="10"/>
      <c r="I25" s="10">
        <f t="shared" si="0"/>
        <v>0</v>
      </c>
      <c r="J25" s="8">
        <v>45075</v>
      </c>
      <c r="K25" s="7">
        <f t="shared" si="1"/>
        <v>5</v>
      </c>
      <c r="L25" s="11"/>
      <c r="M25" s="10">
        <v>10</v>
      </c>
      <c r="N25" s="10"/>
      <c r="O25" s="10">
        <f t="shared" si="2"/>
        <v>10</v>
      </c>
      <c r="P25" s="10"/>
      <c r="Q25" s="10">
        <f t="shared" si="3"/>
        <v>10</v>
      </c>
      <c r="R25" s="10"/>
      <c r="S25" s="10">
        <f t="shared" si="4"/>
        <v>10</v>
      </c>
      <c r="T25" s="10" t="s">
        <v>19</v>
      </c>
      <c r="U25" s="45"/>
      <c r="V25" s="242"/>
      <c r="W25" s="243"/>
      <c r="X25" s="243"/>
      <c r="Y25" s="244"/>
    </row>
    <row r="26" spans="1:25" ht="15" customHeight="1">
      <c r="A26" s="238">
        <f t="shared" si="5"/>
        <v>25</v>
      </c>
      <c r="B26" s="7"/>
      <c r="C26" s="7"/>
      <c r="D26" s="7"/>
      <c r="E26" s="8">
        <v>45053</v>
      </c>
      <c r="F26" s="38" t="s">
        <v>106</v>
      </c>
      <c r="G26" s="10">
        <v>15</v>
      </c>
      <c r="H26" s="10"/>
      <c r="I26" s="10">
        <f t="shared" si="0"/>
        <v>15</v>
      </c>
      <c r="J26" s="8">
        <v>45075</v>
      </c>
      <c r="K26" s="7">
        <f t="shared" si="1"/>
        <v>5</v>
      </c>
      <c r="L26" s="11">
        <f t="shared" ref="L26:L54" si="8">IF($J26&lt;&gt;"",SUM(J26-E26),"")</f>
        <v>22</v>
      </c>
      <c r="M26" s="10">
        <v>80</v>
      </c>
      <c r="N26" s="10">
        <v>20</v>
      </c>
      <c r="O26" s="10">
        <f t="shared" si="2"/>
        <v>100</v>
      </c>
      <c r="P26" s="10"/>
      <c r="Q26" s="10">
        <f t="shared" si="3"/>
        <v>100</v>
      </c>
      <c r="R26" s="10"/>
      <c r="S26" s="10">
        <f t="shared" si="4"/>
        <v>85</v>
      </c>
      <c r="T26" s="10" t="s">
        <v>16</v>
      </c>
      <c r="U26" s="45"/>
      <c r="V26" s="242"/>
      <c r="W26" s="243"/>
      <c r="X26" s="243"/>
      <c r="Y26" s="244"/>
    </row>
    <row r="27" spans="1:25" ht="15" customHeight="1">
      <c r="A27" s="238">
        <f t="shared" si="5"/>
        <v>26</v>
      </c>
      <c r="B27" s="7"/>
      <c r="C27" s="7"/>
      <c r="D27" s="7"/>
      <c r="E27" s="8">
        <v>45053</v>
      </c>
      <c r="F27" s="38" t="s">
        <v>106</v>
      </c>
      <c r="G27" s="10">
        <v>7.5</v>
      </c>
      <c r="H27" s="10"/>
      <c r="I27" s="10">
        <f t="shared" si="0"/>
        <v>7.5</v>
      </c>
      <c r="J27" s="8">
        <v>45076</v>
      </c>
      <c r="K27" s="7">
        <f t="shared" si="1"/>
        <v>5</v>
      </c>
      <c r="L27" s="11">
        <f t="shared" si="8"/>
        <v>23</v>
      </c>
      <c r="M27" s="10">
        <v>15</v>
      </c>
      <c r="N27" s="10"/>
      <c r="O27" s="10">
        <f t="shared" si="2"/>
        <v>15</v>
      </c>
      <c r="P27" s="10"/>
      <c r="Q27" s="10">
        <f t="shared" si="3"/>
        <v>15</v>
      </c>
      <c r="R27" s="10"/>
      <c r="S27" s="10">
        <f t="shared" si="4"/>
        <v>7.5</v>
      </c>
      <c r="T27" s="10" t="s">
        <v>19</v>
      </c>
      <c r="U27" s="45"/>
      <c r="V27" s="242"/>
      <c r="W27" s="243"/>
      <c r="X27" s="243"/>
      <c r="Y27" s="244"/>
    </row>
    <row r="28" spans="1:25" ht="15" customHeight="1">
      <c r="A28" s="238">
        <f t="shared" si="5"/>
        <v>27</v>
      </c>
      <c r="B28" s="7"/>
      <c r="C28" s="7"/>
      <c r="D28" s="7"/>
      <c r="E28" s="8">
        <v>45053</v>
      </c>
      <c r="F28" s="38" t="s">
        <v>106</v>
      </c>
      <c r="G28" s="10">
        <v>12</v>
      </c>
      <c r="H28" s="10"/>
      <c r="I28" s="10">
        <f t="shared" si="0"/>
        <v>12</v>
      </c>
      <c r="J28" s="8">
        <v>45076</v>
      </c>
      <c r="K28" s="7">
        <f t="shared" si="1"/>
        <v>5</v>
      </c>
      <c r="L28" s="11">
        <f t="shared" si="8"/>
        <v>23</v>
      </c>
      <c r="M28" s="10">
        <v>50</v>
      </c>
      <c r="N28" s="10">
        <v>10</v>
      </c>
      <c r="O28" s="10">
        <f t="shared" si="2"/>
        <v>60</v>
      </c>
      <c r="P28" s="10">
        <v>6.35</v>
      </c>
      <c r="Q28" s="10">
        <f t="shared" si="3"/>
        <v>53.65</v>
      </c>
      <c r="R28" s="10">
        <v>2.99</v>
      </c>
      <c r="S28" s="10">
        <f t="shared" si="4"/>
        <v>38.659999999999997</v>
      </c>
      <c r="T28" s="10" t="s">
        <v>16</v>
      </c>
      <c r="U28" s="45"/>
      <c r="V28" s="242"/>
      <c r="W28" s="243"/>
      <c r="X28" s="243"/>
      <c r="Y28" s="244"/>
    </row>
    <row r="29" spans="1:25" ht="15" customHeight="1">
      <c r="A29" s="238">
        <f t="shared" si="5"/>
        <v>28</v>
      </c>
      <c r="B29" s="7"/>
      <c r="C29" s="7"/>
      <c r="D29" s="7"/>
      <c r="E29" s="8">
        <v>45067</v>
      </c>
      <c r="F29" s="38" t="s">
        <v>106</v>
      </c>
      <c r="G29" s="10">
        <v>8</v>
      </c>
      <c r="H29" s="10"/>
      <c r="I29" s="10">
        <f t="shared" si="0"/>
        <v>8</v>
      </c>
      <c r="J29" s="8">
        <v>45078</v>
      </c>
      <c r="K29" s="7">
        <f t="shared" si="1"/>
        <v>6</v>
      </c>
      <c r="L29" s="11">
        <f t="shared" si="8"/>
        <v>11</v>
      </c>
      <c r="M29" s="10">
        <v>80</v>
      </c>
      <c r="N29" s="10"/>
      <c r="O29" s="10">
        <f t="shared" si="2"/>
        <v>80</v>
      </c>
      <c r="P29" s="10"/>
      <c r="Q29" s="10">
        <f t="shared" si="3"/>
        <v>80</v>
      </c>
      <c r="R29" s="10"/>
      <c r="S29" s="10">
        <f t="shared" si="4"/>
        <v>72</v>
      </c>
      <c r="T29" s="10" t="s">
        <v>19</v>
      </c>
      <c r="U29" s="45"/>
      <c r="V29" s="242"/>
      <c r="W29" s="243"/>
      <c r="X29" s="243"/>
      <c r="Y29" s="244"/>
    </row>
    <row r="30" spans="1:25" ht="15" customHeight="1">
      <c r="A30" s="238">
        <f t="shared" si="5"/>
        <v>29</v>
      </c>
      <c r="B30" s="7"/>
      <c r="C30" s="7"/>
      <c r="D30" s="7"/>
      <c r="E30" s="8">
        <v>45075</v>
      </c>
      <c r="F30" s="38" t="s">
        <v>106</v>
      </c>
      <c r="G30" s="10">
        <v>15</v>
      </c>
      <c r="H30" s="10"/>
      <c r="I30" s="10">
        <f t="shared" si="0"/>
        <v>15</v>
      </c>
      <c r="J30" s="8">
        <v>45081</v>
      </c>
      <c r="K30" s="7">
        <f t="shared" si="1"/>
        <v>6</v>
      </c>
      <c r="L30" s="11">
        <f t="shared" si="8"/>
        <v>6</v>
      </c>
      <c r="M30" s="10">
        <v>60</v>
      </c>
      <c r="N30" s="10"/>
      <c r="O30" s="10">
        <f t="shared" si="2"/>
        <v>60</v>
      </c>
      <c r="P30" s="10"/>
      <c r="Q30" s="10">
        <f t="shared" si="3"/>
        <v>60</v>
      </c>
      <c r="R30" s="10"/>
      <c r="S30" s="10">
        <f t="shared" si="4"/>
        <v>45</v>
      </c>
      <c r="T30" s="10" t="s">
        <v>19</v>
      </c>
      <c r="U30" s="45"/>
      <c r="V30" s="242"/>
      <c r="W30" s="243"/>
      <c r="X30" s="243"/>
      <c r="Y30" s="244"/>
    </row>
    <row r="31" spans="1:25" ht="15" customHeight="1">
      <c r="A31" s="238">
        <f t="shared" si="5"/>
        <v>30</v>
      </c>
      <c r="B31" s="7"/>
      <c r="C31" s="7"/>
      <c r="D31" s="7"/>
      <c r="E31" s="8">
        <v>45075</v>
      </c>
      <c r="F31" s="38" t="s">
        <v>106</v>
      </c>
      <c r="G31" s="10">
        <v>45</v>
      </c>
      <c r="H31" s="10"/>
      <c r="I31" s="10">
        <f t="shared" si="0"/>
        <v>45</v>
      </c>
      <c r="J31" s="8">
        <v>45081</v>
      </c>
      <c r="K31" s="7">
        <f t="shared" si="1"/>
        <v>6</v>
      </c>
      <c r="L31" s="11">
        <f t="shared" si="8"/>
        <v>6</v>
      </c>
      <c r="M31" s="10">
        <v>120</v>
      </c>
      <c r="N31" s="10"/>
      <c r="O31" s="10">
        <f t="shared" si="2"/>
        <v>120</v>
      </c>
      <c r="P31" s="10"/>
      <c r="Q31" s="10">
        <f t="shared" si="3"/>
        <v>120</v>
      </c>
      <c r="R31" s="10"/>
      <c r="S31" s="10">
        <f t="shared" si="4"/>
        <v>75</v>
      </c>
      <c r="T31" s="10" t="s">
        <v>19</v>
      </c>
      <c r="U31" s="45"/>
      <c r="V31" s="251"/>
      <c r="W31" s="243"/>
      <c r="X31" s="243"/>
      <c r="Y31" s="244"/>
    </row>
    <row r="32" spans="1:25" ht="15" customHeight="1">
      <c r="A32" s="238">
        <f t="shared" si="5"/>
        <v>31</v>
      </c>
      <c r="B32" s="7"/>
      <c r="C32" s="7"/>
      <c r="D32" s="7"/>
      <c r="E32" s="8">
        <v>45081</v>
      </c>
      <c r="F32" s="38" t="s">
        <v>106</v>
      </c>
      <c r="G32" s="10">
        <v>10</v>
      </c>
      <c r="H32" s="10"/>
      <c r="I32" s="10">
        <f t="shared" si="0"/>
        <v>10</v>
      </c>
      <c r="J32" s="8">
        <v>45082</v>
      </c>
      <c r="K32" s="7">
        <f t="shared" si="1"/>
        <v>6</v>
      </c>
      <c r="L32" s="11">
        <f t="shared" si="8"/>
        <v>1</v>
      </c>
      <c r="M32" s="10">
        <v>70</v>
      </c>
      <c r="N32" s="10"/>
      <c r="O32" s="10">
        <f t="shared" si="2"/>
        <v>70</v>
      </c>
      <c r="P32" s="10"/>
      <c r="Q32" s="10">
        <f t="shared" si="3"/>
        <v>70</v>
      </c>
      <c r="R32" s="10"/>
      <c r="S32" s="10">
        <f t="shared" si="4"/>
        <v>60</v>
      </c>
      <c r="T32" s="10" t="s">
        <v>19</v>
      </c>
      <c r="U32" s="45"/>
      <c r="V32" s="251"/>
      <c r="W32" s="243"/>
      <c r="X32" s="243"/>
      <c r="Y32" s="244"/>
    </row>
    <row r="33" spans="1:27" ht="15" customHeight="1">
      <c r="A33" s="238">
        <f t="shared" si="5"/>
        <v>32</v>
      </c>
      <c r="B33" s="7"/>
      <c r="C33" s="7"/>
      <c r="D33" s="7"/>
      <c r="E33" s="8">
        <v>45075</v>
      </c>
      <c r="F33" s="38" t="s">
        <v>106</v>
      </c>
      <c r="G33" s="10">
        <v>10</v>
      </c>
      <c r="H33" s="10"/>
      <c r="I33" s="10">
        <f t="shared" si="0"/>
        <v>10</v>
      </c>
      <c r="J33" s="8">
        <v>45083</v>
      </c>
      <c r="K33" s="7">
        <f t="shared" si="1"/>
        <v>6</v>
      </c>
      <c r="L33" s="11">
        <f t="shared" si="8"/>
        <v>8</v>
      </c>
      <c r="M33" s="10">
        <v>130</v>
      </c>
      <c r="N33" s="10">
        <v>10</v>
      </c>
      <c r="O33" s="10">
        <f t="shared" si="2"/>
        <v>140</v>
      </c>
      <c r="P33" s="10">
        <v>14.35</v>
      </c>
      <c r="Q33" s="10">
        <f t="shared" si="3"/>
        <v>125.65</v>
      </c>
      <c r="R33" s="10">
        <v>3.49</v>
      </c>
      <c r="S33" s="10">
        <f t="shared" si="4"/>
        <v>112.16000000000001</v>
      </c>
      <c r="T33" s="10" t="s">
        <v>16</v>
      </c>
      <c r="U33" s="45"/>
      <c r="V33" s="251"/>
      <c r="W33" s="243"/>
      <c r="X33" s="243"/>
      <c r="Y33" s="244"/>
    </row>
    <row r="34" spans="1:27" ht="15" customHeight="1">
      <c r="A34" s="238">
        <f t="shared" si="5"/>
        <v>33</v>
      </c>
      <c r="B34" s="7"/>
      <c r="C34" s="7"/>
      <c r="D34" s="7"/>
      <c r="E34" s="8">
        <v>45059</v>
      </c>
      <c r="F34" s="38" t="s">
        <v>106</v>
      </c>
      <c r="G34" s="10">
        <v>5</v>
      </c>
      <c r="H34" s="10"/>
      <c r="I34" s="10">
        <f t="shared" si="0"/>
        <v>5</v>
      </c>
      <c r="J34" s="8">
        <v>45083</v>
      </c>
      <c r="K34" s="7">
        <f t="shared" si="1"/>
        <v>6</v>
      </c>
      <c r="L34" s="11">
        <f t="shared" si="8"/>
        <v>24</v>
      </c>
      <c r="M34" s="10">
        <v>15</v>
      </c>
      <c r="N34" s="10"/>
      <c r="O34" s="10">
        <f t="shared" si="2"/>
        <v>15</v>
      </c>
      <c r="P34" s="10"/>
      <c r="Q34" s="10">
        <f t="shared" si="3"/>
        <v>15</v>
      </c>
      <c r="R34" s="10"/>
      <c r="S34" s="10">
        <f t="shared" si="4"/>
        <v>10</v>
      </c>
      <c r="T34" s="10" t="s">
        <v>19</v>
      </c>
      <c r="U34" s="45"/>
      <c r="V34" s="251"/>
      <c r="W34" s="243"/>
      <c r="X34" s="243"/>
      <c r="Y34" s="244"/>
    </row>
    <row r="35" spans="1:27" ht="15" customHeight="1">
      <c r="A35" s="238">
        <f t="shared" si="5"/>
        <v>34</v>
      </c>
      <c r="B35" s="7"/>
      <c r="C35" s="7"/>
      <c r="D35" s="7"/>
      <c r="E35" s="8">
        <v>45046</v>
      </c>
      <c r="F35" s="38" t="s">
        <v>106</v>
      </c>
      <c r="G35" s="10">
        <v>5</v>
      </c>
      <c r="H35" s="10"/>
      <c r="I35" s="10">
        <f t="shared" si="0"/>
        <v>5</v>
      </c>
      <c r="J35" s="8">
        <v>45083</v>
      </c>
      <c r="K35" s="7">
        <f t="shared" si="1"/>
        <v>6</v>
      </c>
      <c r="L35" s="11">
        <f t="shared" si="8"/>
        <v>37</v>
      </c>
      <c r="M35" s="10">
        <v>30</v>
      </c>
      <c r="N35" s="10">
        <v>10</v>
      </c>
      <c r="O35" s="10">
        <f t="shared" si="2"/>
        <v>40</v>
      </c>
      <c r="P35" s="10">
        <v>3.35</v>
      </c>
      <c r="Q35" s="10">
        <f t="shared" si="3"/>
        <v>36.65</v>
      </c>
      <c r="R35" s="10">
        <v>2.99</v>
      </c>
      <c r="S35" s="10">
        <f t="shared" si="4"/>
        <v>28.659999999999997</v>
      </c>
      <c r="T35" s="10" t="s">
        <v>16</v>
      </c>
      <c r="U35" s="45"/>
      <c r="V35" s="17"/>
      <c r="W35" s="243"/>
      <c r="X35" s="243"/>
      <c r="Y35" s="244"/>
    </row>
    <row r="36" spans="1:27" ht="15" customHeight="1">
      <c r="A36" s="238">
        <f t="shared" si="5"/>
        <v>35</v>
      </c>
      <c r="B36" s="7"/>
      <c r="C36" s="7"/>
      <c r="D36" s="7"/>
      <c r="E36" s="8">
        <v>45074</v>
      </c>
      <c r="F36" s="38" t="s">
        <v>106</v>
      </c>
      <c r="G36" s="10">
        <v>5</v>
      </c>
      <c r="H36" s="10"/>
      <c r="I36" s="10">
        <f t="shared" si="0"/>
        <v>5</v>
      </c>
      <c r="J36" s="8">
        <v>45087</v>
      </c>
      <c r="K36" s="7">
        <f t="shared" si="1"/>
        <v>6</v>
      </c>
      <c r="L36" s="11">
        <f t="shared" si="8"/>
        <v>13</v>
      </c>
      <c r="M36" s="10">
        <v>20</v>
      </c>
      <c r="N36" s="10">
        <v>10</v>
      </c>
      <c r="O36" s="10">
        <f t="shared" si="2"/>
        <v>30</v>
      </c>
      <c r="P36" s="10">
        <v>3.35</v>
      </c>
      <c r="Q36" s="10">
        <f t="shared" si="3"/>
        <v>26.65</v>
      </c>
      <c r="R36" s="10">
        <v>2.99</v>
      </c>
      <c r="S36" s="10">
        <f t="shared" si="4"/>
        <v>18.659999999999997</v>
      </c>
      <c r="T36" s="10" t="s">
        <v>16</v>
      </c>
      <c r="U36" s="367"/>
      <c r="V36" s="17"/>
      <c r="W36" s="243"/>
      <c r="X36" s="14"/>
      <c r="Y36" s="45"/>
      <c r="Z36" s="238"/>
      <c r="AA36" s="238"/>
    </row>
    <row r="37" spans="1:27" ht="15" customHeight="1">
      <c r="A37" s="238">
        <f t="shared" si="5"/>
        <v>36</v>
      </c>
      <c r="B37" s="7"/>
      <c r="C37" s="7"/>
      <c r="D37" s="7"/>
      <c r="E37" s="8">
        <v>45081</v>
      </c>
      <c r="F37" s="38" t="s">
        <v>106</v>
      </c>
      <c r="G37" s="10">
        <v>7.5</v>
      </c>
      <c r="H37" s="10"/>
      <c r="I37" s="10">
        <f t="shared" si="0"/>
        <v>7.5</v>
      </c>
      <c r="J37" s="8">
        <v>45089</v>
      </c>
      <c r="K37" s="7">
        <f t="shared" si="1"/>
        <v>6</v>
      </c>
      <c r="L37" s="11">
        <f t="shared" si="8"/>
        <v>8</v>
      </c>
      <c r="M37" s="10">
        <v>50</v>
      </c>
      <c r="N37" s="10">
        <v>15</v>
      </c>
      <c r="O37" s="10">
        <f t="shared" si="2"/>
        <v>65</v>
      </c>
      <c r="P37" s="10">
        <v>6.85</v>
      </c>
      <c r="Q37" s="10">
        <f t="shared" si="3"/>
        <v>58.15</v>
      </c>
      <c r="R37" s="10">
        <v>6</v>
      </c>
      <c r="S37" s="10">
        <f t="shared" si="4"/>
        <v>44.65</v>
      </c>
      <c r="T37" s="10" t="s">
        <v>16</v>
      </c>
      <c r="U37" s="45"/>
      <c r="V37" s="17"/>
      <c r="W37" s="243"/>
      <c r="X37" s="14"/>
      <c r="Y37" s="45"/>
      <c r="Z37" s="238"/>
      <c r="AA37" s="238"/>
    </row>
    <row r="38" spans="1:27" ht="15" customHeight="1">
      <c r="A38" s="238">
        <f t="shared" si="5"/>
        <v>37</v>
      </c>
      <c r="B38" s="7"/>
      <c r="C38" s="7"/>
      <c r="D38" s="7"/>
      <c r="E38" s="8">
        <v>45088</v>
      </c>
      <c r="F38" s="38" t="s">
        <v>106</v>
      </c>
      <c r="G38" s="10">
        <v>20</v>
      </c>
      <c r="H38" s="10"/>
      <c r="I38" s="10">
        <f t="shared" si="0"/>
        <v>20</v>
      </c>
      <c r="J38" s="8">
        <v>45090</v>
      </c>
      <c r="K38" s="7">
        <f t="shared" si="1"/>
        <v>6</v>
      </c>
      <c r="L38" s="11">
        <f t="shared" si="8"/>
        <v>2</v>
      </c>
      <c r="M38" s="10">
        <v>80</v>
      </c>
      <c r="N38" s="10">
        <v>10</v>
      </c>
      <c r="O38" s="10">
        <f t="shared" si="2"/>
        <v>90</v>
      </c>
      <c r="P38" s="10">
        <v>9.85</v>
      </c>
      <c r="Q38" s="10">
        <f t="shared" si="3"/>
        <v>80.150000000000006</v>
      </c>
      <c r="R38" s="10">
        <v>7.39</v>
      </c>
      <c r="S38" s="10">
        <f t="shared" si="4"/>
        <v>52.760000000000005</v>
      </c>
      <c r="T38" s="10" t="s">
        <v>16</v>
      </c>
      <c r="U38" s="252"/>
      <c r="V38" s="253"/>
      <c r="W38" s="243"/>
      <c r="X38" s="19"/>
      <c r="Y38" s="252"/>
      <c r="Z38" s="18"/>
      <c r="AA38" s="18"/>
    </row>
    <row r="39" spans="1:27" ht="15" customHeight="1">
      <c r="A39" s="238">
        <f t="shared" si="5"/>
        <v>38</v>
      </c>
      <c r="B39" s="7"/>
      <c r="C39" s="7"/>
      <c r="D39" s="7"/>
      <c r="E39" s="8">
        <v>45088</v>
      </c>
      <c r="F39" s="38" t="s">
        <v>106</v>
      </c>
      <c r="G39" s="10">
        <v>7.5</v>
      </c>
      <c r="H39" s="10"/>
      <c r="I39" s="10">
        <f t="shared" si="0"/>
        <v>7.5</v>
      </c>
      <c r="J39" s="8">
        <v>45091</v>
      </c>
      <c r="K39" s="7">
        <f t="shared" si="1"/>
        <v>6</v>
      </c>
      <c r="L39" s="11">
        <f t="shared" si="8"/>
        <v>3</v>
      </c>
      <c r="M39" s="10">
        <v>100</v>
      </c>
      <c r="N39" s="10"/>
      <c r="O39" s="10">
        <f t="shared" si="2"/>
        <v>100</v>
      </c>
      <c r="P39" s="10"/>
      <c r="Q39" s="10">
        <f t="shared" si="3"/>
        <v>100</v>
      </c>
      <c r="R39" s="10"/>
      <c r="S39" s="10">
        <f t="shared" si="4"/>
        <v>92.5</v>
      </c>
      <c r="T39" s="10" t="s">
        <v>96</v>
      </c>
      <c r="U39" s="45"/>
      <c r="V39" s="17"/>
      <c r="W39" s="243"/>
      <c r="X39" s="14"/>
      <c r="Y39" s="45"/>
      <c r="Z39" s="238"/>
      <c r="AA39" s="238"/>
    </row>
    <row r="40" spans="1:27" ht="15" customHeight="1">
      <c r="A40" s="238">
        <f t="shared" si="5"/>
        <v>39</v>
      </c>
      <c r="B40" s="7"/>
      <c r="C40" s="7"/>
      <c r="D40" s="7"/>
      <c r="E40" s="8">
        <v>45075</v>
      </c>
      <c r="F40" s="38" t="s">
        <v>106</v>
      </c>
      <c r="G40" s="10">
        <v>7</v>
      </c>
      <c r="H40" s="10"/>
      <c r="I40" s="10">
        <f t="shared" si="0"/>
        <v>7</v>
      </c>
      <c r="J40" s="8">
        <v>45092</v>
      </c>
      <c r="K40" s="7">
        <f t="shared" si="1"/>
        <v>6</v>
      </c>
      <c r="L40" s="11">
        <f t="shared" si="8"/>
        <v>17</v>
      </c>
      <c r="M40" s="10">
        <v>50</v>
      </c>
      <c r="N40" s="10">
        <v>10</v>
      </c>
      <c r="O40" s="10">
        <f t="shared" si="2"/>
        <v>60</v>
      </c>
      <c r="P40" s="10">
        <v>6.35</v>
      </c>
      <c r="Q40" s="10">
        <f t="shared" si="3"/>
        <v>53.65</v>
      </c>
      <c r="R40" s="10">
        <v>2.99</v>
      </c>
      <c r="S40" s="10">
        <f t="shared" si="4"/>
        <v>43.66</v>
      </c>
      <c r="T40" s="10" t="s">
        <v>16</v>
      </c>
      <c r="U40" s="45"/>
      <c r="V40" s="17"/>
      <c r="W40" s="243"/>
      <c r="X40" s="14"/>
      <c r="Y40" s="45"/>
      <c r="Z40" s="238"/>
      <c r="AA40" s="238"/>
    </row>
    <row r="41" spans="1:27" ht="15" customHeight="1">
      <c r="A41" s="238">
        <f t="shared" si="5"/>
        <v>40</v>
      </c>
      <c r="B41" s="7"/>
      <c r="C41" s="7"/>
      <c r="D41" s="7"/>
      <c r="E41" s="8">
        <v>45081</v>
      </c>
      <c r="F41" s="38" t="s">
        <v>106</v>
      </c>
      <c r="G41" s="10">
        <v>5</v>
      </c>
      <c r="H41" s="10"/>
      <c r="I41" s="10">
        <f t="shared" si="0"/>
        <v>5</v>
      </c>
      <c r="J41" s="8">
        <v>45092</v>
      </c>
      <c r="K41" s="7">
        <f t="shared" si="1"/>
        <v>6</v>
      </c>
      <c r="L41" s="11">
        <f t="shared" si="8"/>
        <v>11</v>
      </c>
      <c r="M41" s="10">
        <v>20</v>
      </c>
      <c r="N41" s="10"/>
      <c r="O41" s="10">
        <f t="shared" si="2"/>
        <v>20</v>
      </c>
      <c r="P41" s="10"/>
      <c r="Q41" s="10">
        <f t="shared" si="3"/>
        <v>20</v>
      </c>
      <c r="R41" s="10"/>
      <c r="S41" s="10">
        <f t="shared" si="4"/>
        <v>15</v>
      </c>
      <c r="T41" s="10" t="s">
        <v>96</v>
      </c>
      <c r="U41" s="45"/>
      <c r="V41" s="17"/>
      <c r="W41" s="243"/>
      <c r="X41" s="14"/>
      <c r="Y41" s="45"/>
      <c r="Z41" s="238"/>
      <c r="AA41" s="238"/>
    </row>
    <row r="42" spans="1:27" ht="15" customHeight="1">
      <c r="A42" s="238">
        <f t="shared" si="5"/>
        <v>41</v>
      </c>
      <c r="B42" s="7"/>
      <c r="C42" s="7"/>
      <c r="D42" s="7"/>
      <c r="E42" s="8">
        <v>45088</v>
      </c>
      <c r="F42" s="38" t="s">
        <v>106</v>
      </c>
      <c r="G42" s="10">
        <v>5</v>
      </c>
      <c r="H42" s="10"/>
      <c r="I42" s="10">
        <f t="shared" si="0"/>
        <v>5</v>
      </c>
      <c r="J42" s="8">
        <v>45092</v>
      </c>
      <c r="K42" s="7">
        <f t="shared" si="1"/>
        <v>6</v>
      </c>
      <c r="L42" s="11">
        <f t="shared" si="8"/>
        <v>4</v>
      </c>
      <c r="M42" s="10">
        <v>10</v>
      </c>
      <c r="N42" s="10"/>
      <c r="O42" s="10">
        <f t="shared" si="2"/>
        <v>10</v>
      </c>
      <c r="P42" s="10"/>
      <c r="Q42" s="10">
        <f t="shared" si="3"/>
        <v>10</v>
      </c>
      <c r="R42" s="10"/>
      <c r="S42" s="10">
        <f t="shared" si="4"/>
        <v>5</v>
      </c>
      <c r="T42" s="10" t="s">
        <v>96</v>
      </c>
      <c r="U42" s="45"/>
      <c r="V42" s="17"/>
      <c r="W42" s="243"/>
      <c r="X42" s="14"/>
      <c r="Y42" s="45"/>
      <c r="Z42" s="238"/>
      <c r="AA42" s="238"/>
    </row>
    <row r="43" spans="1:27" ht="15" customHeight="1">
      <c r="A43" s="238">
        <f t="shared" si="5"/>
        <v>42</v>
      </c>
      <c r="B43" s="7"/>
      <c r="C43" s="7"/>
      <c r="D43" s="7"/>
      <c r="E43" s="8">
        <v>45081</v>
      </c>
      <c r="F43" s="38" t="s">
        <v>106</v>
      </c>
      <c r="G43" s="10">
        <v>12</v>
      </c>
      <c r="H43" s="10"/>
      <c r="I43" s="10">
        <f t="shared" si="0"/>
        <v>12</v>
      </c>
      <c r="J43" s="8">
        <v>45096</v>
      </c>
      <c r="K43" s="7">
        <f t="shared" si="1"/>
        <v>6</v>
      </c>
      <c r="L43" s="11">
        <f t="shared" si="8"/>
        <v>15</v>
      </c>
      <c r="M43" s="10">
        <v>20</v>
      </c>
      <c r="N43" s="10">
        <v>10</v>
      </c>
      <c r="O43" s="10">
        <f t="shared" si="2"/>
        <v>30</v>
      </c>
      <c r="P43" s="10">
        <v>3.35</v>
      </c>
      <c r="Q43" s="10">
        <f t="shared" si="3"/>
        <v>26.65</v>
      </c>
      <c r="R43" s="10">
        <v>2.99</v>
      </c>
      <c r="S43" s="10">
        <f t="shared" si="4"/>
        <v>11.659999999999998</v>
      </c>
      <c r="T43" s="10" t="s">
        <v>16</v>
      </c>
      <c r="U43" s="45"/>
      <c r="V43" s="17"/>
      <c r="W43" s="243"/>
      <c r="X43" s="14"/>
      <c r="Y43" s="45"/>
      <c r="Z43" s="238"/>
      <c r="AA43" s="238"/>
    </row>
    <row r="44" spans="1:27" ht="15" customHeight="1">
      <c r="A44" s="238">
        <f t="shared" si="5"/>
        <v>43</v>
      </c>
      <c r="B44" s="7"/>
      <c r="C44" s="7"/>
      <c r="D44" s="7"/>
      <c r="E44" s="8">
        <v>45081</v>
      </c>
      <c r="F44" s="38" t="s">
        <v>106</v>
      </c>
      <c r="G44" s="10">
        <v>8</v>
      </c>
      <c r="H44" s="10"/>
      <c r="I44" s="10">
        <f t="shared" si="0"/>
        <v>8</v>
      </c>
      <c r="J44" s="8">
        <v>45099</v>
      </c>
      <c r="K44" s="7">
        <f t="shared" si="1"/>
        <v>6</v>
      </c>
      <c r="L44" s="11">
        <f t="shared" si="8"/>
        <v>18</v>
      </c>
      <c r="M44" s="10">
        <v>50</v>
      </c>
      <c r="N44" s="10">
        <v>10</v>
      </c>
      <c r="O44" s="10">
        <f t="shared" si="2"/>
        <v>60</v>
      </c>
      <c r="P44" s="10">
        <v>6.35</v>
      </c>
      <c r="Q44" s="10">
        <f t="shared" si="3"/>
        <v>53.65</v>
      </c>
      <c r="R44" s="10">
        <v>2.99</v>
      </c>
      <c r="S44" s="10">
        <f t="shared" si="4"/>
        <v>42.66</v>
      </c>
      <c r="T44" s="10" t="s">
        <v>16</v>
      </c>
      <c r="U44" s="45"/>
      <c r="V44" s="17"/>
      <c r="W44" s="243"/>
      <c r="X44" s="14"/>
      <c r="Y44" s="45"/>
      <c r="Z44" s="238"/>
      <c r="AA44" s="238"/>
    </row>
    <row r="45" spans="1:27" ht="15" customHeight="1">
      <c r="A45" s="238">
        <f t="shared" si="5"/>
        <v>44</v>
      </c>
      <c r="B45" s="7"/>
      <c r="C45" s="7"/>
      <c r="D45" s="7"/>
      <c r="E45" s="8">
        <v>45095</v>
      </c>
      <c r="F45" s="38" t="s">
        <v>106</v>
      </c>
      <c r="G45" s="10">
        <v>25</v>
      </c>
      <c r="H45" s="10"/>
      <c r="I45" s="10">
        <f t="shared" si="0"/>
        <v>25</v>
      </c>
      <c r="J45" s="8">
        <v>45099</v>
      </c>
      <c r="K45" s="7">
        <f t="shared" si="1"/>
        <v>6</v>
      </c>
      <c r="L45" s="11">
        <f t="shared" si="8"/>
        <v>4</v>
      </c>
      <c r="M45" s="10">
        <v>80</v>
      </c>
      <c r="N45" s="10">
        <v>10</v>
      </c>
      <c r="O45" s="10">
        <f t="shared" si="2"/>
        <v>90</v>
      </c>
      <c r="P45" s="10">
        <v>9.35</v>
      </c>
      <c r="Q45" s="10">
        <f t="shared" si="3"/>
        <v>80.650000000000006</v>
      </c>
      <c r="R45" s="10">
        <v>7.39</v>
      </c>
      <c r="S45" s="10">
        <f t="shared" si="4"/>
        <v>48.260000000000005</v>
      </c>
      <c r="T45" s="10" t="s">
        <v>16</v>
      </c>
      <c r="U45" s="45"/>
      <c r="V45" s="17"/>
      <c r="W45" s="243"/>
      <c r="X45" s="14"/>
      <c r="Y45" s="45"/>
      <c r="Z45" s="238"/>
      <c r="AA45" s="238"/>
    </row>
    <row r="46" spans="1:27" ht="15" customHeight="1">
      <c r="A46" s="238">
        <f t="shared" si="5"/>
        <v>45</v>
      </c>
      <c r="B46" s="7"/>
      <c r="C46" s="7"/>
      <c r="D46" s="7"/>
      <c r="E46" s="8">
        <v>45095</v>
      </c>
      <c r="F46" s="38" t="s">
        <v>106</v>
      </c>
      <c r="G46" s="10">
        <v>12.5</v>
      </c>
      <c r="H46" s="10"/>
      <c r="I46" s="10">
        <f t="shared" si="0"/>
        <v>12.5</v>
      </c>
      <c r="J46" s="8">
        <v>45099</v>
      </c>
      <c r="K46" s="7">
        <f t="shared" si="1"/>
        <v>6</v>
      </c>
      <c r="L46" s="11">
        <f t="shared" si="8"/>
        <v>4</v>
      </c>
      <c r="M46" s="10">
        <v>60</v>
      </c>
      <c r="N46" s="10">
        <v>20</v>
      </c>
      <c r="O46" s="10">
        <f t="shared" si="2"/>
        <v>80</v>
      </c>
      <c r="P46" s="10">
        <v>9.15</v>
      </c>
      <c r="Q46" s="10">
        <f t="shared" si="3"/>
        <v>70.849999999999994</v>
      </c>
      <c r="R46" s="10">
        <v>11.79</v>
      </c>
      <c r="S46" s="10">
        <f t="shared" si="4"/>
        <v>46.559999999999995</v>
      </c>
      <c r="T46" s="10" t="s">
        <v>16</v>
      </c>
      <c r="U46" s="45"/>
      <c r="V46" s="17"/>
      <c r="W46" s="243"/>
      <c r="X46" s="14"/>
      <c r="Y46" s="45"/>
      <c r="Z46" s="238"/>
      <c r="AA46" s="238"/>
    </row>
    <row r="47" spans="1:27" ht="15" customHeight="1">
      <c r="A47" s="238">
        <f t="shared" si="5"/>
        <v>46</v>
      </c>
      <c r="B47" s="7"/>
      <c r="C47" s="7"/>
      <c r="D47" s="7"/>
      <c r="E47" s="8">
        <v>45095</v>
      </c>
      <c r="F47" s="38" t="s">
        <v>106</v>
      </c>
      <c r="G47" s="10">
        <v>0</v>
      </c>
      <c r="H47" s="10"/>
      <c r="I47" s="10">
        <f t="shared" si="0"/>
        <v>0</v>
      </c>
      <c r="J47" s="8">
        <v>45099</v>
      </c>
      <c r="K47" s="7">
        <f t="shared" si="1"/>
        <v>6</v>
      </c>
      <c r="L47" s="11">
        <f t="shared" si="8"/>
        <v>4</v>
      </c>
      <c r="M47" s="10">
        <v>8</v>
      </c>
      <c r="N47" s="10"/>
      <c r="O47" s="10">
        <f t="shared" si="2"/>
        <v>8</v>
      </c>
      <c r="P47" s="10"/>
      <c r="Q47" s="10">
        <f t="shared" si="3"/>
        <v>8</v>
      </c>
      <c r="R47" s="10"/>
      <c r="S47" s="10">
        <f t="shared" si="4"/>
        <v>8</v>
      </c>
      <c r="T47" s="10" t="s">
        <v>16</v>
      </c>
      <c r="U47" s="45"/>
      <c r="V47" s="17"/>
      <c r="W47" s="243"/>
      <c r="X47" s="14"/>
      <c r="Y47" s="45"/>
      <c r="Z47" s="238"/>
      <c r="AA47" s="238"/>
    </row>
    <row r="48" spans="1:27" ht="15" customHeight="1">
      <c r="A48" s="238">
        <f t="shared" si="5"/>
        <v>47</v>
      </c>
      <c r="B48" s="7"/>
      <c r="C48" s="7"/>
      <c r="D48" s="7"/>
      <c r="E48" s="8">
        <v>45075</v>
      </c>
      <c r="F48" s="38" t="s">
        <v>106</v>
      </c>
      <c r="G48" s="10">
        <v>15</v>
      </c>
      <c r="H48" s="10"/>
      <c r="I48" s="10">
        <f t="shared" si="0"/>
        <v>15</v>
      </c>
      <c r="J48" s="8">
        <v>45099</v>
      </c>
      <c r="K48" s="7">
        <f t="shared" si="1"/>
        <v>6</v>
      </c>
      <c r="L48" s="11">
        <f t="shared" si="8"/>
        <v>24</v>
      </c>
      <c r="M48" s="10">
        <v>60</v>
      </c>
      <c r="N48" s="10">
        <v>10</v>
      </c>
      <c r="O48" s="10">
        <f t="shared" si="2"/>
        <v>70</v>
      </c>
      <c r="P48" s="10">
        <v>7.35</v>
      </c>
      <c r="Q48" s="10">
        <f t="shared" si="3"/>
        <v>62.65</v>
      </c>
      <c r="R48" s="10">
        <v>2.99</v>
      </c>
      <c r="S48" s="10">
        <f t="shared" si="4"/>
        <v>44.66</v>
      </c>
      <c r="T48" s="10" t="s">
        <v>16</v>
      </c>
      <c r="U48" s="45"/>
      <c r="V48" s="17"/>
      <c r="W48" s="243"/>
      <c r="X48" s="14"/>
      <c r="Y48" s="45"/>
      <c r="Z48" s="238"/>
      <c r="AA48" s="238"/>
    </row>
    <row r="49" spans="1:27" ht="15" customHeight="1">
      <c r="A49" s="238">
        <f t="shared" si="5"/>
        <v>48</v>
      </c>
      <c r="B49" s="7"/>
      <c r="C49" s="7"/>
      <c r="D49" s="7"/>
      <c r="E49" s="8">
        <v>45075</v>
      </c>
      <c r="F49" s="38" t="s">
        <v>106</v>
      </c>
      <c r="G49" s="10">
        <v>15</v>
      </c>
      <c r="H49" s="10"/>
      <c r="I49" s="10">
        <f t="shared" si="0"/>
        <v>15</v>
      </c>
      <c r="J49" s="8">
        <v>45100</v>
      </c>
      <c r="K49" s="7">
        <f t="shared" si="1"/>
        <v>6</v>
      </c>
      <c r="L49" s="11">
        <f t="shared" si="8"/>
        <v>25</v>
      </c>
      <c r="M49" s="10">
        <v>55</v>
      </c>
      <c r="N49" s="10">
        <v>10</v>
      </c>
      <c r="O49" s="10">
        <f t="shared" si="2"/>
        <v>65</v>
      </c>
      <c r="P49" s="10">
        <v>6.85</v>
      </c>
      <c r="Q49" s="10">
        <f t="shared" si="3"/>
        <v>58.15</v>
      </c>
      <c r="R49" s="10">
        <v>2.99</v>
      </c>
      <c r="S49" s="10">
        <f t="shared" si="4"/>
        <v>40.159999999999997</v>
      </c>
      <c r="T49" s="10" t="s">
        <v>16</v>
      </c>
      <c r="U49" s="45"/>
      <c r="V49" s="17"/>
      <c r="W49" s="243"/>
      <c r="X49" s="14"/>
      <c r="Y49" s="45"/>
      <c r="Z49" s="238"/>
      <c r="AA49" s="238"/>
    </row>
    <row r="50" spans="1:27" ht="15" customHeight="1">
      <c r="A50" s="238">
        <f t="shared" si="5"/>
        <v>49</v>
      </c>
      <c r="B50" s="7"/>
      <c r="C50" s="7"/>
      <c r="D50" s="7"/>
      <c r="E50" s="8">
        <v>45081</v>
      </c>
      <c r="F50" s="38" t="s">
        <v>106</v>
      </c>
      <c r="G50" s="10">
        <v>10</v>
      </c>
      <c r="H50" s="10"/>
      <c r="I50" s="10">
        <f t="shared" si="0"/>
        <v>10</v>
      </c>
      <c r="J50" s="8">
        <v>45101</v>
      </c>
      <c r="K50" s="7">
        <f t="shared" si="1"/>
        <v>6</v>
      </c>
      <c r="L50" s="11">
        <f t="shared" si="8"/>
        <v>20</v>
      </c>
      <c r="M50" s="10">
        <v>50</v>
      </c>
      <c r="N50" s="10"/>
      <c r="O50" s="10">
        <f t="shared" si="2"/>
        <v>50</v>
      </c>
      <c r="P50" s="10"/>
      <c r="Q50" s="10">
        <f t="shared" si="3"/>
        <v>50</v>
      </c>
      <c r="R50" s="10"/>
      <c r="S50" s="10">
        <f t="shared" si="4"/>
        <v>40</v>
      </c>
      <c r="T50" s="10" t="s">
        <v>96</v>
      </c>
      <c r="U50" s="45"/>
      <c r="V50" s="17"/>
      <c r="W50" s="243"/>
      <c r="X50" s="14"/>
      <c r="Y50" s="45"/>
      <c r="Z50" s="238"/>
      <c r="AA50" s="238"/>
    </row>
    <row r="51" spans="1:27" ht="15" customHeight="1">
      <c r="A51" s="238">
        <f t="shared" si="5"/>
        <v>50</v>
      </c>
      <c r="B51" s="7"/>
      <c r="C51" s="7"/>
      <c r="D51" s="7"/>
      <c r="E51" s="8">
        <v>45088</v>
      </c>
      <c r="F51" s="38" t="s">
        <v>106</v>
      </c>
      <c r="G51" s="10">
        <v>10</v>
      </c>
      <c r="H51" s="10"/>
      <c r="I51" s="10">
        <f t="shared" si="0"/>
        <v>10</v>
      </c>
      <c r="J51" s="8">
        <v>45102</v>
      </c>
      <c r="K51" s="7">
        <f t="shared" si="1"/>
        <v>6</v>
      </c>
      <c r="L51" s="11">
        <f t="shared" si="8"/>
        <v>14</v>
      </c>
      <c r="M51" s="10">
        <v>45</v>
      </c>
      <c r="N51" s="10">
        <v>10</v>
      </c>
      <c r="O51" s="10">
        <f t="shared" si="2"/>
        <v>55</v>
      </c>
      <c r="P51" s="10">
        <v>5.85</v>
      </c>
      <c r="Q51" s="10">
        <f t="shared" si="3"/>
        <v>49.15</v>
      </c>
      <c r="R51" s="10">
        <v>2.99</v>
      </c>
      <c r="S51" s="10">
        <f t="shared" si="4"/>
        <v>36.159999999999997</v>
      </c>
      <c r="T51" s="10" t="s">
        <v>16</v>
      </c>
      <c r="U51" s="45"/>
      <c r="V51" s="17"/>
      <c r="W51" s="243"/>
      <c r="X51" s="14"/>
      <c r="Y51" s="45"/>
      <c r="Z51" s="238"/>
      <c r="AA51" s="238"/>
    </row>
    <row r="52" spans="1:27" ht="15" customHeight="1">
      <c r="A52" s="238">
        <f t="shared" si="5"/>
        <v>51</v>
      </c>
      <c r="B52" s="7"/>
      <c r="C52" s="7"/>
      <c r="D52" s="7"/>
      <c r="E52" s="8">
        <v>45075</v>
      </c>
      <c r="F52" s="38" t="s">
        <v>106</v>
      </c>
      <c r="G52" s="10">
        <v>5</v>
      </c>
      <c r="H52" s="10"/>
      <c r="I52" s="10">
        <f t="shared" si="0"/>
        <v>5</v>
      </c>
      <c r="J52" s="8">
        <v>45104</v>
      </c>
      <c r="K52" s="7">
        <f t="shared" si="1"/>
        <v>6</v>
      </c>
      <c r="L52" s="11">
        <f t="shared" si="8"/>
        <v>29</v>
      </c>
      <c r="M52" s="10">
        <v>50</v>
      </c>
      <c r="N52" s="10"/>
      <c r="O52" s="10">
        <f t="shared" si="2"/>
        <v>50</v>
      </c>
      <c r="P52" s="10"/>
      <c r="Q52" s="10">
        <f t="shared" si="3"/>
        <v>50</v>
      </c>
      <c r="R52" s="10"/>
      <c r="S52" s="10">
        <f t="shared" si="4"/>
        <v>45</v>
      </c>
      <c r="T52" s="10" t="s">
        <v>96</v>
      </c>
      <c r="U52" s="45"/>
      <c r="V52" s="17"/>
      <c r="W52" s="243"/>
      <c r="X52" s="14"/>
      <c r="Y52" s="45"/>
      <c r="Z52" s="238"/>
      <c r="AA52" s="238"/>
    </row>
    <row r="53" spans="1:27" ht="15" customHeight="1">
      <c r="A53" s="238">
        <f t="shared" si="5"/>
        <v>52</v>
      </c>
      <c r="B53" s="7"/>
      <c r="C53" s="7"/>
      <c r="D53" s="7"/>
      <c r="E53" s="8">
        <v>45081</v>
      </c>
      <c r="F53" s="38" t="s">
        <v>106</v>
      </c>
      <c r="G53" s="10">
        <v>7.5</v>
      </c>
      <c r="H53" s="10">
        <v>30</v>
      </c>
      <c r="I53" s="10">
        <f t="shared" si="0"/>
        <v>37.5</v>
      </c>
      <c r="J53" s="8">
        <v>45106</v>
      </c>
      <c r="K53" s="7">
        <f t="shared" si="1"/>
        <v>6</v>
      </c>
      <c r="L53" s="11">
        <f t="shared" si="8"/>
        <v>25</v>
      </c>
      <c r="M53" s="10">
        <v>50</v>
      </c>
      <c r="N53" s="10">
        <v>10</v>
      </c>
      <c r="O53" s="10">
        <f t="shared" si="2"/>
        <v>60</v>
      </c>
      <c r="P53" s="10">
        <v>6.35</v>
      </c>
      <c r="Q53" s="10">
        <f t="shared" si="3"/>
        <v>53.65</v>
      </c>
      <c r="R53" s="10">
        <v>2.99</v>
      </c>
      <c r="S53" s="10">
        <f t="shared" si="4"/>
        <v>13.159999999999998</v>
      </c>
      <c r="T53" s="10" t="s">
        <v>16</v>
      </c>
      <c r="U53" s="45"/>
      <c r="V53" s="17"/>
      <c r="W53" s="243"/>
      <c r="X53" s="14"/>
      <c r="Y53" s="45"/>
      <c r="Z53" s="238"/>
      <c r="AA53" s="238"/>
    </row>
    <row r="54" spans="1:27" ht="15" customHeight="1">
      <c r="A54" s="238">
        <f t="shared" si="5"/>
        <v>53</v>
      </c>
      <c r="B54" s="7"/>
      <c r="C54" s="7"/>
      <c r="D54" s="7"/>
      <c r="E54" s="8">
        <v>45095</v>
      </c>
      <c r="F54" s="38" t="s">
        <v>106</v>
      </c>
      <c r="G54" s="10">
        <v>12.5</v>
      </c>
      <c r="H54" s="10"/>
      <c r="I54" s="10">
        <f t="shared" si="0"/>
        <v>12.5</v>
      </c>
      <c r="J54" s="8">
        <v>45108</v>
      </c>
      <c r="K54" s="7">
        <f t="shared" si="1"/>
        <v>7</v>
      </c>
      <c r="L54" s="11">
        <f t="shared" si="8"/>
        <v>13</v>
      </c>
      <c r="M54" s="10">
        <v>60</v>
      </c>
      <c r="N54" s="10"/>
      <c r="O54" s="10">
        <f t="shared" si="2"/>
        <v>60</v>
      </c>
      <c r="P54" s="10"/>
      <c r="Q54" s="10">
        <f t="shared" si="3"/>
        <v>60</v>
      </c>
      <c r="R54" s="10"/>
      <c r="S54" s="10">
        <f t="shared" si="4"/>
        <v>47.5</v>
      </c>
      <c r="T54" s="10" t="s">
        <v>19</v>
      </c>
      <c r="U54" s="45"/>
      <c r="V54" s="17"/>
      <c r="W54" s="243"/>
      <c r="X54" s="14"/>
      <c r="Y54" s="45"/>
      <c r="Z54" s="238"/>
      <c r="AA54" s="238"/>
    </row>
    <row r="55" spans="1:27" ht="15" customHeight="1">
      <c r="A55" s="238">
        <f t="shared" ref="A55:A118" si="9">SUM(A54+1)</f>
        <v>54</v>
      </c>
      <c r="B55" s="26"/>
      <c r="C55" s="26"/>
      <c r="D55" s="26"/>
      <c r="E55" s="254"/>
      <c r="F55" s="255" t="s">
        <v>106</v>
      </c>
      <c r="G55" s="256">
        <v>0</v>
      </c>
      <c r="H55" s="256"/>
      <c r="I55" s="256">
        <f t="shared" si="0"/>
        <v>0</v>
      </c>
      <c r="J55" s="8">
        <v>45108</v>
      </c>
      <c r="K55" s="7">
        <f t="shared" si="1"/>
        <v>7</v>
      </c>
      <c r="L55" s="257"/>
      <c r="M55" s="258">
        <v>-27</v>
      </c>
      <c r="N55" s="258"/>
      <c r="O55" s="258">
        <f t="shared" si="2"/>
        <v>-27</v>
      </c>
      <c r="P55" s="258"/>
      <c r="Q55" s="258">
        <f t="shared" si="3"/>
        <v>-27</v>
      </c>
      <c r="R55" s="258"/>
      <c r="S55" s="258">
        <f t="shared" si="4"/>
        <v>-27</v>
      </c>
      <c r="T55" s="258" t="s">
        <v>16</v>
      </c>
      <c r="U55" s="45"/>
      <c r="V55" s="17"/>
      <c r="W55" s="243"/>
      <c r="X55" s="14"/>
      <c r="Y55" s="45"/>
      <c r="Z55" s="238"/>
      <c r="AA55" s="238"/>
    </row>
    <row r="56" spans="1:27" ht="15" customHeight="1">
      <c r="A56" s="238">
        <f t="shared" si="9"/>
        <v>55</v>
      </c>
      <c r="B56" s="7"/>
      <c r="C56" s="7"/>
      <c r="D56" s="7"/>
      <c r="E56" s="8">
        <v>45075</v>
      </c>
      <c r="F56" s="38" t="s">
        <v>106</v>
      </c>
      <c r="G56" s="10">
        <v>0</v>
      </c>
      <c r="H56" s="10"/>
      <c r="I56" s="10">
        <f t="shared" si="0"/>
        <v>0</v>
      </c>
      <c r="J56" s="8">
        <v>45108</v>
      </c>
      <c r="K56" s="7">
        <f t="shared" si="1"/>
        <v>7</v>
      </c>
      <c r="L56" s="11"/>
      <c r="M56" s="10">
        <v>-140</v>
      </c>
      <c r="N56" s="10"/>
      <c r="O56" s="10">
        <f t="shared" si="2"/>
        <v>-140</v>
      </c>
      <c r="P56" s="10"/>
      <c r="Q56" s="10">
        <f t="shared" si="3"/>
        <v>-140</v>
      </c>
      <c r="R56" s="10"/>
      <c r="S56" s="10">
        <f t="shared" si="4"/>
        <v>-140</v>
      </c>
      <c r="T56" s="10" t="s">
        <v>16</v>
      </c>
      <c r="U56" s="45"/>
      <c r="V56" s="17"/>
      <c r="W56" s="243"/>
      <c r="X56" s="14"/>
      <c r="Y56" s="45"/>
      <c r="Z56" s="238"/>
      <c r="AA56" s="238"/>
    </row>
    <row r="57" spans="1:27" ht="15" customHeight="1">
      <c r="A57" s="238">
        <f t="shared" si="9"/>
        <v>56</v>
      </c>
      <c r="B57" s="7"/>
      <c r="C57" s="7"/>
      <c r="D57" s="7"/>
      <c r="E57" s="8">
        <v>45075</v>
      </c>
      <c r="F57" s="38" t="s">
        <v>106</v>
      </c>
      <c r="G57" s="10">
        <v>0</v>
      </c>
      <c r="H57" s="10"/>
      <c r="I57" s="10">
        <f t="shared" si="0"/>
        <v>0</v>
      </c>
      <c r="J57" s="8">
        <v>45108</v>
      </c>
      <c r="K57" s="7">
        <f t="shared" si="1"/>
        <v>7</v>
      </c>
      <c r="L57" s="11">
        <f t="shared" ref="L57:L77" si="10">IF($J57&lt;&gt;"",SUM(J57-E57),"")</f>
        <v>33</v>
      </c>
      <c r="M57" s="10">
        <v>-58.15</v>
      </c>
      <c r="N57" s="10"/>
      <c r="O57" s="10">
        <f t="shared" si="2"/>
        <v>-58.15</v>
      </c>
      <c r="P57" s="10"/>
      <c r="Q57" s="10">
        <f t="shared" si="3"/>
        <v>-58.15</v>
      </c>
      <c r="R57" s="10"/>
      <c r="S57" s="10">
        <f t="shared" si="4"/>
        <v>-58.15</v>
      </c>
      <c r="T57" s="10" t="s">
        <v>16</v>
      </c>
      <c r="U57" s="12"/>
      <c r="V57" s="17"/>
      <c r="W57" s="243"/>
      <c r="X57" s="14"/>
      <c r="Y57" s="45"/>
      <c r="Z57" s="238"/>
      <c r="AA57" s="238"/>
    </row>
    <row r="58" spans="1:27" ht="15" customHeight="1">
      <c r="A58" s="238">
        <f t="shared" si="9"/>
        <v>57</v>
      </c>
      <c r="B58" s="7"/>
      <c r="C58" s="7"/>
      <c r="D58" s="8"/>
      <c r="E58" s="8">
        <v>45047</v>
      </c>
      <c r="F58" s="38" t="s">
        <v>106</v>
      </c>
      <c r="G58" s="10">
        <v>0</v>
      </c>
      <c r="H58" s="10"/>
      <c r="I58" s="10">
        <f t="shared" si="0"/>
        <v>0</v>
      </c>
      <c r="J58" s="8">
        <v>45111</v>
      </c>
      <c r="K58" s="7">
        <f t="shared" si="1"/>
        <v>7</v>
      </c>
      <c r="L58" s="11">
        <f t="shared" si="10"/>
        <v>64</v>
      </c>
      <c r="M58" s="10">
        <v>30</v>
      </c>
      <c r="N58" s="10"/>
      <c r="O58" s="10">
        <f t="shared" si="2"/>
        <v>30</v>
      </c>
      <c r="P58" s="10"/>
      <c r="Q58" s="10">
        <f t="shared" si="3"/>
        <v>30</v>
      </c>
      <c r="R58" s="10"/>
      <c r="S58" s="10">
        <f t="shared" si="4"/>
        <v>30</v>
      </c>
      <c r="T58" s="10" t="s">
        <v>19</v>
      </c>
      <c r="U58" s="12"/>
      <c r="V58" s="17"/>
      <c r="W58" s="243"/>
      <c r="X58" s="14"/>
      <c r="Y58" s="45"/>
      <c r="Z58" s="238"/>
      <c r="AA58" s="238"/>
    </row>
    <row r="59" spans="1:27" ht="15" customHeight="1">
      <c r="A59" s="238">
        <f t="shared" si="9"/>
        <v>58</v>
      </c>
      <c r="B59" s="7"/>
      <c r="C59" s="7"/>
      <c r="D59" s="8"/>
      <c r="E59" s="8">
        <v>45109</v>
      </c>
      <c r="F59" s="38" t="s">
        <v>106</v>
      </c>
      <c r="G59" s="10">
        <v>7.5</v>
      </c>
      <c r="H59" s="10"/>
      <c r="I59" s="10">
        <f t="shared" si="0"/>
        <v>7.5</v>
      </c>
      <c r="J59" s="8">
        <v>45113</v>
      </c>
      <c r="K59" s="7">
        <f t="shared" si="1"/>
        <v>7</v>
      </c>
      <c r="L59" s="11">
        <f t="shared" si="10"/>
        <v>4</v>
      </c>
      <c r="M59" s="10">
        <v>85</v>
      </c>
      <c r="N59" s="10">
        <v>10</v>
      </c>
      <c r="O59" s="10">
        <f t="shared" si="2"/>
        <v>95</v>
      </c>
      <c r="P59" s="10">
        <v>9.85</v>
      </c>
      <c r="Q59" s="10">
        <f t="shared" si="3"/>
        <v>85.15</v>
      </c>
      <c r="R59" s="10">
        <v>2.99</v>
      </c>
      <c r="S59" s="10">
        <f t="shared" si="4"/>
        <v>74.660000000000011</v>
      </c>
      <c r="T59" s="10" t="s">
        <v>16</v>
      </c>
      <c r="U59" s="12"/>
      <c r="V59" s="17"/>
      <c r="W59" s="243"/>
      <c r="X59" s="14"/>
      <c r="Y59" s="45"/>
      <c r="Z59" s="238"/>
      <c r="AA59" s="238"/>
    </row>
    <row r="60" spans="1:27" ht="15" customHeight="1">
      <c r="A60" s="238">
        <f t="shared" si="9"/>
        <v>59</v>
      </c>
      <c r="B60" s="7"/>
      <c r="C60" s="7"/>
      <c r="D60" s="8"/>
      <c r="E60" s="8">
        <v>45109</v>
      </c>
      <c r="F60" s="38" t="s">
        <v>106</v>
      </c>
      <c r="G60" s="10">
        <v>7.5</v>
      </c>
      <c r="H60" s="10"/>
      <c r="I60" s="10">
        <f t="shared" si="0"/>
        <v>7.5</v>
      </c>
      <c r="J60" s="8">
        <v>45116</v>
      </c>
      <c r="K60" s="7">
        <f t="shared" si="1"/>
        <v>7</v>
      </c>
      <c r="L60" s="11">
        <f t="shared" si="10"/>
        <v>7</v>
      </c>
      <c r="M60" s="10">
        <v>60</v>
      </c>
      <c r="N60" s="10">
        <v>10</v>
      </c>
      <c r="O60" s="10">
        <f t="shared" si="2"/>
        <v>70</v>
      </c>
      <c r="P60" s="10">
        <v>7.35</v>
      </c>
      <c r="Q60" s="10">
        <f t="shared" si="3"/>
        <v>62.65</v>
      </c>
      <c r="R60" s="10">
        <v>2.99</v>
      </c>
      <c r="S60" s="10">
        <f t="shared" si="4"/>
        <v>52.16</v>
      </c>
      <c r="T60" s="10" t="s">
        <v>16</v>
      </c>
      <c r="U60" s="12"/>
      <c r="V60" s="17"/>
      <c r="W60" s="243"/>
      <c r="X60" s="14"/>
      <c r="Y60" s="45"/>
      <c r="Z60" s="238"/>
      <c r="AA60" s="238"/>
    </row>
    <row r="61" spans="1:27" ht="15" customHeight="1">
      <c r="A61" s="238">
        <f t="shared" si="9"/>
        <v>60</v>
      </c>
      <c r="B61" s="7"/>
      <c r="C61" s="7"/>
      <c r="D61" s="7"/>
      <c r="E61" s="8">
        <v>45088</v>
      </c>
      <c r="F61" s="38" t="s">
        <v>106</v>
      </c>
      <c r="G61" s="10">
        <v>5</v>
      </c>
      <c r="H61" s="10"/>
      <c r="I61" s="10">
        <f t="shared" si="0"/>
        <v>5</v>
      </c>
      <c r="J61" s="8">
        <v>45117</v>
      </c>
      <c r="K61" s="7">
        <f t="shared" si="1"/>
        <v>7</v>
      </c>
      <c r="L61" s="11">
        <f t="shared" si="10"/>
        <v>29</v>
      </c>
      <c r="M61" s="10">
        <v>50</v>
      </c>
      <c r="N61" s="10">
        <v>10</v>
      </c>
      <c r="O61" s="10">
        <f t="shared" si="2"/>
        <v>60</v>
      </c>
      <c r="P61" s="10">
        <v>6.35</v>
      </c>
      <c r="Q61" s="10">
        <f t="shared" si="3"/>
        <v>53.65</v>
      </c>
      <c r="R61" s="10">
        <v>2.99</v>
      </c>
      <c r="S61" s="10">
        <f t="shared" si="4"/>
        <v>45.66</v>
      </c>
      <c r="T61" s="10" t="s">
        <v>16</v>
      </c>
      <c r="U61" s="12"/>
      <c r="V61" s="17"/>
      <c r="W61" s="243"/>
      <c r="X61" s="14"/>
      <c r="Y61" s="45"/>
      <c r="Z61" s="238"/>
      <c r="AA61" s="238"/>
    </row>
    <row r="62" spans="1:27" ht="15" customHeight="1">
      <c r="A62" s="238">
        <f t="shared" si="9"/>
        <v>61</v>
      </c>
      <c r="B62" s="7"/>
      <c r="C62" s="7"/>
      <c r="D62" s="7"/>
      <c r="E62" s="8">
        <v>45060</v>
      </c>
      <c r="F62" s="38" t="s">
        <v>106</v>
      </c>
      <c r="G62" s="10">
        <v>5</v>
      </c>
      <c r="H62" s="10"/>
      <c r="I62" s="10">
        <f t="shared" si="0"/>
        <v>5</v>
      </c>
      <c r="J62" s="8">
        <v>45118</v>
      </c>
      <c r="K62" s="7">
        <f t="shared" si="1"/>
        <v>7</v>
      </c>
      <c r="L62" s="11">
        <f t="shared" si="10"/>
        <v>58</v>
      </c>
      <c r="M62" s="10">
        <v>50</v>
      </c>
      <c r="N62" s="10">
        <v>10</v>
      </c>
      <c r="O62" s="10">
        <f t="shared" si="2"/>
        <v>60</v>
      </c>
      <c r="P62" s="10">
        <v>6.35</v>
      </c>
      <c r="Q62" s="10">
        <f t="shared" si="3"/>
        <v>53.65</v>
      </c>
      <c r="R62" s="10">
        <v>2.99</v>
      </c>
      <c r="S62" s="10">
        <f t="shared" si="4"/>
        <v>45.66</v>
      </c>
      <c r="T62" s="10" t="s">
        <v>16</v>
      </c>
      <c r="U62" s="12"/>
      <c r="V62" s="17"/>
      <c r="W62" s="243"/>
      <c r="X62" s="14"/>
      <c r="Y62" s="45"/>
      <c r="Z62" s="238"/>
      <c r="AA62" s="238"/>
    </row>
    <row r="63" spans="1:27" ht="15" customHeight="1">
      <c r="A63" s="238">
        <f t="shared" si="9"/>
        <v>62</v>
      </c>
      <c r="B63" s="7"/>
      <c r="C63" s="7"/>
      <c r="D63" s="8"/>
      <c r="E63" s="8">
        <v>45109</v>
      </c>
      <c r="F63" s="38" t="s">
        <v>106</v>
      </c>
      <c r="G63" s="10">
        <v>20</v>
      </c>
      <c r="H63" s="10"/>
      <c r="I63" s="10">
        <f t="shared" si="0"/>
        <v>20</v>
      </c>
      <c r="J63" s="8">
        <v>45123</v>
      </c>
      <c r="K63" s="7">
        <f t="shared" si="1"/>
        <v>7</v>
      </c>
      <c r="L63" s="11">
        <f t="shared" si="10"/>
        <v>14</v>
      </c>
      <c r="M63" s="10">
        <v>100</v>
      </c>
      <c r="N63" s="10">
        <v>10</v>
      </c>
      <c r="O63" s="10">
        <f t="shared" si="2"/>
        <v>110</v>
      </c>
      <c r="P63" s="10">
        <v>11.35</v>
      </c>
      <c r="Q63" s="10">
        <f t="shared" si="3"/>
        <v>98.65</v>
      </c>
      <c r="R63" s="10">
        <v>7.39</v>
      </c>
      <c r="S63" s="10">
        <f t="shared" si="4"/>
        <v>71.260000000000005</v>
      </c>
      <c r="T63" s="10" t="s">
        <v>16</v>
      </c>
      <c r="U63" s="12"/>
      <c r="V63" s="17"/>
      <c r="W63" s="243"/>
      <c r="X63" s="14"/>
      <c r="Y63" s="45"/>
      <c r="Z63" s="238"/>
      <c r="AA63" s="238"/>
    </row>
    <row r="64" spans="1:27" ht="15" customHeight="1">
      <c r="A64" s="238">
        <f t="shared" si="9"/>
        <v>63</v>
      </c>
      <c r="B64" s="7"/>
      <c r="C64" s="7"/>
      <c r="D64" s="8"/>
      <c r="E64" s="8">
        <v>45109</v>
      </c>
      <c r="F64" s="38" t="s">
        <v>106</v>
      </c>
      <c r="G64" s="10">
        <v>5</v>
      </c>
      <c r="H64" s="10"/>
      <c r="I64" s="10">
        <f t="shared" si="0"/>
        <v>5</v>
      </c>
      <c r="J64" s="8">
        <v>45125</v>
      </c>
      <c r="K64" s="7">
        <f t="shared" si="1"/>
        <v>7</v>
      </c>
      <c r="L64" s="11">
        <f t="shared" si="10"/>
        <v>16</v>
      </c>
      <c r="M64" s="10">
        <v>30</v>
      </c>
      <c r="N64" s="10"/>
      <c r="O64" s="10">
        <f t="shared" si="2"/>
        <v>30</v>
      </c>
      <c r="P64" s="10"/>
      <c r="Q64" s="10">
        <f t="shared" si="3"/>
        <v>30</v>
      </c>
      <c r="R64" s="10"/>
      <c r="S64" s="10">
        <f t="shared" si="4"/>
        <v>25</v>
      </c>
      <c r="T64" s="10" t="s">
        <v>19</v>
      </c>
      <c r="U64" s="12"/>
      <c r="V64" s="17"/>
      <c r="W64" s="243"/>
      <c r="X64" s="14"/>
      <c r="Y64" s="45"/>
      <c r="Z64" s="238"/>
      <c r="AA64" s="238"/>
    </row>
    <row r="65" spans="1:27" ht="15" customHeight="1">
      <c r="A65" s="238">
        <f t="shared" si="9"/>
        <v>64</v>
      </c>
      <c r="B65" s="7"/>
      <c r="C65" s="7"/>
      <c r="D65" s="7"/>
      <c r="E65" s="8">
        <v>45088</v>
      </c>
      <c r="F65" s="38" t="s">
        <v>106</v>
      </c>
      <c r="G65" s="10">
        <v>20</v>
      </c>
      <c r="H65" s="10"/>
      <c r="I65" s="10">
        <f t="shared" si="0"/>
        <v>20</v>
      </c>
      <c r="J65" s="8">
        <v>45126</v>
      </c>
      <c r="K65" s="7">
        <f t="shared" si="1"/>
        <v>7</v>
      </c>
      <c r="L65" s="11">
        <f t="shared" si="10"/>
        <v>38</v>
      </c>
      <c r="M65" s="10">
        <v>80</v>
      </c>
      <c r="N65" s="10">
        <v>10</v>
      </c>
      <c r="O65" s="10">
        <f t="shared" si="2"/>
        <v>90</v>
      </c>
      <c r="P65" s="10">
        <v>9.35</v>
      </c>
      <c r="Q65" s="10">
        <f t="shared" si="3"/>
        <v>80.650000000000006</v>
      </c>
      <c r="R65" s="10">
        <v>2.99</v>
      </c>
      <c r="S65" s="10">
        <f t="shared" si="4"/>
        <v>57.660000000000004</v>
      </c>
      <c r="T65" s="10" t="s">
        <v>16</v>
      </c>
      <c r="U65" s="12"/>
      <c r="V65" s="17"/>
      <c r="W65" s="243"/>
      <c r="X65" s="14"/>
      <c r="Y65" s="45"/>
      <c r="Z65" s="238"/>
      <c r="AA65" s="238"/>
    </row>
    <row r="66" spans="1:27" ht="15" customHeight="1">
      <c r="A66" s="238">
        <f t="shared" si="9"/>
        <v>65</v>
      </c>
      <c r="B66" s="7"/>
      <c r="C66" s="7"/>
      <c r="D66" s="7"/>
      <c r="E66" s="8">
        <v>45075</v>
      </c>
      <c r="F66" s="38" t="s">
        <v>106</v>
      </c>
      <c r="G66" s="10">
        <v>15</v>
      </c>
      <c r="H66" s="10"/>
      <c r="I66" s="10">
        <f t="shared" si="0"/>
        <v>15</v>
      </c>
      <c r="J66" s="8">
        <v>45126</v>
      </c>
      <c r="K66" s="7">
        <f t="shared" si="1"/>
        <v>7</v>
      </c>
      <c r="L66" s="11">
        <f t="shared" si="10"/>
        <v>51</v>
      </c>
      <c r="M66" s="10">
        <v>40</v>
      </c>
      <c r="N66" s="10">
        <v>10</v>
      </c>
      <c r="O66" s="10">
        <f t="shared" si="2"/>
        <v>50</v>
      </c>
      <c r="P66" s="10">
        <v>5.35</v>
      </c>
      <c r="Q66" s="10">
        <f t="shared" si="3"/>
        <v>44.65</v>
      </c>
      <c r="R66" s="10">
        <v>6.07</v>
      </c>
      <c r="S66" s="10">
        <f t="shared" si="4"/>
        <v>23.58</v>
      </c>
      <c r="T66" s="10" t="s">
        <v>16</v>
      </c>
      <c r="U66" s="12"/>
      <c r="V66" s="17"/>
      <c r="W66" s="243"/>
      <c r="X66" s="14"/>
      <c r="Y66" s="45"/>
      <c r="Z66" s="238"/>
      <c r="AA66" s="238"/>
    </row>
    <row r="67" spans="1:27" ht="15" customHeight="1">
      <c r="A67" s="238">
        <f t="shared" si="9"/>
        <v>66</v>
      </c>
      <c r="B67" s="7"/>
      <c r="C67" s="7"/>
      <c r="D67" s="7"/>
      <c r="E67" s="8">
        <v>45075</v>
      </c>
      <c r="F67" s="38" t="s">
        <v>106</v>
      </c>
      <c r="G67" s="10">
        <v>10</v>
      </c>
      <c r="H67" s="10">
        <v>20</v>
      </c>
      <c r="I67" s="10">
        <f t="shared" si="0"/>
        <v>30</v>
      </c>
      <c r="J67" s="8">
        <v>45127</v>
      </c>
      <c r="K67" s="7">
        <f t="shared" si="1"/>
        <v>7</v>
      </c>
      <c r="L67" s="11">
        <f t="shared" si="10"/>
        <v>52</v>
      </c>
      <c r="M67" s="10">
        <v>130</v>
      </c>
      <c r="N67" s="10"/>
      <c r="O67" s="10">
        <f t="shared" si="2"/>
        <v>130</v>
      </c>
      <c r="P67" s="10"/>
      <c r="Q67" s="10">
        <f t="shared" si="3"/>
        <v>130</v>
      </c>
      <c r="R67" s="10"/>
      <c r="S67" s="10">
        <f t="shared" si="4"/>
        <v>100</v>
      </c>
      <c r="T67" s="10" t="s">
        <v>19</v>
      </c>
      <c r="U67" s="12"/>
      <c r="V67" s="17"/>
      <c r="W67" s="243"/>
      <c r="X67" s="14"/>
      <c r="Y67" s="45"/>
      <c r="Z67" s="238"/>
      <c r="AA67" s="238"/>
    </row>
    <row r="68" spans="1:27" ht="15" customHeight="1">
      <c r="A68" s="238">
        <f t="shared" si="9"/>
        <v>67</v>
      </c>
      <c r="B68" s="7"/>
      <c r="C68" s="7"/>
      <c r="D68" s="7"/>
      <c r="E68" s="8">
        <v>45075</v>
      </c>
      <c r="F68" s="38" t="s">
        <v>106</v>
      </c>
      <c r="G68" s="10">
        <v>7</v>
      </c>
      <c r="H68" s="10"/>
      <c r="I68" s="10">
        <f t="shared" si="0"/>
        <v>7</v>
      </c>
      <c r="J68" s="8">
        <v>45127</v>
      </c>
      <c r="K68" s="7">
        <f t="shared" si="1"/>
        <v>7</v>
      </c>
      <c r="L68" s="11">
        <f t="shared" si="10"/>
        <v>52</v>
      </c>
      <c r="M68" s="10">
        <v>15</v>
      </c>
      <c r="N68" s="10"/>
      <c r="O68" s="10">
        <f t="shared" si="2"/>
        <v>15</v>
      </c>
      <c r="P68" s="10"/>
      <c r="Q68" s="10">
        <f t="shared" si="3"/>
        <v>15</v>
      </c>
      <c r="R68" s="10"/>
      <c r="S68" s="10">
        <f t="shared" si="4"/>
        <v>8</v>
      </c>
      <c r="T68" s="10" t="s">
        <v>19</v>
      </c>
      <c r="U68" s="12"/>
      <c r="V68" s="17"/>
      <c r="W68" s="243"/>
      <c r="X68" s="14"/>
      <c r="Y68" s="45"/>
      <c r="Z68" s="238"/>
      <c r="AA68" s="238"/>
    </row>
    <row r="69" spans="1:27" ht="15" customHeight="1">
      <c r="A69" s="238">
        <f t="shared" si="9"/>
        <v>68</v>
      </c>
      <c r="B69" s="7"/>
      <c r="C69" s="7"/>
      <c r="D69" s="7"/>
      <c r="E69" s="8">
        <v>45067</v>
      </c>
      <c r="F69" s="38" t="s">
        <v>106</v>
      </c>
      <c r="G69" s="10">
        <v>8</v>
      </c>
      <c r="H69" s="10"/>
      <c r="I69" s="10">
        <f t="shared" si="0"/>
        <v>8</v>
      </c>
      <c r="J69" s="8">
        <v>45127</v>
      </c>
      <c r="K69" s="7">
        <f t="shared" si="1"/>
        <v>7</v>
      </c>
      <c r="L69" s="11">
        <f t="shared" si="10"/>
        <v>60</v>
      </c>
      <c r="M69" s="10">
        <v>30</v>
      </c>
      <c r="N69" s="10"/>
      <c r="O69" s="10">
        <f t="shared" si="2"/>
        <v>30</v>
      </c>
      <c r="P69" s="10"/>
      <c r="Q69" s="10">
        <f t="shared" si="3"/>
        <v>30</v>
      </c>
      <c r="R69" s="10"/>
      <c r="S69" s="10">
        <f t="shared" si="4"/>
        <v>22</v>
      </c>
      <c r="T69" s="10" t="s">
        <v>19</v>
      </c>
      <c r="U69" s="12"/>
      <c r="V69" s="17"/>
      <c r="W69" s="243"/>
      <c r="X69" s="14"/>
      <c r="Y69" s="14"/>
      <c r="Z69" s="238"/>
      <c r="AA69" s="238"/>
    </row>
    <row r="70" spans="1:27" ht="15" customHeight="1">
      <c r="A70" s="238">
        <f t="shared" si="9"/>
        <v>69</v>
      </c>
      <c r="B70" s="7"/>
      <c r="C70" s="7"/>
      <c r="D70" s="7"/>
      <c r="E70" s="8">
        <v>45075</v>
      </c>
      <c r="F70" s="38" t="s">
        <v>106</v>
      </c>
      <c r="G70" s="10">
        <v>15</v>
      </c>
      <c r="H70" s="10"/>
      <c r="I70" s="10">
        <f t="shared" si="0"/>
        <v>15</v>
      </c>
      <c r="J70" s="8">
        <v>45128</v>
      </c>
      <c r="K70" s="7">
        <f t="shared" si="1"/>
        <v>7</v>
      </c>
      <c r="L70" s="11">
        <f t="shared" si="10"/>
        <v>53</v>
      </c>
      <c r="M70" s="10">
        <v>30</v>
      </c>
      <c r="N70" s="10"/>
      <c r="O70" s="10">
        <f t="shared" si="2"/>
        <v>30</v>
      </c>
      <c r="P70" s="10"/>
      <c r="Q70" s="10">
        <f t="shared" si="3"/>
        <v>30</v>
      </c>
      <c r="R70" s="10"/>
      <c r="S70" s="10">
        <f t="shared" si="4"/>
        <v>15</v>
      </c>
      <c r="T70" s="10" t="s">
        <v>19</v>
      </c>
      <c r="U70" s="12"/>
      <c r="V70" s="17"/>
      <c r="W70" s="243"/>
      <c r="X70" s="14"/>
      <c r="Y70" s="14"/>
      <c r="Z70" s="238"/>
      <c r="AA70" s="238"/>
    </row>
    <row r="71" spans="1:27" ht="15" customHeight="1">
      <c r="A71" s="238">
        <f t="shared" si="9"/>
        <v>70</v>
      </c>
      <c r="B71" s="7"/>
      <c r="C71" s="7"/>
      <c r="D71" s="8"/>
      <c r="E71" s="8">
        <v>45116</v>
      </c>
      <c r="F71" s="38" t="s">
        <v>106</v>
      </c>
      <c r="G71" s="10">
        <v>10</v>
      </c>
      <c r="H71" s="10"/>
      <c r="I71" s="10">
        <f t="shared" si="0"/>
        <v>10</v>
      </c>
      <c r="J71" s="8">
        <v>45127</v>
      </c>
      <c r="K71" s="7">
        <f t="shared" si="1"/>
        <v>7</v>
      </c>
      <c r="L71" s="11">
        <f t="shared" si="10"/>
        <v>11</v>
      </c>
      <c r="M71" s="10">
        <v>50</v>
      </c>
      <c r="N71" s="10">
        <v>10</v>
      </c>
      <c r="O71" s="10">
        <f t="shared" si="2"/>
        <v>60</v>
      </c>
      <c r="P71" s="10">
        <v>6.35</v>
      </c>
      <c r="Q71" s="10">
        <f t="shared" si="3"/>
        <v>53.65</v>
      </c>
      <c r="R71" s="10">
        <v>2.99</v>
      </c>
      <c r="S71" s="10">
        <f t="shared" si="4"/>
        <v>40.659999999999997</v>
      </c>
      <c r="T71" s="10" t="s">
        <v>16</v>
      </c>
      <c r="U71" s="12"/>
      <c r="V71" s="251"/>
      <c r="W71" s="243"/>
      <c r="X71" s="243"/>
      <c r="Y71" s="243"/>
    </row>
    <row r="72" spans="1:27" ht="15" customHeight="1">
      <c r="A72" s="238">
        <f t="shared" si="9"/>
        <v>71</v>
      </c>
      <c r="B72" s="7"/>
      <c r="C72" s="7"/>
      <c r="D72" s="7"/>
      <c r="E72" s="8">
        <v>45109</v>
      </c>
      <c r="F72" s="38" t="s">
        <v>106</v>
      </c>
      <c r="G72" s="10">
        <v>20</v>
      </c>
      <c r="H72" s="10"/>
      <c r="I72" s="10">
        <f t="shared" si="0"/>
        <v>20</v>
      </c>
      <c r="J72" s="8">
        <v>45135</v>
      </c>
      <c r="K72" s="7">
        <f t="shared" si="1"/>
        <v>7</v>
      </c>
      <c r="L72" s="11">
        <f t="shared" si="10"/>
        <v>26</v>
      </c>
      <c r="M72" s="10">
        <v>80</v>
      </c>
      <c r="N72" s="10"/>
      <c r="O72" s="10">
        <f t="shared" si="2"/>
        <v>80</v>
      </c>
      <c r="P72" s="10"/>
      <c r="Q72" s="10">
        <f t="shared" si="3"/>
        <v>80</v>
      </c>
      <c r="R72" s="10"/>
      <c r="S72" s="10">
        <f t="shared" si="4"/>
        <v>60</v>
      </c>
      <c r="T72" s="10" t="s">
        <v>19</v>
      </c>
      <c r="U72" s="12"/>
      <c r="V72" s="17"/>
      <c r="W72" s="243"/>
      <c r="X72" s="14"/>
      <c r="Y72" s="14"/>
      <c r="Z72" s="238"/>
      <c r="AA72" s="238"/>
    </row>
    <row r="73" spans="1:27" ht="15" customHeight="1">
      <c r="A73" s="238">
        <f t="shared" si="9"/>
        <v>72</v>
      </c>
      <c r="B73" s="7"/>
      <c r="C73" s="7"/>
      <c r="D73" s="8"/>
      <c r="E73" s="8">
        <v>45121</v>
      </c>
      <c r="F73" s="38" t="s">
        <v>106</v>
      </c>
      <c r="G73" s="10">
        <v>10</v>
      </c>
      <c r="H73" s="10">
        <v>20</v>
      </c>
      <c r="I73" s="10">
        <f t="shared" si="0"/>
        <v>30</v>
      </c>
      <c r="J73" s="8">
        <v>45136</v>
      </c>
      <c r="K73" s="7">
        <f t="shared" si="1"/>
        <v>7</v>
      </c>
      <c r="L73" s="11">
        <f t="shared" si="10"/>
        <v>15</v>
      </c>
      <c r="M73" s="10">
        <v>100</v>
      </c>
      <c r="N73" s="10"/>
      <c r="O73" s="10">
        <f t="shared" si="2"/>
        <v>100</v>
      </c>
      <c r="P73" s="10"/>
      <c r="Q73" s="10">
        <f t="shared" si="3"/>
        <v>100</v>
      </c>
      <c r="R73" s="10"/>
      <c r="S73" s="10">
        <f t="shared" si="4"/>
        <v>70</v>
      </c>
      <c r="T73" s="10" t="s">
        <v>16</v>
      </c>
      <c r="U73" s="12"/>
      <c r="V73" s="251"/>
      <c r="W73" s="243"/>
      <c r="X73" s="243"/>
      <c r="Y73" s="243"/>
    </row>
    <row r="74" spans="1:27" ht="15" customHeight="1">
      <c r="A74" s="238">
        <f t="shared" si="9"/>
        <v>73</v>
      </c>
      <c r="B74" s="7"/>
      <c r="C74" s="7"/>
      <c r="D74" s="7"/>
      <c r="E74" s="8">
        <v>45136</v>
      </c>
      <c r="F74" s="38" t="s">
        <v>106</v>
      </c>
      <c r="G74" s="10">
        <v>5</v>
      </c>
      <c r="H74" s="10"/>
      <c r="I74" s="10">
        <f t="shared" si="0"/>
        <v>5</v>
      </c>
      <c r="J74" s="8">
        <v>45138</v>
      </c>
      <c r="K74" s="7">
        <f t="shared" si="1"/>
        <v>7</v>
      </c>
      <c r="L74" s="11">
        <f t="shared" si="10"/>
        <v>2</v>
      </c>
      <c r="M74" s="10">
        <v>25</v>
      </c>
      <c r="N74" s="10"/>
      <c r="O74" s="10">
        <f t="shared" si="2"/>
        <v>25</v>
      </c>
      <c r="P74" s="10"/>
      <c r="Q74" s="10">
        <f t="shared" si="3"/>
        <v>25</v>
      </c>
      <c r="R74" s="10"/>
      <c r="S74" s="10">
        <f t="shared" si="4"/>
        <v>20</v>
      </c>
      <c r="T74" s="10" t="s">
        <v>96</v>
      </c>
      <c r="U74" s="12"/>
      <c r="V74" s="17"/>
      <c r="W74" s="243"/>
      <c r="X74" s="14"/>
      <c r="Y74" s="14"/>
      <c r="Z74" s="238"/>
      <c r="AA74" s="238"/>
    </row>
    <row r="75" spans="1:27" ht="15" customHeight="1">
      <c r="A75" s="238">
        <f t="shared" si="9"/>
        <v>74</v>
      </c>
      <c r="B75" s="7"/>
      <c r="C75" s="7"/>
      <c r="D75" s="7"/>
      <c r="E75" s="8">
        <v>45075</v>
      </c>
      <c r="F75" s="38" t="s">
        <v>106</v>
      </c>
      <c r="G75" s="10">
        <v>10</v>
      </c>
      <c r="H75" s="10"/>
      <c r="I75" s="10">
        <f t="shared" si="0"/>
        <v>10</v>
      </c>
      <c r="J75" s="8">
        <v>45140</v>
      </c>
      <c r="K75" s="7">
        <f t="shared" si="1"/>
        <v>8</v>
      </c>
      <c r="L75" s="11">
        <f t="shared" si="10"/>
        <v>65</v>
      </c>
      <c r="M75" s="10">
        <v>30</v>
      </c>
      <c r="N75" s="10">
        <v>10</v>
      </c>
      <c r="O75" s="10">
        <f t="shared" si="2"/>
        <v>40</v>
      </c>
      <c r="P75" s="10">
        <v>4.3499999999999996</v>
      </c>
      <c r="Q75" s="10">
        <f t="shared" si="3"/>
        <v>35.65</v>
      </c>
      <c r="R75" s="10"/>
      <c r="S75" s="10">
        <f t="shared" si="4"/>
        <v>25.65</v>
      </c>
      <c r="T75" s="10" t="s">
        <v>16</v>
      </c>
      <c r="U75" s="12"/>
      <c r="V75" s="17"/>
      <c r="W75" s="243"/>
      <c r="X75" s="14"/>
      <c r="Y75" s="14"/>
      <c r="Z75" s="238"/>
      <c r="AA75" s="238"/>
    </row>
    <row r="76" spans="1:27" ht="15" customHeight="1">
      <c r="A76" s="238">
        <f t="shared" si="9"/>
        <v>75</v>
      </c>
      <c r="B76" s="7"/>
      <c r="C76" s="7"/>
      <c r="D76" s="8"/>
      <c r="E76" s="8">
        <v>45121</v>
      </c>
      <c r="F76" s="38" t="s">
        <v>106</v>
      </c>
      <c r="G76" s="10">
        <v>10</v>
      </c>
      <c r="H76" s="10">
        <v>20</v>
      </c>
      <c r="I76" s="10">
        <f t="shared" si="0"/>
        <v>30</v>
      </c>
      <c r="J76" s="8">
        <v>45140</v>
      </c>
      <c r="K76" s="7">
        <f t="shared" si="1"/>
        <v>8</v>
      </c>
      <c r="L76" s="11">
        <f t="shared" si="10"/>
        <v>19</v>
      </c>
      <c r="M76" s="10">
        <v>80</v>
      </c>
      <c r="N76" s="10">
        <v>10</v>
      </c>
      <c r="O76" s="10">
        <f t="shared" si="2"/>
        <v>90</v>
      </c>
      <c r="P76" s="10">
        <v>9.35</v>
      </c>
      <c r="Q76" s="10">
        <f t="shared" si="3"/>
        <v>80.650000000000006</v>
      </c>
      <c r="R76" s="10">
        <v>2.99</v>
      </c>
      <c r="S76" s="10">
        <f t="shared" si="4"/>
        <v>47.660000000000004</v>
      </c>
      <c r="T76" s="10" t="s">
        <v>16</v>
      </c>
      <c r="U76" s="12"/>
      <c r="V76" s="17"/>
      <c r="W76" s="243"/>
      <c r="X76" s="14"/>
      <c r="Y76" s="14"/>
      <c r="Z76" s="238"/>
      <c r="AA76" s="238"/>
    </row>
    <row r="77" spans="1:27" ht="15" customHeight="1">
      <c r="A77" s="238">
        <f t="shared" si="9"/>
        <v>76</v>
      </c>
      <c r="B77" s="7"/>
      <c r="C77" s="7"/>
      <c r="D77" s="8"/>
      <c r="E77" s="8">
        <v>45047</v>
      </c>
      <c r="F77" s="38" t="s">
        <v>106</v>
      </c>
      <c r="G77" s="10">
        <v>0</v>
      </c>
      <c r="H77" s="10"/>
      <c r="I77" s="10">
        <f t="shared" si="0"/>
        <v>0</v>
      </c>
      <c r="J77" s="8">
        <v>45142</v>
      </c>
      <c r="K77" s="7">
        <f t="shared" si="1"/>
        <v>8</v>
      </c>
      <c r="L77" s="11">
        <f t="shared" si="10"/>
        <v>95</v>
      </c>
      <c r="M77" s="10">
        <v>13</v>
      </c>
      <c r="N77" s="10">
        <v>10</v>
      </c>
      <c r="O77" s="10">
        <f t="shared" si="2"/>
        <v>23</v>
      </c>
      <c r="P77" s="10">
        <v>2.65</v>
      </c>
      <c r="Q77" s="10">
        <f t="shared" si="3"/>
        <v>20.350000000000001</v>
      </c>
      <c r="R77" s="10">
        <v>2.99</v>
      </c>
      <c r="S77" s="10">
        <f t="shared" si="4"/>
        <v>17.36</v>
      </c>
      <c r="T77" s="10" t="s">
        <v>16</v>
      </c>
      <c r="U77" s="12"/>
      <c r="V77" s="17"/>
      <c r="W77" s="243"/>
      <c r="X77" s="14"/>
      <c r="Y77" s="14"/>
      <c r="Z77" s="238"/>
      <c r="AA77" s="238"/>
    </row>
    <row r="78" spans="1:27" ht="15" customHeight="1">
      <c r="A78" s="238">
        <f t="shared" si="9"/>
        <v>77</v>
      </c>
      <c r="B78" s="7"/>
      <c r="C78" s="7"/>
      <c r="D78" s="8"/>
      <c r="E78" s="8">
        <v>45137</v>
      </c>
      <c r="F78" s="38" t="s">
        <v>106</v>
      </c>
      <c r="G78" s="10">
        <v>20</v>
      </c>
      <c r="H78" s="10">
        <v>30</v>
      </c>
      <c r="I78" s="10">
        <f t="shared" si="0"/>
        <v>50</v>
      </c>
      <c r="J78" s="8">
        <v>45145</v>
      </c>
      <c r="K78" s="7">
        <f t="shared" si="1"/>
        <v>8</v>
      </c>
      <c r="L78" s="11"/>
      <c r="M78" s="10">
        <v>70</v>
      </c>
      <c r="N78" s="10"/>
      <c r="O78" s="10">
        <f t="shared" si="2"/>
        <v>70</v>
      </c>
      <c r="P78" s="10"/>
      <c r="Q78" s="10">
        <f t="shared" si="3"/>
        <v>70</v>
      </c>
      <c r="R78" s="10"/>
      <c r="S78" s="10">
        <f t="shared" si="4"/>
        <v>20</v>
      </c>
      <c r="T78" s="10" t="s">
        <v>19</v>
      </c>
      <c r="U78" s="12"/>
      <c r="V78" s="17"/>
      <c r="W78" s="243"/>
      <c r="X78" s="14"/>
      <c r="Y78" s="14"/>
      <c r="Z78" s="238"/>
      <c r="AA78" s="238"/>
    </row>
    <row r="79" spans="1:27" ht="15" customHeight="1">
      <c r="A79" s="238">
        <f t="shared" si="9"/>
        <v>78</v>
      </c>
      <c r="B79" s="7"/>
      <c r="C79" s="7"/>
      <c r="D79" s="8"/>
      <c r="E79" s="8">
        <v>45137</v>
      </c>
      <c r="F79" s="38" t="s">
        <v>106</v>
      </c>
      <c r="G79" s="10">
        <v>0</v>
      </c>
      <c r="H79" s="10"/>
      <c r="I79" s="10">
        <f t="shared" si="0"/>
        <v>0</v>
      </c>
      <c r="J79" s="8">
        <v>45145</v>
      </c>
      <c r="K79" s="7">
        <f t="shared" si="1"/>
        <v>8</v>
      </c>
      <c r="L79" s="11"/>
      <c r="M79" s="10">
        <v>70</v>
      </c>
      <c r="N79" s="10"/>
      <c r="O79" s="10">
        <f t="shared" si="2"/>
        <v>70</v>
      </c>
      <c r="P79" s="10"/>
      <c r="Q79" s="10">
        <f t="shared" si="3"/>
        <v>70</v>
      </c>
      <c r="R79" s="10"/>
      <c r="S79" s="10">
        <f t="shared" si="4"/>
        <v>70</v>
      </c>
      <c r="T79" s="10" t="s">
        <v>19</v>
      </c>
      <c r="U79" s="12"/>
      <c r="V79" s="17"/>
      <c r="W79" s="243"/>
      <c r="X79" s="14"/>
      <c r="Y79" s="14"/>
      <c r="Z79" s="238"/>
      <c r="AA79" s="238"/>
    </row>
    <row r="80" spans="1:27" ht="15" customHeight="1">
      <c r="A80" s="238">
        <f t="shared" si="9"/>
        <v>79</v>
      </c>
      <c r="B80" s="7"/>
      <c r="C80" s="7"/>
      <c r="D80" s="8"/>
      <c r="E80" s="8">
        <v>45137</v>
      </c>
      <c r="F80" s="38" t="s">
        <v>106</v>
      </c>
      <c r="G80" s="10">
        <v>8.5</v>
      </c>
      <c r="H80" s="10"/>
      <c r="I80" s="10">
        <f t="shared" si="0"/>
        <v>8.5</v>
      </c>
      <c r="J80" s="8">
        <v>45146</v>
      </c>
      <c r="K80" s="7">
        <f t="shared" si="1"/>
        <v>8</v>
      </c>
      <c r="L80" s="11"/>
      <c r="M80" s="10">
        <v>50</v>
      </c>
      <c r="N80" s="10">
        <v>10</v>
      </c>
      <c r="O80" s="10">
        <f t="shared" si="2"/>
        <v>60</v>
      </c>
      <c r="P80" s="10">
        <v>6.35</v>
      </c>
      <c r="Q80" s="10">
        <f t="shared" si="3"/>
        <v>53.65</v>
      </c>
      <c r="R80" s="10">
        <v>2.99</v>
      </c>
      <c r="S80" s="10">
        <f t="shared" si="4"/>
        <v>42.16</v>
      </c>
      <c r="T80" s="10" t="s">
        <v>16</v>
      </c>
      <c r="U80" s="12"/>
      <c r="V80" s="17"/>
      <c r="W80" s="243"/>
      <c r="X80" s="14"/>
      <c r="Y80" s="14"/>
      <c r="Z80" s="238"/>
      <c r="AA80" s="238"/>
    </row>
    <row r="81" spans="1:27" ht="15" customHeight="1">
      <c r="A81" s="238">
        <f t="shared" si="9"/>
        <v>80</v>
      </c>
      <c r="B81" s="7"/>
      <c r="C81" s="7"/>
      <c r="D81" s="8"/>
      <c r="E81" s="8">
        <v>45124</v>
      </c>
      <c r="F81" s="38" t="s">
        <v>108</v>
      </c>
      <c r="G81" s="10">
        <v>10</v>
      </c>
      <c r="H81" s="10"/>
      <c r="I81" s="10">
        <f t="shared" si="0"/>
        <v>10</v>
      </c>
      <c r="J81" s="8">
        <v>45147</v>
      </c>
      <c r="K81" s="7">
        <f t="shared" si="1"/>
        <v>8</v>
      </c>
      <c r="L81" s="11">
        <f t="shared" ref="L81:L87" si="11">IF($J81&lt;&gt;"",SUM(J81-E81),"")</f>
        <v>23</v>
      </c>
      <c r="M81" s="10">
        <v>30</v>
      </c>
      <c r="N81" s="10">
        <v>10</v>
      </c>
      <c r="O81" s="10">
        <f t="shared" si="2"/>
        <v>40</v>
      </c>
      <c r="P81" s="10">
        <v>4.3499999999999996</v>
      </c>
      <c r="Q81" s="10">
        <f t="shared" si="3"/>
        <v>35.65</v>
      </c>
      <c r="R81" s="10">
        <v>2.99</v>
      </c>
      <c r="S81" s="10">
        <f t="shared" si="4"/>
        <v>22.659999999999997</v>
      </c>
      <c r="T81" s="10" t="s">
        <v>16</v>
      </c>
      <c r="U81" s="12"/>
      <c r="V81" s="17"/>
      <c r="W81" s="236"/>
      <c r="X81" s="14"/>
      <c r="Y81" s="14"/>
      <c r="Z81" s="238"/>
      <c r="AA81" s="238"/>
    </row>
    <row r="82" spans="1:27" s="259" customFormat="1" ht="15" customHeight="1">
      <c r="A82" s="238">
        <f t="shared" si="9"/>
        <v>81</v>
      </c>
      <c r="B82" s="7"/>
      <c r="C82" s="7"/>
      <c r="D82" s="7"/>
      <c r="E82" s="8">
        <v>45026</v>
      </c>
      <c r="F82" s="38" t="s">
        <v>106</v>
      </c>
      <c r="G82" s="10">
        <v>5</v>
      </c>
      <c r="H82" s="10"/>
      <c r="I82" s="10">
        <f t="shared" si="0"/>
        <v>5</v>
      </c>
      <c r="J82" s="8">
        <v>45149</v>
      </c>
      <c r="K82" s="7">
        <f t="shared" si="1"/>
        <v>8</v>
      </c>
      <c r="L82" s="11">
        <f t="shared" si="11"/>
        <v>123</v>
      </c>
      <c r="M82" s="10">
        <v>20</v>
      </c>
      <c r="N82" s="10">
        <v>10</v>
      </c>
      <c r="O82" s="10">
        <f t="shared" si="2"/>
        <v>30</v>
      </c>
      <c r="P82" s="10">
        <v>3.35</v>
      </c>
      <c r="Q82" s="10">
        <f t="shared" si="3"/>
        <v>26.65</v>
      </c>
      <c r="R82" s="10">
        <v>2.99</v>
      </c>
      <c r="S82" s="10">
        <f t="shared" si="4"/>
        <v>18.659999999999997</v>
      </c>
      <c r="T82" s="10" t="s">
        <v>16</v>
      </c>
      <c r="U82" s="12"/>
      <c r="V82" s="17"/>
      <c r="W82" s="243"/>
      <c r="X82" s="14"/>
      <c r="Y82" s="14"/>
      <c r="Z82" s="238"/>
      <c r="AA82" s="238"/>
    </row>
    <row r="83" spans="1:27" ht="15" customHeight="1">
      <c r="A83" s="238">
        <f t="shared" si="9"/>
        <v>82</v>
      </c>
      <c r="B83" s="7"/>
      <c r="C83" s="7"/>
      <c r="D83" s="7"/>
      <c r="E83" s="8">
        <v>45060</v>
      </c>
      <c r="F83" s="38" t="s">
        <v>106</v>
      </c>
      <c r="G83" s="10">
        <v>5</v>
      </c>
      <c r="H83" s="10"/>
      <c r="I83" s="10">
        <f t="shared" si="0"/>
        <v>5</v>
      </c>
      <c r="J83" s="8">
        <v>45149</v>
      </c>
      <c r="K83" s="7">
        <f t="shared" si="1"/>
        <v>8</v>
      </c>
      <c r="L83" s="11">
        <f t="shared" si="11"/>
        <v>89</v>
      </c>
      <c r="M83" s="10">
        <v>30</v>
      </c>
      <c r="N83" s="10">
        <v>10</v>
      </c>
      <c r="O83" s="10">
        <f t="shared" si="2"/>
        <v>40</v>
      </c>
      <c r="P83" s="10">
        <v>4.3499999999999996</v>
      </c>
      <c r="Q83" s="10">
        <f t="shared" si="3"/>
        <v>35.65</v>
      </c>
      <c r="R83" s="10">
        <v>2.99</v>
      </c>
      <c r="S83" s="10">
        <f t="shared" si="4"/>
        <v>27.659999999999997</v>
      </c>
      <c r="T83" s="10" t="s">
        <v>16</v>
      </c>
      <c r="U83" s="12"/>
      <c r="V83" s="17"/>
      <c r="W83" s="243"/>
      <c r="X83" s="14"/>
      <c r="Y83" s="14"/>
      <c r="Z83" s="238"/>
      <c r="AA83" s="238"/>
    </row>
    <row r="84" spans="1:27" ht="15" customHeight="1">
      <c r="A84" s="238">
        <f t="shared" si="9"/>
        <v>83</v>
      </c>
      <c r="B84" s="7"/>
      <c r="C84" s="7"/>
      <c r="D84" s="7"/>
      <c r="E84" s="8">
        <v>45081</v>
      </c>
      <c r="F84" s="38" t="s">
        <v>106</v>
      </c>
      <c r="G84" s="10">
        <v>12</v>
      </c>
      <c r="H84" s="10"/>
      <c r="I84" s="10">
        <f t="shared" si="0"/>
        <v>12</v>
      </c>
      <c r="J84" s="8">
        <v>45150</v>
      </c>
      <c r="K84" s="7">
        <f t="shared" si="1"/>
        <v>8</v>
      </c>
      <c r="L84" s="11">
        <f t="shared" si="11"/>
        <v>69</v>
      </c>
      <c r="M84" s="10">
        <v>20</v>
      </c>
      <c r="N84" s="10">
        <v>10</v>
      </c>
      <c r="O84" s="10">
        <f t="shared" si="2"/>
        <v>30</v>
      </c>
      <c r="P84" s="10">
        <v>3.35</v>
      </c>
      <c r="Q84" s="10">
        <f t="shared" si="3"/>
        <v>26.65</v>
      </c>
      <c r="R84" s="10">
        <v>2.99</v>
      </c>
      <c r="S84" s="10">
        <f t="shared" si="4"/>
        <v>11.659999999999998</v>
      </c>
      <c r="T84" s="10" t="s">
        <v>16</v>
      </c>
      <c r="U84" s="12"/>
      <c r="V84" s="17"/>
      <c r="W84" s="243"/>
      <c r="X84" s="14"/>
      <c r="Y84" s="14"/>
      <c r="Z84" s="238"/>
      <c r="AA84" s="238"/>
    </row>
    <row r="85" spans="1:27" ht="15" customHeight="1">
      <c r="A85" s="238">
        <f t="shared" si="9"/>
        <v>84</v>
      </c>
      <c r="B85" s="7"/>
      <c r="C85" s="7"/>
      <c r="D85" s="7"/>
      <c r="E85" s="8">
        <v>45060</v>
      </c>
      <c r="F85" s="38" t="s">
        <v>106</v>
      </c>
      <c r="G85" s="10">
        <v>20</v>
      </c>
      <c r="H85" s="10"/>
      <c r="I85" s="10">
        <f t="shared" si="0"/>
        <v>20</v>
      </c>
      <c r="J85" s="8">
        <v>45151</v>
      </c>
      <c r="K85" s="7">
        <f t="shared" si="1"/>
        <v>8</v>
      </c>
      <c r="L85" s="11">
        <f t="shared" si="11"/>
        <v>91</v>
      </c>
      <c r="M85" s="10">
        <v>70</v>
      </c>
      <c r="N85" s="10">
        <v>20</v>
      </c>
      <c r="O85" s="10">
        <f t="shared" si="2"/>
        <v>90</v>
      </c>
      <c r="P85" s="10">
        <v>9.35</v>
      </c>
      <c r="Q85" s="10">
        <f t="shared" si="3"/>
        <v>80.650000000000006</v>
      </c>
      <c r="R85" s="10">
        <v>11.79</v>
      </c>
      <c r="S85" s="10">
        <f t="shared" si="4"/>
        <v>48.860000000000007</v>
      </c>
      <c r="T85" s="10" t="s">
        <v>16</v>
      </c>
      <c r="U85" s="12"/>
      <c r="V85" s="17"/>
      <c r="W85" s="243"/>
      <c r="X85" s="14"/>
      <c r="Y85" s="14"/>
      <c r="Z85" s="238"/>
      <c r="AA85" s="238"/>
    </row>
    <row r="86" spans="1:27" ht="15" customHeight="1">
      <c r="A86" s="238">
        <f t="shared" si="9"/>
        <v>85</v>
      </c>
      <c r="B86" s="7"/>
      <c r="C86" s="7"/>
      <c r="D86" s="8"/>
      <c r="E86" s="8">
        <v>45137</v>
      </c>
      <c r="F86" s="38" t="s">
        <v>106</v>
      </c>
      <c r="G86" s="10">
        <v>100</v>
      </c>
      <c r="H86" s="10"/>
      <c r="I86" s="10">
        <f t="shared" si="0"/>
        <v>100</v>
      </c>
      <c r="J86" s="8">
        <v>45152</v>
      </c>
      <c r="K86" s="7">
        <f t="shared" si="1"/>
        <v>8</v>
      </c>
      <c r="L86" s="11">
        <f t="shared" si="11"/>
        <v>15</v>
      </c>
      <c r="M86" s="10">
        <v>250</v>
      </c>
      <c r="N86" s="10">
        <v>30</v>
      </c>
      <c r="O86" s="10">
        <f t="shared" si="2"/>
        <v>280</v>
      </c>
      <c r="P86" s="10">
        <v>28.35</v>
      </c>
      <c r="Q86" s="10">
        <f t="shared" si="3"/>
        <v>251.65</v>
      </c>
      <c r="R86" s="10">
        <v>39.4</v>
      </c>
      <c r="S86" s="10">
        <f t="shared" si="4"/>
        <v>112.25</v>
      </c>
      <c r="T86" s="10" t="s">
        <v>16</v>
      </c>
      <c r="U86" s="12"/>
      <c r="V86" s="17"/>
      <c r="W86" s="243"/>
      <c r="X86" s="14"/>
      <c r="Y86" s="14"/>
      <c r="Z86" s="238"/>
      <c r="AA86" s="238"/>
    </row>
    <row r="87" spans="1:27" ht="15" customHeight="1">
      <c r="A87" s="238">
        <f t="shared" si="9"/>
        <v>86</v>
      </c>
      <c r="B87" s="7"/>
      <c r="C87" s="7"/>
      <c r="D87" s="7"/>
      <c r="E87" s="8">
        <v>45053</v>
      </c>
      <c r="F87" s="38" t="s">
        <v>106</v>
      </c>
      <c r="G87" s="10">
        <v>20</v>
      </c>
      <c r="H87" s="10"/>
      <c r="I87" s="10">
        <f t="shared" si="0"/>
        <v>20</v>
      </c>
      <c r="J87" s="8">
        <v>45154</v>
      </c>
      <c r="K87" s="7">
        <f t="shared" si="1"/>
        <v>8</v>
      </c>
      <c r="L87" s="11">
        <f t="shared" si="11"/>
        <v>101</v>
      </c>
      <c r="M87" s="10">
        <v>100</v>
      </c>
      <c r="N87" s="10"/>
      <c r="O87" s="10">
        <f t="shared" si="2"/>
        <v>100</v>
      </c>
      <c r="P87" s="10"/>
      <c r="Q87" s="10">
        <f t="shared" si="3"/>
        <v>100</v>
      </c>
      <c r="R87" s="10"/>
      <c r="S87" s="10">
        <f t="shared" si="4"/>
        <v>80</v>
      </c>
      <c r="T87" s="10" t="s">
        <v>19</v>
      </c>
      <c r="U87" s="12"/>
      <c r="V87" s="17"/>
      <c r="W87" s="243"/>
      <c r="X87" s="14"/>
      <c r="Y87" s="14"/>
      <c r="Z87" s="238"/>
      <c r="AA87" s="238"/>
    </row>
    <row r="88" spans="1:27" ht="15" customHeight="1">
      <c r="A88" s="238">
        <f t="shared" si="9"/>
        <v>87</v>
      </c>
      <c r="B88" s="7"/>
      <c r="C88" s="7"/>
      <c r="D88" s="8"/>
      <c r="E88" s="8">
        <v>45137</v>
      </c>
      <c r="F88" s="38" t="s">
        <v>106</v>
      </c>
      <c r="G88" s="10">
        <v>0</v>
      </c>
      <c r="H88" s="10"/>
      <c r="I88" s="10">
        <f t="shared" si="0"/>
        <v>0</v>
      </c>
      <c r="J88" s="8">
        <v>45154</v>
      </c>
      <c r="K88" s="7">
        <f t="shared" si="1"/>
        <v>8</v>
      </c>
      <c r="L88" s="11"/>
      <c r="M88" s="10">
        <v>-70</v>
      </c>
      <c r="N88" s="10"/>
      <c r="O88" s="10">
        <f t="shared" si="2"/>
        <v>-70</v>
      </c>
      <c r="P88" s="10"/>
      <c r="Q88" s="10">
        <f t="shared" si="3"/>
        <v>-70</v>
      </c>
      <c r="R88" s="10"/>
      <c r="S88" s="10">
        <f t="shared" si="4"/>
        <v>-70</v>
      </c>
      <c r="T88" s="10" t="s">
        <v>19</v>
      </c>
      <c r="U88" s="12"/>
      <c r="V88" s="17"/>
      <c r="W88" s="243"/>
      <c r="X88" s="14"/>
      <c r="Y88" s="14"/>
      <c r="Z88" s="238"/>
      <c r="AA88" s="238"/>
    </row>
    <row r="89" spans="1:27" ht="15" customHeight="1">
      <c r="A89" s="238">
        <f t="shared" si="9"/>
        <v>88</v>
      </c>
      <c r="B89" s="7"/>
      <c r="C89" s="7"/>
      <c r="D89" s="7"/>
      <c r="E89" s="8">
        <v>45046</v>
      </c>
      <c r="F89" s="38" t="s">
        <v>106</v>
      </c>
      <c r="G89" s="10">
        <v>2</v>
      </c>
      <c r="H89" s="10"/>
      <c r="I89" s="10">
        <f t="shared" si="0"/>
        <v>2</v>
      </c>
      <c r="J89" s="8">
        <v>45157</v>
      </c>
      <c r="K89" s="7">
        <f t="shared" si="1"/>
        <v>8</v>
      </c>
      <c r="L89" s="11">
        <f t="shared" ref="L89:L224" si="12">IF($J89&lt;&gt;"",SUM(J89-E89),"")</f>
        <v>111</v>
      </c>
      <c r="M89" s="10">
        <v>30</v>
      </c>
      <c r="N89" s="10"/>
      <c r="O89" s="10">
        <f t="shared" si="2"/>
        <v>30</v>
      </c>
      <c r="P89" s="10"/>
      <c r="Q89" s="10">
        <f t="shared" si="3"/>
        <v>30</v>
      </c>
      <c r="R89" s="10"/>
      <c r="S89" s="10">
        <f t="shared" si="4"/>
        <v>28</v>
      </c>
      <c r="T89" s="10" t="s">
        <v>19</v>
      </c>
      <c r="U89" s="12"/>
      <c r="V89" s="17"/>
      <c r="W89" s="243"/>
      <c r="X89" s="14"/>
      <c r="Y89" s="14"/>
      <c r="Z89" s="238"/>
      <c r="AA89" s="238"/>
    </row>
    <row r="90" spans="1:27" ht="15" customHeight="1">
      <c r="A90" s="238">
        <f t="shared" si="9"/>
        <v>89</v>
      </c>
      <c r="B90" s="7"/>
      <c r="C90" s="7"/>
      <c r="D90" s="8"/>
      <c r="E90" s="8">
        <v>45137</v>
      </c>
      <c r="F90" s="38" t="s">
        <v>106</v>
      </c>
      <c r="G90" s="10">
        <v>60</v>
      </c>
      <c r="H90" s="10"/>
      <c r="I90" s="10">
        <f t="shared" si="0"/>
        <v>60</v>
      </c>
      <c r="J90" s="8">
        <v>45159</v>
      </c>
      <c r="K90" s="7">
        <f t="shared" si="1"/>
        <v>8</v>
      </c>
      <c r="L90" s="11">
        <f t="shared" si="12"/>
        <v>22</v>
      </c>
      <c r="M90" s="10">
        <v>120</v>
      </c>
      <c r="N90" s="10"/>
      <c r="O90" s="10">
        <f t="shared" si="2"/>
        <v>120</v>
      </c>
      <c r="P90" s="10"/>
      <c r="Q90" s="10">
        <f t="shared" si="3"/>
        <v>120</v>
      </c>
      <c r="R90" s="10">
        <v>4.4000000000000004</v>
      </c>
      <c r="S90" s="10">
        <f t="shared" si="4"/>
        <v>55.6</v>
      </c>
      <c r="T90" s="158" t="s">
        <v>19</v>
      </c>
      <c r="U90" s="12"/>
      <c r="V90" s="17"/>
      <c r="W90" s="243"/>
      <c r="X90" s="14"/>
      <c r="Y90" s="14"/>
      <c r="Z90" s="238"/>
      <c r="AA90" s="238"/>
    </row>
    <row r="91" spans="1:27" ht="15" customHeight="1">
      <c r="A91" s="238">
        <f t="shared" si="9"/>
        <v>90</v>
      </c>
      <c r="B91" s="7"/>
      <c r="C91" s="7"/>
      <c r="D91" s="8"/>
      <c r="E91" s="8">
        <v>45158</v>
      </c>
      <c r="F91" s="38" t="s">
        <v>106</v>
      </c>
      <c r="G91" s="10">
        <v>10</v>
      </c>
      <c r="H91" s="10">
        <v>20</v>
      </c>
      <c r="I91" s="10">
        <f t="shared" si="0"/>
        <v>30</v>
      </c>
      <c r="J91" s="8">
        <v>45164</v>
      </c>
      <c r="K91" s="7">
        <f t="shared" si="1"/>
        <v>8</v>
      </c>
      <c r="L91" s="11">
        <f t="shared" si="12"/>
        <v>6</v>
      </c>
      <c r="M91" s="10">
        <v>45</v>
      </c>
      <c r="N91" s="10"/>
      <c r="O91" s="10">
        <f t="shared" si="2"/>
        <v>45</v>
      </c>
      <c r="P91" s="10"/>
      <c r="Q91" s="10">
        <f t="shared" si="3"/>
        <v>45</v>
      </c>
      <c r="R91" s="10"/>
      <c r="S91" s="10">
        <f t="shared" si="4"/>
        <v>15</v>
      </c>
      <c r="T91" s="158" t="s">
        <v>19</v>
      </c>
      <c r="U91" s="12"/>
      <c r="V91" s="17"/>
      <c r="W91" s="243"/>
      <c r="X91" s="14"/>
      <c r="Y91" s="14"/>
      <c r="Z91" s="238"/>
      <c r="AA91" s="238"/>
    </row>
    <row r="92" spans="1:27" ht="15" customHeight="1">
      <c r="A92" s="238">
        <f t="shared" si="9"/>
        <v>91</v>
      </c>
      <c r="B92" s="7"/>
      <c r="C92" s="7"/>
      <c r="D92" s="8"/>
      <c r="E92" s="8">
        <v>45137</v>
      </c>
      <c r="F92" s="38" t="s">
        <v>106</v>
      </c>
      <c r="G92" s="10">
        <v>8.5</v>
      </c>
      <c r="H92" s="10"/>
      <c r="I92" s="10">
        <f t="shared" si="0"/>
        <v>8.5</v>
      </c>
      <c r="J92" s="8">
        <v>45164</v>
      </c>
      <c r="K92" s="7">
        <f t="shared" si="1"/>
        <v>8</v>
      </c>
      <c r="L92" s="11">
        <f t="shared" si="12"/>
        <v>27</v>
      </c>
      <c r="M92" s="10">
        <v>60</v>
      </c>
      <c r="N92" s="10">
        <v>10</v>
      </c>
      <c r="O92" s="10">
        <f t="shared" si="2"/>
        <v>70</v>
      </c>
      <c r="P92" s="10">
        <v>7.35</v>
      </c>
      <c r="Q92" s="10">
        <f t="shared" si="3"/>
        <v>62.65</v>
      </c>
      <c r="R92" s="10">
        <v>2.99</v>
      </c>
      <c r="S92" s="10">
        <f t="shared" si="4"/>
        <v>51.16</v>
      </c>
      <c r="T92" s="10" t="s">
        <v>16</v>
      </c>
      <c r="U92" s="12"/>
      <c r="V92" s="17"/>
      <c r="W92" s="243"/>
      <c r="X92" s="14"/>
      <c r="Y92" s="14"/>
      <c r="Z92" s="238"/>
      <c r="AA92" s="238"/>
    </row>
    <row r="93" spans="1:27" ht="15" customHeight="1">
      <c r="A93" s="238">
        <f t="shared" si="9"/>
        <v>92</v>
      </c>
      <c r="B93" s="7"/>
      <c r="C93" s="7"/>
      <c r="D93" s="8"/>
      <c r="E93" s="8">
        <v>45165</v>
      </c>
      <c r="F93" s="38" t="s">
        <v>106</v>
      </c>
      <c r="G93" s="10">
        <v>3</v>
      </c>
      <c r="H93" s="10"/>
      <c r="I93" s="10">
        <f t="shared" si="0"/>
        <v>3</v>
      </c>
      <c r="J93" s="8">
        <v>45166</v>
      </c>
      <c r="K93" s="7">
        <f t="shared" si="1"/>
        <v>8</v>
      </c>
      <c r="L93" s="11">
        <f t="shared" si="12"/>
        <v>1</v>
      </c>
      <c r="M93" s="10">
        <v>20</v>
      </c>
      <c r="N93" s="10"/>
      <c r="O93" s="10">
        <f t="shared" si="2"/>
        <v>20</v>
      </c>
      <c r="P93" s="10"/>
      <c r="Q93" s="10">
        <f t="shared" si="3"/>
        <v>20</v>
      </c>
      <c r="R93" s="10"/>
      <c r="S93" s="10">
        <f t="shared" si="4"/>
        <v>17</v>
      </c>
      <c r="T93" s="10" t="s">
        <v>19</v>
      </c>
      <c r="U93" s="12"/>
      <c r="V93" s="17"/>
      <c r="W93" s="243"/>
      <c r="X93" s="14"/>
      <c r="Y93" s="14"/>
      <c r="Z93" s="238"/>
      <c r="AA93" s="238"/>
    </row>
    <row r="94" spans="1:27" ht="15" customHeight="1">
      <c r="A94" s="238">
        <f t="shared" si="9"/>
        <v>93</v>
      </c>
      <c r="B94" s="7"/>
      <c r="C94" s="7"/>
      <c r="D94" s="8"/>
      <c r="E94" s="8">
        <v>45121</v>
      </c>
      <c r="F94" s="38" t="s">
        <v>106</v>
      </c>
      <c r="G94" s="10">
        <v>10</v>
      </c>
      <c r="H94" s="10">
        <v>20</v>
      </c>
      <c r="I94" s="10">
        <f t="shared" si="0"/>
        <v>30</v>
      </c>
      <c r="J94" s="8">
        <v>45168</v>
      </c>
      <c r="K94" s="7">
        <f t="shared" si="1"/>
        <v>8</v>
      </c>
      <c r="L94" s="11">
        <f t="shared" si="12"/>
        <v>47</v>
      </c>
      <c r="M94" s="10">
        <v>60</v>
      </c>
      <c r="N94" s="10">
        <v>10</v>
      </c>
      <c r="O94" s="10">
        <f t="shared" si="2"/>
        <v>70</v>
      </c>
      <c r="P94" s="10">
        <v>7.35</v>
      </c>
      <c r="Q94" s="10">
        <f t="shared" si="3"/>
        <v>62.65</v>
      </c>
      <c r="R94" s="10">
        <v>2.99</v>
      </c>
      <c r="S94" s="10">
        <f t="shared" si="4"/>
        <v>29.659999999999997</v>
      </c>
      <c r="T94" s="10" t="s">
        <v>16</v>
      </c>
      <c r="U94" s="12"/>
      <c r="V94" s="17"/>
      <c r="W94" s="243"/>
      <c r="X94" s="14"/>
      <c r="Y94" s="14"/>
      <c r="Z94" s="238"/>
      <c r="AA94" s="238"/>
    </row>
    <row r="95" spans="1:27" ht="15" customHeight="1">
      <c r="A95" s="238">
        <f t="shared" si="9"/>
        <v>94</v>
      </c>
      <c r="B95" s="7"/>
      <c r="C95" s="7"/>
      <c r="D95" s="8"/>
      <c r="E95" s="8">
        <v>45165</v>
      </c>
      <c r="F95" s="38" t="s">
        <v>106</v>
      </c>
      <c r="G95" s="10">
        <v>10</v>
      </c>
      <c r="H95" s="10"/>
      <c r="I95" s="10">
        <f t="shared" si="0"/>
        <v>10</v>
      </c>
      <c r="J95" s="8">
        <v>45168</v>
      </c>
      <c r="K95" s="7">
        <f t="shared" si="1"/>
        <v>8</v>
      </c>
      <c r="L95" s="11">
        <f t="shared" si="12"/>
        <v>3</v>
      </c>
      <c r="M95" s="10">
        <v>60</v>
      </c>
      <c r="N95" s="10">
        <v>10</v>
      </c>
      <c r="O95" s="10">
        <f t="shared" si="2"/>
        <v>70</v>
      </c>
      <c r="P95" s="10">
        <v>7.35</v>
      </c>
      <c r="Q95" s="10">
        <f t="shared" si="3"/>
        <v>62.65</v>
      </c>
      <c r="R95" s="10">
        <v>2.99</v>
      </c>
      <c r="S95" s="10">
        <f t="shared" si="4"/>
        <v>49.66</v>
      </c>
      <c r="T95" s="10" t="s">
        <v>16</v>
      </c>
      <c r="U95" s="12"/>
      <c r="V95" s="17"/>
      <c r="W95" s="243"/>
      <c r="X95" s="14"/>
      <c r="Y95" s="14"/>
      <c r="Z95" s="238"/>
      <c r="AA95" s="238"/>
    </row>
    <row r="96" spans="1:27" ht="15" customHeight="1">
      <c r="A96" s="238">
        <f t="shared" si="9"/>
        <v>95</v>
      </c>
      <c r="B96" s="7"/>
      <c r="C96" s="7"/>
      <c r="D96" s="8"/>
      <c r="E96" s="8">
        <v>45165</v>
      </c>
      <c r="F96" s="38"/>
      <c r="G96" s="10">
        <v>0</v>
      </c>
      <c r="H96" s="10"/>
      <c r="I96" s="10">
        <f t="shared" si="0"/>
        <v>0</v>
      </c>
      <c r="J96" s="8">
        <v>45169</v>
      </c>
      <c r="K96" s="7">
        <f t="shared" si="1"/>
        <v>8</v>
      </c>
      <c r="L96" s="11">
        <f t="shared" si="12"/>
        <v>4</v>
      </c>
      <c r="M96" s="10">
        <v>10</v>
      </c>
      <c r="N96" s="10"/>
      <c r="O96" s="10">
        <f t="shared" si="2"/>
        <v>10</v>
      </c>
      <c r="P96" s="10"/>
      <c r="Q96" s="10">
        <f t="shared" si="3"/>
        <v>10</v>
      </c>
      <c r="R96" s="10"/>
      <c r="S96" s="10">
        <f t="shared" si="4"/>
        <v>10</v>
      </c>
      <c r="T96" s="10" t="s">
        <v>19</v>
      </c>
      <c r="U96" s="12"/>
      <c r="V96" s="17"/>
      <c r="W96" s="243"/>
      <c r="X96" s="14"/>
      <c r="Y96" s="14"/>
      <c r="Z96" s="238"/>
      <c r="AA96" s="238"/>
    </row>
    <row r="97" spans="1:27" ht="15" customHeight="1">
      <c r="A97" s="238">
        <f t="shared" si="9"/>
        <v>96</v>
      </c>
      <c r="B97" s="7"/>
      <c r="C97" s="7"/>
      <c r="D97" s="7"/>
      <c r="E97" s="8">
        <v>45075</v>
      </c>
      <c r="F97" s="38" t="s">
        <v>106</v>
      </c>
      <c r="G97" s="10">
        <v>10</v>
      </c>
      <c r="H97" s="10"/>
      <c r="I97" s="10">
        <f t="shared" si="0"/>
        <v>10</v>
      </c>
      <c r="J97" s="8">
        <v>45170</v>
      </c>
      <c r="K97" s="7">
        <f t="shared" si="1"/>
        <v>9</v>
      </c>
      <c r="L97" s="11">
        <f t="shared" si="12"/>
        <v>95</v>
      </c>
      <c r="M97" s="10">
        <v>40</v>
      </c>
      <c r="N97" s="10"/>
      <c r="O97" s="10">
        <f t="shared" si="2"/>
        <v>40</v>
      </c>
      <c r="P97" s="10"/>
      <c r="Q97" s="10">
        <f t="shared" si="3"/>
        <v>40</v>
      </c>
      <c r="R97" s="10"/>
      <c r="S97" s="10">
        <f t="shared" si="4"/>
        <v>30</v>
      </c>
      <c r="T97" s="10" t="s">
        <v>19</v>
      </c>
      <c r="U97" s="12"/>
      <c r="V97" s="17"/>
      <c r="W97" s="243"/>
      <c r="X97" s="14"/>
      <c r="Y97" s="14"/>
      <c r="Z97" s="238"/>
      <c r="AA97" s="238"/>
    </row>
    <row r="98" spans="1:27" ht="15" customHeight="1">
      <c r="A98" s="238">
        <f t="shared" si="9"/>
        <v>97</v>
      </c>
      <c r="B98" s="7"/>
      <c r="C98" s="7"/>
      <c r="D98" s="8"/>
      <c r="E98" s="8">
        <v>45166</v>
      </c>
      <c r="F98" s="38"/>
      <c r="G98" s="10">
        <v>0</v>
      </c>
      <c r="H98" s="10"/>
      <c r="I98" s="10">
        <f t="shared" si="0"/>
        <v>0</v>
      </c>
      <c r="J98" s="8">
        <v>45173</v>
      </c>
      <c r="K98" s="7">
        <f t="shared" si="1"/>
        <v>9</v>
      </c>
      <c r="L98" s="11">
        <f t="shared" si="12"/>
        <v>7</v>
      </c>
      <c r="M98" s="10">
        <v>20</v>
      </c>
      <c r="N98" s="10"/>
      <c r="O98" s="10">
        <f t="shared" si="2"/>
        <v>20</v>
      </c>
      <c r="P98" s="10"/>
      <c r="Q98" s="10">
        <f t="shared" si="3"/>
        <v>20</v>
      </c>
      <c r="R98" s="10"/>
      <c r="S98" s="10">
        <f t="shared" si="4"/>
        <v>20</v>
      </c>
      <c r="T98" s="10" t="s">
        <v>19</v>
      </c>
      <c r="U98" s="12"/>
      <c r="V98" s="17"/>
      <c r="W98" s="243"/>
      <c r="X98" s="14"/>
      <c r="Y98" s="14"/>
      <c r="Z98" s="238"/>
      <c r="AA98" s="238"/>
    </row>
    <row r="99" spans="1:27" ht="15" customHeight="1">
      <c r="A99" s="238">
        <f t="shared" si="9"/>
        <v>98</v>
      </c>
      <c r="B99" s="7"/>
      <c r="C99" s="7"/>
      <c r="D99" s="7"/>
      <c r="E99" s="8">
        <v>45075</v>
      </c>
      <c r="F99" s="38" t="s">
        <v>106</v>
      </c>
      <c r="G99" s="10">
        <v>15</v>
      </c>
      <c r="H99" s="10"/>
      <c r="I99" s="10">
        <f t="shared" si="0"/>
        <v>15</v>
      </c>
      <c r="J99" s="8">
        <v>45173</v>
      </c>
      <c r="K99" s="7">
        <f t="shared" si="1"/>
        <v>9</v>
      </c>
      <c r="L99" s="11">
        <f t="shared" si="12"/>
        <v>98</v>
      </c>
      <c r="M99" s="10">
        <v>60</v>
      </c>
      <c r="N99" s="10">
        <v>10</v>
      </c>
      <c r="O99" s="10">
        <f t="shared" si="2"/>
        <v>70</v>
      </c>
      <c r="P99" s="10">
        <v>7.35</v>
      </c>
      <c r="Q99" s="10">
        <f t="shared" si="3"/>
        <v>62.65</v>
      </c>
      <c r="R99" s="10">
        <v>2.99</v>
      </c>
      <c r="S99" s="10">
        <f t="shared" si="4"/>
        <v>44.66</v>
      </c>
      <c r="T99" s="10" t="s">
        <v>16</v>
      </c>
      <c r="U99" s="12"/>
      <c r="V99" s="17"/>
      <c r="W99" s="243"/>
      <c r="X99" s="14"/>
      <c r="Y99" s="14"/>
      <c r="Z99" s="238"/>
      <c r="AA99" s="238"/>
    </row>
    <row r="100" spans="1:27" ht="15" customHeight="1">
      <c r="A100" s="238">
        <f t="shared" si="9"/>
        <v>99</v>
      </c>
      <c r="B100" s="7"/>
      <c r="C100" s="7"/>
      <c r="D100" s="7"/>
      <c r="E100" s="8">
        <v>45081</v>
      </c>
      <c r="F100" s="38" t="s">
        <v>106</v>
      </c>
      <c r="G100" s="10">
        <v>20</v>
      </c>
      <c r="H100" s="10"/>
      <c r="I100" s="10">
        <f t="shared" si="0"/>
        <v>20</v>
      </c>
      <c r="J100" s="8">
        <v>45176</v>
      </c>
      <c r="K100" s="7">
        <f t="shared" si="1"/>
        <v>9</v>
      </c>
      <c r="L100" s="11">
        <f t="shared" si="12"/>
        <v>95</v>
      </c>
      <c r="M100" s="10">
        <v>50</v>
      </c>
      <c r="N100" s="10"/>
      <c r="O100" s="10">
        <f t="shared" si="2"/>
        <v>50</v>
      </c>
      <c r="P100" s="10">
        <v>6.35</v>
      </c>
      <c r="Q100" s="10">
        <f t="shared" si="3"/>
        <v>43.65</v>
      </c>
      <c r="R100" s="10">
        <v>2.99</v>
      </c>
      <c r="S100" s="10">
        <f t="shared" si="4"/>
        <v>20.659999999999997</v>
      </c>
      <c r="T100" s="10" t="s">
        <v>16</v>
      </c>
      <c r="U100" s="12"/>
      <c r="V100" s="17"/>
      <c r="W100" s="243"/>
      <c r="X100" s="14"/>
      <c r="Y100" s="14"/>
      <c r="Z100" s="238"/>
      <c r="AA100" s="238"/>
    </row>
    <row r="101" spans="1:27" ht="15" customHeight="1">
      <c r="A101" s="238">
        <f t="shared" si="9"/>
        <v>100</v>
      </c>
      <c r="B101" s="7"/>
      <c r="C101" s="7"/>
      <c r="D101" s="8"/>
      <c r="E101" s="8">
        <v>45137</v>
      </c>
      <c r="F101" s="38" t="s">
        <v>106</v>
      </c>
      <c r="G101" s="10">
        <v>6</v>
      </c>
      <c r="H101" s="10"/>
      <c r="I101" s="10">
        <f t="shared" si="0"/>
        <v>6</v>
      </c>
      <c r="J101" s="8">
        <v>45177</v>
      </c>
      <c r="K101" s="7">
        <f t="shared" si="1"/>
        <v>9</v>
      </c>
      <c r="L101" s="11">
        <f t="shared" si="12"/>
        <v>40</v>
      </c>
      <c r="M101" s="10">
        <v>55</v>
      </c>
      <c r="N101" s="10">
        <v>10</v>
      </c>
      <c r="O101" s="10">
        <f t="shared" si="2"/>
        <v>65</v>
      </c>
      <c r="P101" s="10">
        <v>6.85</v>
      </c>
      <c r="Q101" s="10">
        <f t="shared" si="3"/>
        <v>58.15</v>
      </c>
      <c r="R101" s="10">
        <v>9.1999999999999993</v>
      </c>
      <c r="S101" s="10">
        <f t="shared" si="4"/>
        <v>42.95</v>
      </c>
      <c r="T101" s="10" t="s">
        <v>16</v>
      </c>
      <c r="U101" s="12"/>
      <c r="V101" s="17"/>
      <c r="W101" s="243"/>
      <c r="X101" s="14"/>
      <c r="Y101" s="14"/>
      <c r="Z101" s="238"/>
      <c r="AA101" s="238"/>
    </row>
    <row r="102" spans="1:27" ht="15" customHeight="1">
      <c r="A102" s="238">
        <f t="shared" si="9"/>
        <v>101</v>
      </c>
      <c r="B102" s="7"/>
      <c r="C102" s="7"/>
      <c r="D102" s="8"/>
      <c r="E102" s="8">
        <v>45179</v>
      </c>
      <c r="F102" s="38"/>
      <c r="G102" s="10">
        <v>10</v>
      </c>
      <c r="H102" s="10"/>
      <c r="I102" s="10">
        <f t="shared" si="0"/>
        <v>10</v>
      </c>
      <c r="J102" s="8">
        <v>45180</v>
      </c>
      <c r="K102" s="7">
        <f t="shared" si="1"/>
        <v>9</v>
      </c>
      <c r="L102" s="11">
        <f t="shared" si="12"/>
        <v>1</v>
      </c>
      <c r="M102" s="10">
        <v>60</v>
      </c>
      <c r="N102" s="10"/>
      <c r="O102" s="10">
        <f t="shared" si="2"/>
        <v>60</v>
      </c>
      <c r="P102" s="10"/>
      <c r="Q102" s="10">
        <f t="shared" si="3"/>
        <v>60</v>
      </c>
      <c r="R102" s="10"/>
      <c r="S102" s="10">
        <f t="shared" si="4"/>
        <v>50</v>
      </c>
      <c r="T102" s="10" t="s">
        <v>19</v>
      </c>
      <c r="U102" s="12"/>
      <c r="V102" s="17"/>
      <c r="W102" s="243"/>
      <c r="X102" s="14"/>
      <c r="Y102" s="14"/>
      <c r="Z102" s="238"/>
      <c r="AA102" s="238"/>
    </row>
    <row r="103" spans="1:27" ht="15" customHeight="1">
      <c r="A103" s="238">
        <f t="shared" si="9"/>
        <v>102</v>
      </c>
      <c r="B103" s="7"/>
      <c r="C103" s="7"/>
      <c r="D103" s="8"/>
      <c r="E103" s="8">
        <v>45172</v>
      </c>
      <c r="F103" s="38"/>
      <c r="G103" s="10">
        <v>4</v>
      </c>
      <c r="H103" s="10"/>
      <c r="I103" s="10">
        <f t="shared" si="0"/>
        <v>4</v>
      </c>
      <c r="J103" s="8">
        <v>45180</v>
      </c>
      <c r="K103" s="7">
        <f t="shared" si="1"/>
        <v>9</v>
      </c>
      <c r="L103" s="11">
        <f t="shared" si="12"/>
        <v>8</v>
      </c>
      <c r="M103" s="10">
        <v>25</v>
      </c>
      <c r="N103" s="10"/>
      <c r="O103" s="10">
        <f t="shared" si="2"/>
        <v>25</v>
      </c>
      <c r="P103" s="10"/>
      <c r="Q103" s="10">
        <f t="shared" si="3"/>
        <v>25</v>
      </c>
      <c r="R103" s="10"/>
      <c r="S103" s="10">
        <f t="shared" si="4"/>
        <v>21</v>
      </c>
      <c r="T103" s="10" t="s">
        <v>19</v>
      </c>
      <c r="U103" s="12"/>
      <c r="V103" s="17"/>
      <c r="W103" s="243"/>
      <c r="X103" s="14"/>
      <c r="Y103" s="14"/>
      <c r="Z103" s="238"/>
      <c r="AA103" s="238"/>
    </row>
    <row r="104" spans="1:27" ht="15" customHeight="1">
      <c r="A104" s="238">
        <f t="shared" si="9"/>
        <v>103</v>
      </c>
      <c r="B104" s="7"/>
      <c r="C104" s="7"/>
      <c r="D104" s="8"/>
      <c r="E104" s="8">
        <v>45053</v>
      </c>
      <c r="F104" s="38"/>
      <c r="G104" s="10">
        <v>20</v>
      </c>
      <c r="H104" s="10"/>
      <c r="I104" s="10"/>
      <c r="J104" s="8">
        <v>45180</v>
      </c>
      <c r="K104" s="7">
        <f t="shared" si="1"/>
        <v>9</v>
      </c>
      <c r="L104" s="11">
        <f t="shared" si="12"/>
        <v>127</v>
      </c>
      <c r="M104" s="10">
        <v>70</v>
      </c>
      <c r="N104" s="10">
        <v>20</v>
      </c>
      <c r="O104" s="10">
        <f t="shared" si="2"/>
        <v>90</v>
      </c>
      <c r="P104" s="10">
        <v>9.35</v>
      </c>
      <c r="Q104" s="10">
        <f t="shared" si="3"/>
        <v>80.650000000000006</v>
      </c>
      <c r="R104" s="10">
        <v>16.36</v>
      </c>
      <c r="S104" s="10">
        <f t="shared" si="4"/>
        <v>64.290000000000006</v>
      </c>
      <c r="T104" s="10" t="s">
        <v>16</v>
      </c>
      <c r="U104" s="12"/>
      <c r="V104" s="17"/>
      <c r="W104" s="243"/>
      <c r="X104" s="14"/>
      <c r="Y104" s="14"/>
      <c r="Z104" s="238"/>
      <c r="AA104" s="238"/>
    </row>
    <row r="105" spans="1:27" ht="15" customHeight="1">
      <c r="A105" s="238">
        <f t="shared" si="9"/>
        <v>104</v>
      </c>
      <c r="B105" s="7"/>
      <c r="C105" s="7"/>
      <c r="D105" s="8"/>
      <c r="E105" s="8">
        <v>45158</v>
      </c>
      <c r="F105" s="38"/>
      <c r="G105" s="10">
        <v>7.5</v>
      </c>
      <c r="H105" s="10"/>
      <c r="I105" s="10">
        <f t="shared" ref="I105:I221" si="13">IF($G105&lt;&gt;"",SUM(G105:H105),"")</f>
        <v>7.5</v>
      </c>
      <c r="J105" s="8">
        <v>45180</v>
      </c>
      <c r="K105" s="7">
        <f t="shared" si="1"/>
        <v>9</v>
      </c>
      <c r="L105" s="11">
        <f t="shared" si="12"/>
        <v>22</v>
      </c>
      <c r="M105" s="10">
        <v>40</v>
      </c>
      <c r="N105" s="10">
        <v>10</v>
      </c>
      <c r="O105" s="10">
        <f t="shared" si="2"/>
        <v>50</v>
      </c>
      <c r="P105" s="10">
        <v>5.35</v>
      </c>
      <c r="Q105" s="10">
        <f t="shared" si="3"/>
        <v>44.65</v>
      </c>
      <c r="R105" s="10">
        <v>2.99</v>
      </c>
      <c r="S105" s="10">
        <f t="shared" si="4"/>
        <v>34.159999999999997</v>
      </c>
      <c r="T105" s="10" t="s">
        <v>16</v>
      </c>
      <c r="U105" s="12"/>
      <c r="V105" s="17"/>
      <c r="W105" s="243"/>
      <c r="X105" s="14"/>
      <c r="Y105" s="14"/>
      <c r="Z105" s="238"/>
      <c r="AA105" s="238"/>
    </row>
    <row r="106" spans="1:27" ht="15" customHeight="1">
      <c r="A106" s="238">
        <f t="shared" si="9"/>
        <v>105</v>
      </c>
      <c r="B106" s="7"/>
      <c r="C106" s="7"/>
      <c r="D106" s="8"/>
      <c r="E106" s="8">
        <v>45137</v>
      </c>
      <c r="F106" s="38" t="s">
        <v>106</v>
      </c>
      <c r="G106" s="10">
        <v>25</v>
      </c>
      <c r="H106" s="10"/>
      <c r="I106" s="10">
        <f t="shared" si="13"/>
        <v>25</v>
      </c>
      <c r="J106" s="8">
        <v>45182</v>
      </c>
      <c r="K106" s="7">
        <f t="shared" si="1"/>
        <v>9</v>
      </c>
      <c r="L106" s="11">
        <f t="shared" ref="L106:L124" si="14">IF($J106&lt;&gt;"",SUM(J106-E106),"")</f>
        <v>45</v>
      </c>
      <c r="M106" s="10">
        <v>50</v>
      </c>
      <c r="N106" s="10"/>
      <c r="O106" s="10">
        <f t="shared" ref="O106:O124" si="15">IF($J106&lt;&gt;"",SUM(M106:N106),"")</f>
        <v>50</v>
      </c>
      <c r="P106" s="10"/>
      <c r="Q106" s="10">
        <f t="shared" ref="Q106:Q169" si="16">IF(J106="","",O106-P106)</f>
        <v>50</v>
      </c>
      <c r="R106" s="10"/>
      <c r="S106" s="10">
        <f t="shared" ref="S106:S169" si="17">IF(J106="","",Q106-I106-R106)</f>
        <v>25</v>
      </c>
      <c r="T106" s="10" t="s">
        <v>19</v>
      </c>
      <c r="U106" s="12"/>
      <c r="V106" s="251"/>
      <c r="W106" s="243"/>
      <c r="X106" s="14"/>
      <c r="Y106" s="14"/>
      <c r="Z106" s="238"/>
      <c r="AA106" s="238"/>
    </row>
    <row r="107" spans="1:27" ht="15" customHeight="1">
      <c r="A107" s="238">
        <f t="shared" si="9"/>
        <v>106</v>
      </c>
      <c r="B107" s="7"/>
      <c r="C107" s="7"/>
      <c r="D107" s="8"/>
      <c r="E107" s="8">
        <v>45137</v>
      </c>
      <c r="F107" s="38" t="s">
        <v>106</v>
      </c>
      <c r="G107" s="10">
        <v>6</v>
      </c>
      <c r="H107" s="10">
        <v>20</v>
      </c>
      <c r="I107" s="10">
        <f t="shared" si="13"/>
        <v>26</v>
      </c>
      <c r="J107" s="8">
        <v>45184</v>
      </c>
      <c r="K107" s="7">
        <f t="shared" si="1"/>
        <v>9</v>
      </c>
      <c r="L107" s="11">
        <f t="shared" si="14"/>
        <v>47</v>
      </c>
      <c r="M107" s="10">
        <v>40</v>
      </c>
      <c r="N107" s="10"/>
      <c r="O107" s="10">
        <f t="shared" si="15"/>
        <v>40</v>
      </c>
      <c r="P107" s="10"/>
      <c r="Q107" s="10">
        <f t="shared" si="16"/>
        <v>40</v>
      </c>
      <c r="R107" s="10"/>
      <c r="S107" s="10">
        <f t="shared" si="17"/>
        <v>14</v>
      </c>
      <c r="T107" s="10" t="s">
        <v>19</v>
      </c>
      <c r="U107" s="12"/>
      <c r="V107" s="251"/>
      <c r="W107" s="243"/>
      <c r="X107" s="243"/>
      <c r="Y107" s="243"/>
    </row>
    <row r="108" spans="1:27" ht="15" customHeight="1">
      <c r="A108" s="238">
        <f t="shared" si="9"/>
        <v>107</v>
      </c>
      <c r="B108" s="7"/>
      <c r="C108" s="7"/>
      <c r="D108" s="7"/>
      <c r="E108" s="8">
        <v>45026</v>
      </c>
      <c r="F108" s="38" t="s">
        <v>106</v>
      </c>
      <c r="G108" s="10">
        <v>10</v>
      </c>
      <c r="H108" s="10"/>
      <c r="I108" s="10">
        <f t="shared" si="13"/>
        <v>10</v>
      </c>
      <c r="J108" s="8">
        <v>45186</v>
      </c>
      <c r="K108" s="7">
        <f t="shared" si="1"/>
        <v>9</v>
      </c>
      <c r="L108" s="11">
        <f t="shared" si="14"/>
        <v>160</v>
      </c>
      <c r="M108" s="10">
        <v>25</v>
      </c>
      <c r="N108" s="10">
        <v>10</v>
      </c>
      <c r="O108" s="10">
        <f t="shared" si="15"/>
        <v>35</v>
      </c>
      <c r="P108" s="10">
        <v>2.85</v>
      </c>
      <c r="Q108" s="10">
        <f t="shared" si="16"/>
        <v>32.15</v>
      </c>
      <c r="R108" s="10">
        <v>2.99</v>
      </c>
      <c r="S108" s="10">
        <f t="shared" si="17"/>
        <v>19.159999999999997</v>
      </c>
      <c r="T108" s="10" t="s">
        <v>16</v>
      </c>
      <c r="U108" s="12"/>
      <c r="V108" s="251"/>
      <c r="W108" s="243"/>
      <c r="X108" s="243"/>
      <c r="Y108" s="243"/>
    </row>
    <row r="109" spans="1:27" ht="15" customHeight="1">
      <c r="A109" s="238">
        <f t="shared" si="9"/>
        <v>108</v>
      </c>
      <c r="B109" s="7"/>
      <c r="C109" s="7"/>
      <c r="D109" s="8"/>
      <c r="E109" s="8">
        <v>45153</v>
      </c>
      <c r="F109" s="38"/>
      <c r="G109" s="10">
        <v>5</v>
      </c>
      <c r="H109" s="10">
        <v>70</v>
      </c>
      <c r="I109" s="10">
        <f t="shared" si="13"/>
        <v>75</v>
      </c>
      <c r="J109" s="8">
        <v>45186</v>
      </c>
      <c r="K109" s="7">
        <f t="shared" si="1"/>
        <v>9</v>
      </c>
      <c r="L109" s="11">
        <f t="shared" si="14"/>
        <v>33</v>
      </c>
      <c r="M109" s="10">
        <v>140</v>
      </c>
      <c r="N109" s="10">
        <v>10</v>
      </c>
      <c r="O109" s="10">
        <f t="shared" si="15"/>
        <v>150</v>
      </c>
      <c r="P109" s="10">
        <v>15.35</v>
      </c>
      <c r="Q109" s="10">
        <f t="shared" si="16"/>
        <v>134.65</v>
      </c>
      <c r="R109" s="10">
        <v>2.99</v>
      </c>
      <c r="S109" s="10">
        <f t="shared" si="17"/>
        <v>56.660000000000004</v>
      </c>
      <c r="T109" s="10" t="s">
        <v>16</v>
      </c>
      <c r="U109" s="12"/>
      <c r="V109" s="251"/>
      <c r="W109" s="243"/>
      <c r="X109" s="243"/>
      <c r="Y109" s="243"/>
    </row>
    <row r="110" spans="1:27" ht="15" customHeight="1">
      <c r="A110" s="238">
        <f t="shared" si="9"/>
        <v>109</v>
      </c>
      <c r="B110" s="7"/>
      <c r="C110" s="7"/>
      <c r="D110" s="8"/>
      <c r="E110" s="8">
        <v>45179</v>
      </c>
      <c r="F110" s="38"/>
      <c r="G110" s="10">
        <v>5</v>
      </c>
      <c r="H110" s="10"/>
      <c r="I110" s="10">
        <f t="shared" si="13"/>
        <v>5</v>
      </c>
      <c r="J110" s="8">
        <v>45187</v>
      </c>
      <c r="K110" s="7">
        <f t="shared" si="1"/>
        <v>9</v>
      </c>
      <c r="L110" s="11">
        <f t="shared" si="14"/>
        <v>8</v>
      </c>
      <c r="M110" s="10">
        <v>60</v>
      </c>
      <c r="N110" s="10">
        <v>15</v>
      </c>
      <c r="O110" s="10">
        <f t="shared" si="15"/>
        <v>75</v>
      </c>
      <c r="P110" s="10">
        <v>7.85</v>
      </c>
      <c r="Q110" s="10">
        <f t="shared" si="16"/>
        <v>67.150000000000006</v>
      </c>
      <c r="R110" s="10">
        <v>2.99</v>
      </c>
      <c r="S110" s="10">
        <f t="shared" si="17"/>
        <v>59.160000000000004</v>
      </c>
      <c r="T110" s="10" t="s">
        <v>16</v>
      </c>
      <c r="U110" s="12"/>
      <c r="V110" s="251"/>
      <c r="W110" s="243"/>
      <c r="X110" s="243"/>
      <c r="Y110" s="243"/>
    </row>
    <row r="111" spans="1:27" ht="15" customHeight="1">
      <c r="A111" s="238">
        <f t="shared" si="9"/>
        <v>110</v>
      </c>
      <c r="B111" s="7"/>
      <c r="C111" s="7"/>
      <c r="D111" s="8"/>
      <c r="E111" s="8">
        <v>45172</v>
      </c>
      <c r="F111" s="38"/>
      <c r="G111" s="10">
        <v>5</v>
      </c>
      <c r="H111" s="10"/>
      <c r="I111" s="10">
        <f t="shared" si="13"/>
        <v>5</v>
      </c>
      <c r="J111" s="8">
        <v>45187</v>
      </c>
      <c r="K111" s="7">
        <f t="shared" si="1"/>
        <v>9</v>
      </c>
      <c r="L111" s="11">
        <f t="shared" si="14"/>
        <v>15</v>
      </c>
      <c r="M111" s="10">
        <v>35</v>
      </c>
      <c r="N111" s="10">
        <v>10</v>
      </c>
      <c r="O111" s="10">
        <f t="shared" si="15"/>
        <v>45</v>
      </c>
      <c r="P111" s="10">
        <v>4.8499999999999996</v>
      </c>
      <c r="Q111" s="10">
        <f t="shared" si="16"/>
        <v>40.15</v>
      </c>
      <c r="R111" s="10">
        <v>2.99</v>
      </c>
      <c r="S111" s="10">
        <f t="shared" si="17"/>
        <v>32.159999999999997</v>
      </c>
      <c r="T111" s="10" t="s">
        <v>16</v>
      </c>
      <c r="U111" s="12"/>
      <c r="V111" s="251"/>
      <c r="W111" s="243"/>
      <c r="X111" s="243"/>
      <c r="Y111" s="243"/>
    </row>
    <row r="112" spans="1:27" ht="15" customHeight="1">
      <c r="A112" s="238">
        <f t="shared" si="9"/>
        <v>111</v>
      </c>
      <c r="B112" s="7"/>
      <c r="C112" s="7"/>
      <c r="D112" s="8"/>
      <c r="E112" s="8">
        <v>45186</v>
      </c>
      <c r="F112" s="38"/>
      <c r="G112" s="10">
        <v>0</v>
      </c>
      <c r="H112" s="10"/>
      <c r="I112" s="10">
        <f t="shared" ref="I112:I124" si="18">IF($G112&lt;&gt;"",SUM(G112:H112),"")</f>
        <v>0</v>
      </c>
      <c r="J112" s="8">
        <v>45188</v>
      </c>
      <c r="K112" s="7">
        <f t="shared" si="1"/>
        <v>9</v>
      </c>
      <c r="L112" s="11">
        <f t="shared" si="14"/>
        <v>2</v>
      </c>
      <c r="M112" s="10">
        <v>30</v>
      </c>
      <c r="N112" s="10">
        <v>15</v>
      </c>
      <c r="O112" s="10">
        <f t="shared" si="15"/>
        <v>45</v>
      </c>
      <c r="P112" s="10">
        <v>4.95</v>
      </c>
      <c r="Q112" s="10">
        <f t="shared" si="16"/>
        <v>40.049999999999997</v>
      </c>
      <c r="R112" s="10">
        <v>9.1999999999999993</v>
      </c>
      <c r="S112" s="10">
        <f t="shared" si="17"/>
        <v>30.849999999999998</v>
      </c>
      <c r="T112" s="10" t="s">
        <v>16</v>
      </c>
      <c r="U112" s="12"/>
      <c r="V112" s="251"/>
      <c r="W112" s="243"/>
      <c r="X112" s="243"/>
      <c r="Y112" s="243"/>
    </row>
    <row r="113" spans="1:26" ht="15" customHeight="1">
      <c r="A113" s="238">
        <f t="shared" si="9"/>
        <v>112</v>
      </c>
      <c r="B113" s="7"/>
      <c r="C113" s="7"/>
      <c r="D113" s="8"/>
      <c r="E113" s="8">
        <v>45186</v>
      </c>
      <c r="F113" s="38"/>
      <c r="G113" s="10">
        <v>10</v>
      </c>
      <c r="H113" s="10"/>
      <c r="I113" s="10">
        <f t="shared" si="18"/>
        <v>10</v>
      </c>
      <c r="J113" s="8">
        <v>45188</v>
      </c>
      <c r="K113" s="7">
        <f t="shared" si="1"/>
        <v>9</v>
      </c>
      <c r="L113" s="11">
        <f t="shared" si="14"/>
        <v>2</v>
      </c>
      <c r="M113" s="10">
        <v>60</v>
      </c>
      <c r="N113" s="10"/>
      <c r="O113" s="10">
        <f t="shared" si="15"/>
        <v>60</v>
      </c>
      <c r="P113" s="10"/>
      <c r="Q113" s="10">
        <f t="shared" si="16"/>
        <v>60</v>
      </c>
      <c r="R113" s="10"/>
      <c r="S113" s="10">
        <f t="shared" si="17"/>
        <v>50</v>
      </c>
      <c r="T113" s="10" t="s">
        <v>19</v>
      </c>
      <c r="U113" s="12"/>
      <c r="V113" s="251"/>
      <c r="W113" s="243"/>
      <c r="X113" s="243"/>
      <c r="Y113" s="243"/>
    </row>
    <row r="114" spans="1:26" ht="15" customHeight="1">
      <c r="A114" s="238">
        <f t="shared" si="9"/>
        <v>113</v>
      </c>
      <c r="B114" s="7"/>
      <c r="C114" s="7"/>
      <c r="D114" s="8"/>
      <c r="E114" s="8">
        <v>45179</v>
      </c>
      <c r="F114" s="38"/>
      <c r="G114" s="10">
        <v>10</v>
      </c>
      <c r="H114" s="10"/>
      <c r="I114" s="10">
        <f t="shared" si="18"/>
        <v>10</v>
      </c>
      <c r="J114" s="8">
        <v>45192</v>
      </c>
      <c r="K114" s="7">
        <f t="shared" si="1"/>
        <v>9</v>
      </c>
      <c r="L114" s="11">
        <f t="shared" si="14"/>
        <v>13</v>
      </c>
      <c r="M114" s="10">
        <v>60</v>
      </c>
      <c r="N114" s="10"/>
      <c r="O114" s="10">
        <f t="shared" si="15"/>
        <v>60</v>
      </c>
      <c r="P114" s="10"/>
      <c r="Q114" s="10">
        <f t="shared" si="16"/>
        <v>60</v>
      </c>
      <c r="R114" s="10"/>
      <c r="S114" s="10">
        <f t="shared" si="17"/>
        <v>50</v>
      </c>
      <c r="T114" s="10" t="s">
        <v>19</v>
      </c>
      <c r="U114" s="12"/>
      <c r="V114" s="251"/>
      <c r="W114" s="243"/>
      <c r="X114" s="243"/>
      <c r="Y114" s="243"/>
    </row>
    <row r="115" spans="1:26" ht="15" customHeight="1">
      <c r="A115" s="238">
        <f t="shared" si="9"/>
        <v>114</v>
      </c>
      <c r="B115" s="7"/>
      <c r="C115" s="7"/>
      <c r="D115" s="8"/>
      <c r="E115" s="8">
        <v>45179</v>
      </c>
      <c r="F115" s="38"/>
      <c r="G115" s="10">
        <v>10</v>
      </c>
      <c r="H115" s="10"/>
      <c r="I115" s="10">
        <f t="shared" si="18"/>
        <v>10</v>
      </c>
      <c r="J115" s="8">
        <v>45192</v>
      </c>
      <c r="K115" s="7">
        <f t="shared" si="1"/>
        <v>9</v>
      </c>
      <c r="L115" s="11">
        <f t="shared" si="14"/>
        <v>13</v>
      </c>
      <c r="M115" s="10">
        <v>35</v>
      </c>
      <c r="N115" s="10"/>
      <c r="O115" s="10">
        <f t="shared" si="15"/>
        <v>35</v>
      </c>
      <c r="P115" s="10"/>
      <c r="Q115" s="10">
        <f t="shared" si="16"/>
        <v>35</v>
      </c>
      <c r="R115" s="10"/>
      <c r="S115" s="10">
        <f t="shared" si="17"/>
        <v>25</v>
      </c>
      <c r="T115" s="10" t="s">
        <v>19</v>
      </c>
      <c r="U115" s="12"/>
      <c r="V115" s="251"/>
      <c r="W115" s="243"/>
      <c r="X115" s="243"/>
      <c r="Y115" s="243"/>
    </row>
    <row r="116" spans="1:26" ht="15" customHeight="1">
      <c r="A116" s="238">
        <f t="shared" si="9"/>
        <v>115</v>
      </c>
      <c r="B116" s="7"/>
      <c r="C116" s="7"/>
      <c r="D116" s="8"/>
      <c r="E116" s="8">
        <v>45121</v>
      </c>
      <c r="F116" s="38" t="s">
        <v>106</v>
      </c>
      <c r="G116" s="10">
        <v>10</v>
      </c>
      <c r="H116" s="10"/>
      <c r="I116" s="10">
        <f t="shared" si="18"/>
        <v>10</v>
      </c>
      <c r="J116" s="8">
        <v>45194</v>
      </c>
      <c r="K116" s="7">
        <f t="shared" si="1"/>
        <v>9</v>
      </c>
      <c r="L116" s="11">
        <f t="shared" si="14"/>
        <v>73</v>
      </c>
      <c r="M116" s="10">
        <v>80</v>
      </c>
      <c r="N116" s="10">
        <v>8</v>
      </c>
      <c r="O116" s="10">
        <f t="shared" si="15"/>
        <v>88</v>
      </c>
      <c r="P116" s="10">
        <v>9.15</v>
      </c>
      <c r="Q116" s="10">
        <f t="shared" si="16"/>
        <v>78.849999999999994</v>
      </c>
      <c r="R116" s="10">
        <v>2.99</v>
      </c>
      <c r="S116" s="10">
        <f t="shared" si="17"/>
        <v>65.86</v>
      </c>
      <c r="T116" s="10" t="s">
        <v>16</v>
      </c>
      <c r="U116" s="12"/>
      <c r="V116" s="251"/>
      <c r="W116" s="243"/>
      <c r="X116" s="243"/>
      <c r="Y116" s="243"/>
    </row>
    <row r="117" spans="1:26" ht="15" customHeight="1">
      <c r="A117" s="238">
        <f t="shared" si="9"/>
        <v>116</v>
      </c>
      <c r="B117" s="7"/>
      <c r="C117" s="7"/>
      <c r="D117" s="8"/>
      <c r="E117" s="8">
        <v>45179</v>
      </c>
      <c r="F117" s="38"/>
      <c r="G117" s="10">
        <v>0</v>
      </c>
      <c r="H117" s="10"/>
      <c r="I117" s="10">
        <f t="shared" si="18"/>
        <v>0</v>
      </c>
      <c r="J117" s="8">
        <v>45180</v>
      </c>
      <c r="K117" s="7">
        <f t="shared" si="1"/>
        <v>9</v>
      </c>
      <c r="L117" s="11">
        <f t="shared" si="14"/>
        <v>1</v>
      </c>
      <c r="M117" s="10">
        <v>-60</v>
      </c>
      <c r="N117" s="10"/>
      <c r="O117" s="10">
        <f t="shared" si="15"/>
        <v>-60</v>
      </c>
      <c r="P117" s="10"/>
      <c r="Q117" s="10">
        <f t="shared" si="16"/>
        <v>-60</v>
      </c>
      <c r="R117" s="10"/>
      <c r="S117" s="10">
        <f t="shared" si="17"/>
        <v>-60</v>
      </c>
      <c r="T117" s="10" t="s">
        <v>19</v>
      </c>
      <c r="U117" s="371"/>
      <c r="V117" s="251"/>
      <c r="W117" s="243"/>
      <c r="X117" s="243"/>
      <c r="Y117" s="243"/>
    </row>
    <row r="118" spans="1:26" ht="15" customHeight="1">
      <c r="A118" s="238">
        <f t="shared" si="9"/>
        <v>117</v>
      </c>
      <c r="B118" s="7"/>
      <c r="C118" s="7"/>
      <c r="D118" s="8"/>
      <c r="E118" s="8">
        <v>45193</v>
      </c>
      <c r="F118" s="38"/>
      <c r="G118" s="10">
        <v>7</v>
      </c>
      <c r="H118" s="10"/>
      <c r="I118" s="10">
        <f t="shared" si="18"/>
        <v>7</v>
      </c>
      <c r="J118" s="8">
        <v>45194</v>
      </c>
      <c r="K118" s="7">
        <f t="shared" si="1"/>
        <v>9</v>
      </c>
      <c r="L118" s="11">
        <f t="shared" si="14"/>
        <v>1</v>
      </c>
      <c r="M118" s="10">
        <v>20</v>
      </c>
      <c r="N118" s="10"/>
      <c r="O118" s="10">
        <f t="shared" si="15"/>
        <v>20</v>
      </c>
      <c r="P118" s="10"/>
      <c r="Q118" s="10">
        <f t="shared" si="16"/>
        <v>20</v>
      </c>
      <c r="R118" s="10"/>
      <c r="S118" s="10">
        <f t="shared" si="17"/>
        <v>13</v>
      </c>
      <c r="T118" s="10" t="s">
        <v>19</v>
      </c>
      <c r="U118" s="12"/>
      <c r="V118" s="251"/>
      <c r="W118" s="243"/>
      <c r="X118" s="243"/>
      <c r="Y118" s="243"/>
    </row>
    <row r="119" spans="1:26" ht="15" customHeight="1">
      <c r="A119" s="238">
        <f t="shared" ref="A119:A182" si="19">SUM(A118+1)</f>
        <v>118</v>
      </c>
      <c r="B119" s="7"/>
      <c r="C119" s="7"/>
      <c r="D119" s="8"/>
      <c r="E119" s="8">
        <v>45193</v>
      </c>
      <c r="F119" s="38"/>
      <c r="G119" s="10">
        <v>20</v>
      </c>
      <c r="H119" s="10"/>
      <c r="I119" s="10">
        <f t="shared" si="18"/>
        <v>20</v>
      </c>
      <c r="J119" s="8">
        <v>45195</v>
      </c>
      <c r="K119" s="7">
        <f>IF(J119="","",MONTH(J119))</f>
        <v>9</v>
      </c>
      <c r="L119" s="11">
        <f t="shared" si="14"/>
        <v>2</v>
      </c>
      <c r="M119" s="10">
        <v>150</v>
      </c>
      <c r="N119" s="10"/>
      <c r="O119" s="10">
        <f t="shared" si="15"/>
        <v>150</v>
      </c>
      <c r="P119" s="10"/>
      <c r="Q119" s="10">
        <f t="shared" si="16"/>
        <v>150</v>
      </c>
      <c r="R119" s="10"/>
      <c r="S119" s="10">
        <f t="shared" si="17"/>
        <v>130</v>
      </c>
      <c r="T119" s="10" t="s">
        <v>19</v>
      </c>
      <c r="U119" s="371"/>
      <c r="V119" s="251"/>
      <c r="W119" s="243"/>
      <c r="X119" s="243"/>
      <c r="Y119" s="243"/>
    </row>
    <row r="120" spans="1:26" ht="15" customHeight="1">
      <c r="A120" s="238">
        <f t="shared" si="19"/>
        <v>119</v>
      </c>
      <c r="B120" s="7"/>
      <c r="C120" s="7"/>
      <c r="D120" s="8"/>
      <c r="E120" s="8">
        <v>45179</v>
      </c>
      <c r="F120" s="38"/>
      <c r="G120" s="10">
        <v>10</v>
      </c>
      <c r="H120" s="10"/>
      <c r="I120" s="10">
        <f t="shared" si="18"/>
        <v>10</v>
      </c>
      <c r="J120" s="8">
        <v>45195</v>
      </c>
      <c r="K120" s="7">
        <f t="shared" ref="K120:K183" si="20">IF(J120="","",MONTH(J120))</f>
        <v>9</v>
      </c>
      <c r="L120" s="11">
        <f t="shared" si="14"/>
        <v>16</v>
      </c>
      <c r="M120" s="10">
        <v>15</v>
      </c>
      <c r="N120" s="10"/>
      <c r="O120" s="10">
        <f t="shared" si="15"/>
        <v>15</v>
      </c>
      <c r="P120" s="10"/>
      <c r="Q120" s="10">
        <f t="shared" si="16"/>
        <v>15</v>
      </c>
      <c r="R120" s="10"/>
      <c r="S120" s="10">
        <f t="shared" si="17"/>
        <v>5</v>
      </c>
      <c r="T120" s="10" t="s">
        <v>19</v>
      </c>
      <c r="U120" s="371"/>
      <c r="V120" s="251"/>
      <c r="W120" s="243"/>
      <c r="X120" s="243"/>
      <c r="Y120" s="243"/>
    </row>
    <row r="121" spans="1:26" ht="15" customHeight="1">
      <c r="A121" s="238">
        <f t="shared" si="19"/>
        <v>120</v>
      </c>
      <c r="B121" s="7"/>
      <c r="C121" s="7"/>
      <c r="D121" s="8"/>
      <c r="E121" s="8">
        <v>45165</v>
      </c>
      <c r="F121" s="38"/>
      <c r="G121" s="10">
        <v>10</v>
      </c>
      <c r="H121" s="10"/>
      <c r="I121" s="10">
        <f t="shared" si="18"/>
        <v>10</v>
      </c>
      <c r="J121" s="8">
        <v>45195</v>
      </c>
      <c r="K121" s="7">
        <f t="shared" si="20"/>
        <v>9</v>
      </c>
      <c r="L121" s="11">
        <f t="shared" si="14"/>
        <v>30</v>
      </c>
      <c r="M121" s="10">
        <v>60</v>
      </c>
      <c r="N121" s="10"/>
      <c r="O121" s="10">
        <f t="shared" si="15"/>
        <v>60</v>
      </c>
      <c r="P121" s="10"/>
      <c r="Q121" s="10">
        <f t="shared" si="16"/>
        <v>60</v>
      </c>
      <c r="R121" s="10"/>
      <c r="S121" s="10">
        <f t="shared" si="17"/>
        <v>50</v>
      </c>
      <c r="T121" s="10" t="s">
        <v>19</v>
      </c>
      <c r="U121" s="371"/>
      <c r="V121" s="251"/>
      <c r="W121" s="243"/>
      <c r="X121" s="243"/>
      <c r="Y121" s="243"/>
    </row>
    <row r="122" spans="1:26" ht="15" customHeight="1">
      <c r="A122" s="238">
        <f t="shared" si="19"/>
        <v>121</v>
      </c>
      <c r="B122" s="7"/>
      <c r="C122" s="7"/>
      <c r="D122" s="8"/>
      <c r="E122" s="8">
        <v>45193</v>
      </c>
      <c r="F122" s="38"/>
      <c r="G122" s="10">
        <v>5</v>
      </c>
      <c r="H122" s="10"/>
      <c r="I122" s="10">
        <f t="shared" si="18"/>
        <v>5</v>
      </c>
      <c r="J122" s="8">
        <v>45195</v>
      </c>
      <c r="K122" s="7">
        <f t="shared" si="20"/>
        <v>9</v>
      </c>
      <c r="L122" s="11">
        <f t="shared" si="14"/>
        <v>2</v>
      </c>
      <c r="M122" s="10">
        <v>50</v>
      </c>
      <c r="N122" s="10"/>
      <c r="O122" s="10">
        <f t="shared" si="15"/>
        <v>50</v>
      </c>
      <c r="P122" s="10"/>
      <c r="Q122" s="10">
        <f t="shared" si="16"/>
        <v>50</v>
      </c>
      <c r="R122" s="10"/>
      <c r="S122" s="10">
        <f t="shared" si="17"/>
        <v>45</v>
      </c>
      <c r="T122" s="10" t="s">
        <v>19</v>
      </c>
      <c r="U122" s="371"/>
      <c r="V122" s="251"/>
      <c r="W122" s="243"/>
      <c r="X122" s="243"/>
      <c r="Y122" s="243"/>
    </row>
    <row r="123" spans="1:26" ht="15" customHeight="1">
      <c r="A123" s="238">
        <f t="shared" si="19"/>
        <v>122</v>
      </c>
      <c r="B123" s="7"/>
      <c r="C123" s="7"/>
      <c r="D123" s="8"/>
      <c r="E123" s="8">
        <v>45193</v>
      </c>
      <c r="F123" s="38"/>
      <c r="G123" s="10">
        <v>30</v>
      </c>
      <c r="H123" s="10"/>
      <c r="I123" s="10">
        <f t="shared" si="18"/>
        <v>30</v>
      </c>
      <c r="J123" s="8">
        <v>45195</v>
      </c>
      <c r="K123" s="7">
        <f t="shared" si="20"/>
        <v>9</v>
      </c>
      <c r="L123" s="11">
        <f t="shared" si="14"/>
        <v>2</v>
      </c>
      <c r="M123" s="10">
        <v>60</v>
      </c>
      <c r="N123" s="10"/>
      <c r="O123" s="10">
        <f t="shared" si="15"/>
        <v>60</v>
      </c>
      <c r="P123" s="10"/>
      <c r="Q123" s="10">
        <f t="shared" si="16"/>
        <v>60</v>
      </c>
      <c r="R123" s="10"/>
      <c r="S123" s="10">
        <f t="shared" si="17"/>
        <v>30</v>
      </c>
      <c r="T123" s="10" t="s">
        <v>19</v>
      </c>
      <c r="U123" s="371"/>
      <c r="V123" s="251"/>
      <c r="W123" s="243"/>
      <c r="X123" s="243"/>
      <c r="Y123" s="243"/>
    </row>
    <row r="124" spans="1:26" ht="15" customHeight="1">
      <c r="A124" s="238">
        <f t="shared" si="19"/>
        <v>123</v>
      </c>
      <c r="B124" s="7"/>
      <c r="C124" s="7"/>
      <c r="D124" s="8"/>
      <c r="E124" s="8">
        <v>45186</v>
      </c>
      <c r="F124" s="38"/>
      <c r="G124" s="10">
        <v>12.5</v>
      </c>
      <c r="H124" s="10"/>
      <c r="I124" s="10">
        <f t="shared" si="18"/>
        <v>12.5</v>
      </c>
      <c r="J124" s="8">
        <v>45197</v>
      </c>
      <c r="K124" s="7">
        <f t="shared" si="20"/>
        <v>9</v>
      </c>
      <c r="L124" s="11">
        <f t="shared" si="14"/>
        <v>11</v>
      </c>
      <c r="M124" s="10">
        <v>15</v>
      </c>
      <c r="N124" s="10">
        <v>10</v>
      </c>
      <c r="O124" s="10">
        <f t="shared" si="15"/>
        <v>25</v>
      </c>
      <c r="P124" s="10">
        <v>2.85</v>
      </c>
      <c r="Q124" s="10">
        <f t="shared" si="16"/>
        <v>22.15</v>
      </c>
      <c r="R124" s="10">
        <v>2.99</v>
      </c>
      <c r="S124" s="10">
        <f t="shared" si="17"/>
        <v>6.6599999999999984</v>
      </c>
      <c r="T124" s="10" t="s">
        <v>16</v>
      </c>
      <c r="U124" s="371"/>
      <c r="V124" s="251"/>
      <c r="W124" s="243"/>
      <c r="X124" s="243"/>
      <c r="Y124" s="243"/>
    </row>
    <row r="125" spans="1:26" ht="15" customHeight="1">
      <c r="A125" s="238">
        <f t="shared" si="19"/>
        <v>124</v>
      </c>
      <c r="B125" s="7"/>
      <c r="C125" s="7"/>
      <c r="D125" s="8"/>
      <c r="E125" s="8">
        <v>45165</v>
      </c>
      <c r="F125" s="38"/>
      <c r="G125" s="10">
        <v>6</v>
      </c>
      <c r="H125" s="10"/>
      <c r="I125" s="10">
        <f t="shared" ref="I125:I187" si="21">IF($G125&lt;&gt;"",SUM(G125:H125),"")</f>
        <v>6</v>
      </c>
      <c r="J125" s="8">
        <v>45198</v>
      </c>
      <c r="K125" s="7">
        <f t="shared" si="20"/>
        <v>9</v>
      </c>
      <c r="L125" s="11">
        <f t="shared" ref="L125:L187" si="22">IF($J125&lt;&gt;"",SUM(J125-E125),"")</f>
        <v>33</v>
      </c>
      <c r="M125" s="10">
        <v>50</v>
      </c>
      <c r="N125" s="10">
        <v>10</v>
      </c>
      <c r="O125" s="10">
        <f t="shared" ref="O125:O187" si="23">IF($J125&lt;&gt;"",SUM(M125:N125),"")</f>
        <v>60</v>
      </c>
      <c r="P125" s="10">
        <v>6.35</v>
      </c>
      <c r="Q125" s="10">
        <f t="shared" si="16"/>
        <v>53.65</v>
      </c>
      <c r="R125" s="10">
        <v>2.99</v>
      </c>
      <c r="S125" s="10">
        <f t="shared" si="17"/>
        <v>44.66</v>
      </c>
      <c r="T125" s="10" t="s">
        <v>16</v>
      </c>
      <c r="U125" s="371"/>
      <c r="V125" s="251"/>
      <c r="W125" s="243"/>
      <c r="X125" s="243"/>
      <c r="Y125" s="243"/>
    </row>
    <row r="126" spans="1:26" ht="15" customHeight="1">
      <c r="A126" s="238">
        <f t="shared" si="19"/>
        <v>125</v>
      </c>
      <c r="B126" s="7"/>
      <c r="C126" s="7"/>
      <c r="D126" s="8"/>
      <c r="E126" s="8">
        <v>45179</v>
      </c>
      <c r="F126" s="38"/>
      <c r="G126" s="10">
        <v>20</v>
      </c>
      <c r="H126" s="10">
        <v>40</v>
      </c>
      <c r="I126" s="10">
        <f t="shared" si="21"/>
        <v>60</v>
      </c>
      <c r="J126" s="8">
        <v>45204</v>
      </c>
      <c r="K126" s="7">
        <f t="shared" si="20"/>
        <v>10</v>
      </c>
      <c r="L126" s="11">
        <f t="shared" si="22"/>
        <v>25</v>
      </c>
      <c r="M126" s="10">
        <v>230</v>
      </c>
      <c r="N126" s="10">
        <v>20</v>
      </c>
      <c r="O126" s="10">
        <f t="shared" si="23"/>
        <v>250</v>
      </c>
      <c r="P126" s="10">
        <v>25.35</v>
      </c>
      <c r="Q126" s="10">
        <f t="shared" si="16"/>
        <v>224.65</v>
      </c>
      <c r="R126" s="10">
        <v>2.99</v>
      </c>
      <c r="S126" s="10">
        <f t="shared" si="17"/>
        <v>161.66</v>
      </c>
      <c r="T126" s="10" t="s">
        <v>16</v>
      </c>
      <c r="U126" s="371" t="s">
        <v>153</v>
      </c>
      <c r="V126" s="251"/>
      <c r="W126" s="243"/>
      <c r="X126" s="243"/>
      <c r="Y126" s="260"/>
      <c r="Z126" s="261"/>
    </row>
    <row r="127" spans="1:26" ht="15" customHeight="1">
      <c r="A127" s="238">
        <f t="shared" si="19"/>
        <v>126</v>
      </c>
      <c r="B127" s="7"/>
      <c r="C127" s="7"/>
      <c r="D127" s="8"/>
      <c r="E127" s="8">
        <v>45172</v>
      </c>
      <c r="F127" s="38"/>
      <c r="G127" s="10">
        <v>30</v>
      </c>
      <c r="H127" s="10"/>
      <c r="I127" s="10">
        <f t="shared" si="21"/>
        <v>30</v>
      </c>
      <c r="J127" s="8">
        <v>45204</v>
      </c>
      <c r="K127" s="7">
        <f t="shared" si="20"/>
        <v>10</v>
      </c>
      <c r="L127" s="11">
        <f t="shared" si="22"/>
        <v>32</v>
      </c>
      <c r="M127" s="10">
        <v>80</v>
      </c>
      <c r="N127" s="10"/>
      <c r="O127" s="10">
        <f t="shared" si="23"/>
        <v>80</v>
      </c>
      <c r="P127" s="10"/>
      <c r="Q127" s="10">
        <f t="shared" si="16"/>
        <v>80</v>
      </c>
      <c r="R127" s="10"/>
      <c r="S127" s="10">
        <f t="shared" si="17"/>
        <v>50</v>
      </c>
      <c r="T127" s="10" t="s">
        <v>19</v>
      </c>
      <c r="U127" s="371"/>
      <c r="V127" s="251"/>
      <c r="W127" s="243"/>
      <c r="X127" s="243"/>
      <c r="Y127" s="243"/>
    </row>
    <row r="128" spans="1:26" ht="15" customHeight="1">
      <c r="A128" s="238">
        <f t="shared" si="19"/>
        <v>127</v>
      </c>
      <c r="B128" s="7"/>
      <c r="C128" s="7"/>
      <c r="D128" s="8"/>
      <c r="E128" s="8">
        <v>45179</v>
      </c>
      <c r="F128" s="38"/>
      <c r="G128" s="10">
        <v>15</v>
      </c>
      <c r="H128" s="10"/>
      <c r="I128" s="10">
        <f t="shared" si="21"/>
        <v>15</v>
      </c>
      <c r="J128" s="8">
        <v>45205</v>
      </c>
      <c r="K128" s="7">
        <f t="shared" si="20"/>
        <v>10</v>
      </c>
      <c r="L128" s="11">
        <f t="shared" si="22"/>
        <v>26</v>
      </c>
      <c r="M128" s="10">
        <v>50</v>
      </c>
      <c r="N128" s="10"/>
      <c r="O128" s="10">
        <f t="shared" si="23"/>
        <v>50</v>
      </c>
      <c r="P128" s="10"/>
      <c r="Q128" s="10">
        <f t="shared" si="16"/>
        <v>50</v>
      </c>
      <c r="R128" s="10"/>
      <c r="S128" s="10">
        <f t="shared" si="17"/>
        <v>35</v>
      </c>
      <c r="T128" s="10" t="s">
        <v>19</v>
      </c>
      <c r="U128" s="371" t="s">
        <v>153</v>
      </c>
      <c r="V128" s="251"/>
      <c r="W128" s="243"/>
      <c r="X128" s="243"/>
      <c r="Y128" s="243"/>
    </row>
    <row r="129" spans="1:25" ht="15" customHeight="1">
      <c r="A129" s="238">
        <f t="shared" si="19"/>
        <v>128</v>
      </c>
      <c r="B129" s="7"/>
      <c r="C129" s="7"/>
      <c r="D129" s="8"/>
      <c r="E129" s="8">
        <v>45165</v>
      </c>
      <c r="F129" s="38"/>
      <c r="G129" s="10">
        <v>10</v>
      </c>
      <c r="H129" s="10"/>
      <c r="I129" s="10">
        <f t="shared" si="21"/>
        <v>10</v>
      </c>
      <c r="J129" s="8">
        <v>45205</v>
      </c>
      <c r="K129" s="7">
        <f t="shared" si="20"/>
        <v>10</v>
      </c>
      <c r="L129" s="11">
        <f t="shared" si="22"/>
        <v>40</v>
      </c>
      <c r="M129" s="10">
        <v>40</v>
      </c>
      <c r="N129" s="10">
        <v>10</v>
      </c>
      <c r="O129" s="10">
        <f t="shared" si="23"/>
        <v>50</v>
      </c>
      <c r="P129" s="10">
        <v>5.35</v>
      </c>
      <c r="Q129" s="10">
        <f t="shared" si="16"/>
        <v>44.65</v>
      </c>
      <c r="R129" s="10">
        <v>2.99</v>
      </c>
      <c r="S129" s="10">
        <f t="shared" si="17"/>
        <v>31.659999999999997</v>
      </c>
      <c r="T129" s="10" t="s">
        <v>16</v>
      </c>
      <c r="U129" s="371"/>
      <c r="V129" s="251"/>
      <c r="W129" s="243"/>
      <c r="X129" s="243"/>
      <c r="Y129" s="243"/>
    </row>
    <row r="130" spans="1:25" ht="15" customHeight="1">
      <c r="A130" s="238">
        <f t="shared" si="19"/>
        <v>129</v>
      </c>
      <c r="B130" s="7"/>
      <c r="C130" s="7"/>
      <c r="D130" s="7"/>
      <c r="E130" s="8">
        <v>45060</v>
      </c>
      <c r="F130" s="38" t="s">
        <v>106</v>
      </c>
      <c r="G130" s="10">
        <v>7</v>
      </c>
      <c r="H130" s="10"/>
      <c r="I130" s="10">
        <f t="shared" si="21"/>
        <v>7</v>
      </c>
      <c r="J130" s="8">
        <v>45205</v>
      </c>
      <c r="K130" s="7">
        <f t="shared" si="20"/>
        <v>10</v>
      </c>
      <c r="L130" s="11">
        <f t="shared" si="22"/>
        <v>145</v>
      </c>
      <c r="M130" s="10">
        <v>60</v>
      </c>
      <c r="N130" s="10"/>
      <c r="O130" s="10">
        <f t="shared" si="23"/>
        <v>60</v>
      </c>
      <c r="P130" s="10"/>
      <c r="Q130" s="10">
        <f t="shared" si="16"/>
        <v>60</v>
      </c>
      <c r="R130" s="10"/>
      <c r="S130" s="10">
        <f t="shared" si="17"/>
        <v>53</v>
      </c>
      <c r="T130" s="10" t="s">
        <v>19</v>
      </c>
      <c r="U130" s="12" t="s">
        <v>153</v>
      </c>
      <c r="V130" s="251"/>
      <c r="W130" s="243"/>
      <c r="X130" s="243"/>
      <c r="Y130" s="243"/>
    </row>
    <row r="131" spans="1:25" ht="15" customHeight="1">
      <c r="A131" s="238">
        <f t="shared" si="19"/>
        <v>130</v>
      </c>
      <c r="B131" s="7"/>
      <c r="C131" s="7"/>
      <c r="D131" s="8"/>
      <c r="E131" s="8">
        <v>45172</v>
      </c>
      <c r="F131" s="38"/>
      <c r="G131" s="10">
        <v>5</v>
      </c>
      <c r="H131" s="10"/>
      <c r="I131" s="10">
        <f t="shared" si="21"/>
        <v>5</v>
      </c>
      <c r="J131" s="8">
        <v>45206</v>
      </c>
      <c r="K131" s="7">
        <f t="shared" si="20"/>
        <v>10</v>
      </c>
      <c r="L131" s="11">
        <f t="shared" si="22"/>
        <v>34</v>
      </c>
      <c r="M131" s="10">
        <v>30</v>
      </c>
      <c r="N131" s="10">
        <v>10</v>
      </c>
      <c r="O131" s="10">
        <f t="shared" si="23"/>
        <v>40</v>
      </c>
      <c r="P131" s="10">
        <v>4.3499999999999996</v>
      </c>
      <c r="Q131" s="10">
        <f t="shared" si="16"/>
        <v>35.65</v>
      </c>
      <c r="R131" s="10">
        <v>2.99</v>
      </c>
      <c r="S131" s="10">
        <f t="shared" si="17"/>
        <v>27.659999999999997</v>
      </c>
      <c r="T131" s="10" t="s">
        <v>16</v>
      </c>
      <c r="U131" s="371" t="s">
        <v>153</v>
      </c>
      <c r="V131" s="251"/>
      <c r="W131" s="243"/>
      <c r="X131" s="243"/>
      <c r="Y131" s="243"/>
    </row>
    <row r="132" spans="1:25" ht="15" customHeight="1">
      <c r="A132" s="238">
        <f t="shared" si="19"/>
        <v>131</v>
      </c>
      <c r="B132" s="7"/>
      <c r="C132" s="7"/>
      <c r="D132" s="8"/>
      <c r="E132" s="8">
        <v>45158</v>
      </c>
      <c r="F132" s="38"/>
      <c r="G132" s="10">
        <v>5</v>
      </c>
      <c r="H132" s="10"/>
      <c r="I132" s="10">
        <f t="shared" si="21"/>
        <v>5</v>
      </c>
      <c r="J132" s="8">
        <v>45206</v>
      </c>
      <c r="K132" s="7">
        <f t="shared" si="20"/>
        <v>10</v>
      </c>
      <c r="L132" s="11">
        <f t="shared" si="22"/>
        <v>48</v>
      </c>
      <c r="M132" s="10">
        <v>20</v>
      </c>
      <c r="N132" s="10">
        <v>10</v>
      </c>
      <c r="O132" s="10">
        <f t="shared" si="23"/>
        <v>30</v>
      </c>
      <c r="P132" s="10">
        <v>3.35</v>
      </c>
      <c r="Q132" s="10">
        <f t="shared" si="16"/>
        <v>26.65</v>
      </c>
      <c r="R132" s="10">
        <v>2.99</v>
      </c>
      <c r="S132" s="10">
        <f t="shared" si="17"/>
        <v>18.659999999999997</v>
      </c>
      <c r="T132" s="10" t="s">
        <v>16</v>
      </c>
      <c r="U132" s="371"/>
      <c r="V132" s="251"/>
      <c r="W132" s="243"/>
      <c r="X132" s="243"/>
      <c r="Y132" s="243"/>
    </row>
    <row r="133" spans="1:25" ht="15" customHeight="1">
      <c r="A133" s="238">
        <f t="shared" si="19"/>
        <v>132</v>
      </c>
      <c r="B133" s="262"/>
      <c r="C133" s="262"/>
      <c r="D133" s="8"/>
      <c r="E133" s="8">
        <v>45102</v>
      </c>
      <c r="F133" s="263" t="s">
        <v>106</v>
      </c>
      <c r="G133" s="264">
        <v>8</v>
      </c>
      <c r="H133" s="10"/>
      <c r="I133" s="264">
        <f t="shared" si="21"/>
        <v>8</v>
      </c>
      <c r="J133" s="8">
        <v>45208</v>
      </c>
      <c r="K133" s="7">
        <f t="shared" si="20"/>
        <v>10</v>
      </c>
      <c r="L133" s="11">
        <f t="shared" si="22"/>
        <v>106</v>
      </c>
      <c r="M133" s="264">
        <v>30</v>
      </c>
      <c r="N133" s="10">
        <v>10</v>
      </c>
      <c r="O133" s="10">
        <f t="shared" si="23"/>
        <v>40</v>
      </c>
      <c r="P133" s="10">
        <v>4.3499999999999996</v>
      </c>
      <c r="Q133" s="10">
        <f t="shared" si="16"/>
        <v>35.65</v>
      </c>
      <c r="R133" s="10">
        <v>2.99</v>
      </c>
      <c r="S133" s="10">
        <f t="shared" si="17"/>
        <v>24.659999999999997</v>
      </c>
      <c r="T133" s="10" t="s">
        <v>16</v>
      </c>
      <c r="U133" s="371" t="s">
        <v>153</v>
      </c>
      <c r="V133" s="251"/>
      <c r="W133" s="243"/>
      <c r="X133" s="243"/>
      <c r="Y133" s="243"/>
    </row>
    <row r="134" spans="1:25" ht="15" customHeight="1">
      <c r="A134" s="238">
        <f t="shared" si="19"/>
        <v>133</v>
      </c>
      <c r="B134" s="35"/>
      <c r="C134" s="7"/>
      <c r="D134" s="8"/>
      <c r="E134" s="8">
        <v>45158</v>
      </c>
      <c r="F134" s="38"/>
      <c r="G134" s="10">
        <v>0.5</v>
      </c>
      <c r="H134" s="10">
        <v>17</v>
      </c>
      <c r="I134" s="10">
        <f t="shared" si="21"/>
        <v>17.5</v>
      </c>
      <c r="J134" s="8">
        <v>45210</v>
      </c>
      <c r="K134" s="7">
        <f t="shared" si="20"/>
        <v>10</v>
      </c>
      <c r="L134" s="11">
        <f t="shared" si="22"/>
        <v>52</v>
      </c>
      <c r="M134" s="10">
        <v>35</v>
      </c>
      <c r="N134" s="10">
        <v>10</v>
      </c>
      <c r="O134" s="10">
        <f t="shared" si="23"/>
        <v>45</v>
      </c>
      <c r="P134" s="10">
        <v>4.8499999999999996</v>
      </c>
      <c r="Q134" s="10">
        <f t="shared" si="16"/>
        <v>40.15</v>
      </c>
      <c r="R134" s="10">
        <v>2.99</v>
      </c>
      <c r="S134" s="10">
        <f t="shared" si="17"/>
        <v>19.659999999999997</v>
      </c>
      <c r="T134" s="10" t="s">
        <v>16</v>
      </c>
      <c r="U134" s="12"/>
      <c r="V134" s="251"/>
      <c r="W134" s="243"/>
      <c r="X134" s="243"/>
      <c r="Y134" s="243"/>
    </row>
    <row r="135" spans="1:25" ht="15" customHeight="1">
      <c r="A135" s="238">
        <f t="shared" si="19"/>
        <v>134</v>
      </c>
      <c r="B135" s="7"/>
      <c r="C135" s="7"/>
      <c r="D135" s="8"/>
      <c r="E135" s="8">
        <v>45158</v>
      </c>
      <c r="F135" s="38"/>
      <c r="G135" s="10">
        <v>10</v>
      </c>
      <c r="H135" s="10"/>
      <c r="I135" s="10">
        <f t="shared" si="21"/>
        <v>10</v>
      </c>
      <c r="J135" s="8">
        <v>45212</v>
      </c>
      <c r="K135" s="7">
        <f t="shared" si="20"/>
        <v>10</v>
      </c>
      <c r="L135" s="11">
        <f t="shared" si="22"/>
        <v>54</v>
      </c>
      <c r="M135" s="10">
        <v>80</v>
      </c>
      <c r="N135" s="10">
        <v>10</v>
      </c>
      <c r="O135" s="10">
        <f t="shared" si="23"/>
        <v>90</v>
      </c>
      <c r="P135" s="10">
        <v>9.35</v>
      </c>
      <c r="Q135" s="10">
        <f t="shared" si="16"/>
        <v>80.650000000000006</v>
      </c>
      <c r="R135" s="10">
        <v>2.99</v>
      </c>
      <c r="S135" s="10">
        <f t="shared" si="17"/>
        <v>67.660000000000011</v>
      </c>
      <c r="T135" s="10" t="s">
        <v>16</v>
      </c>
      <c r="U135" s="371"/>
      <c r="V135" s="251"/>
      <c r="W135" s="243"/>
      <c r="X135" s="243"/>
      <c r="Y135" s="243"/>
    </row>
    <row r="136" spans="1:25" ht="15" customHeight="1">
      <c r="A136" s="238">
        <f t="shared" si="19"/>
        <v>135</v>
      </c>
      <c r="B136" s="7"/>
      <c r="C136" s="7"/>
      <c r="D136" s="8"/>
      <c r="E136" s="8">
        <v>45172</v>
      </c>
      <c r="F136" s="38"/>
      <c r="G136" s="10">
        <v>5</v>
      </c>
      <c r="H136" s="10"/>
      <c r="I136" s="10">
        <f t="shared" si="21"/>
        <v>5</v>
      </c>
      <c r="J136" s="8">
        <v>45213</v>
      </c>
      <c r="K136" s="7">
        <f t="shared" si="20"/>
        <v>10</v>
      </c>
      <c r="L136" s="11">
        <f t="shared" si="22"/>
        <v>41</v>
      </c>
      <c r="M136" s="10">
        <v>40</v>
      </c>
      <c r="N136" s="10">
        <v>10</v>
      </c>
      <c r="O136" s="10">
        <f t="shared" si="23"/>
        <v>50</v>
      </c>
      <c r="P136" s="10">
        <v>5.35</v>
      </c>
      <c r="Q136" s="10">
        <f t="shared" si="16"/>
        <v>44.65</v>
      </c>
      <c r="R136" s="10">
        <v>5.98</v>
      </c>
      <c r="S136" s="10">
        <f t="shared" si="17"/>
        <v>33.67</v>
      </c>
      <c r="T136" s="10" t="s">
        <v>16</v>
      </c>
      <c r="U136" s="371"/>
      <c r="V136" s="251"/>
      <c r="W136" s="243"/>
      <c r="X136" s="243"/>
      <c r="Y136" s="243"/>
    </row>
    <row r="137" spans="1:25" ht="15" customHeight="1">
      <c r="A137" s="238">
        <f t="shared" si="19"/>
        <v>136</v>
      </c>
      <c r="B137" s="265"/>
      <c r="C137" s="265"/>
      <c r="D137" s="266"/>
      <c r="E137" s="266">
        <v>45193</v>
      </c>
      <c r="F137" s="267"/>
      <c r="G137" s="268">
        <v>20</v>
      </c>
      <c r="H137" s="268">
        <v>30</v>
      </c>
      <c r="I137" s="268">
        <f t="shared" si="21"/>
        <v>50</v>
      </c>
      <c r="J137" s="266">
        <v>45212</v>
      </c>
      <c r="K137" s="265">
        <f t="shared" si="20"/>
        <v>10</v>
      </c>
      <c r="L137" s="269">
        <f t="shared" si="22"/>
        <v>19</v>
      </c>
      <c r="M137" s="268">
        <v>100</v>
      </c>
      <c r="N137" s="268">
        <v>10</v>
      </c>
      <c r="O137" s="268">
        <f t="shared" si="23"/>
        <v>110</v>
      </c>
      <c r="P137" s="268">
        <v>12.35</v>
      </c>
      <c r="Q137" s="268">
        <f t="shared" si="16"/>
        <v>97.65</v>
      </c>
      <c r="R137" s="268">
        <v>2.99</v>
      </c>
      <c r="S137" s="268">
        <f t="shared" si="17"/>
        <v>44.660000000000004</v>
      </c>
      <c r="T137" s="268" t="s">
        <v>16</v>
      </c>
      <c r="U137" s="270" t="s">
        <v>153</v>
      </c>
      <c r="V137" s="271"/>
      <c r="W137" s="243"/>
      <c r="X137" s="243"/>
      <c r="Y137" s="243"/>
    </row>
    <row r="138" spans="1:25" ht="15" customHeight="1">
      <c r="A138" s="238">
        <f t="shared" si="19"/>
        <v>137</v>
      </c>
      <c r="B138" s="7"/>
      <c r="C138" s="7"/>
      <c r="D138" s="7"/>
      <c r="E138" s="8">
        <v>45075</v>
      </c>
      <c r="F138" s="38" t="s">
        <v>106</v>
      </c>
      <c r="G138" s="10">
        <v>5</v>
      </c>
      <c r="H138" s="10"/>
      <c r="I138" s="10">
        <f t="shared" si="21"/>
        <v>5</v>
      </c>
      <c r="J138" s="8">
        <v>45215</v>
      </c>
      <c r="K138" s="7">
        <f t="shared" si="20"/>
        <v>10</v>
      </c>
      <c r="L138" s="11">
        <f t="shared" si="22"/>
        <v>140</v>
      </c>
      <c r="M138" s="10">
        <v>30</v>
      </c>
      <c r="N138" s="10">
        <v>10</v>
      </c>
      <c r="O138" s="10">
        <f t="shared" si="23"/>
        <v>40</v>
      </c>
      <c r="P138" s="10">
        <v>4.3499999999999996</v>
      </c>
      <c r="Q138" s="10">
        <f t="shared" si="16"/>
        <v>35.65</v>
      </c>
      <c r="R138" s="10">
        <v>2.09</v>
      </c>
      <c r="S138" s="10">
        <f t="shared" si="17"/>
        <v>28.56</v>
      </c>
      <c r="T138" s="10" t="s">
        <v>16</v>
      </c>
      <c r="U138" s="12"/>
      <c r="V138" s="251"/>
      <c r="W138" s="243"/>
      <c r="X138" s="243"/>
      <c r="Y138" s="243"/>
    </row>
    <row r="139" spans="1:25" ht="15" customHeight="1">
      <c r="A139" s="238">
        <f t="shared" si="19"/>
        <v>138</v>
      </c>
      <c r="B139" s="7"/>
      <c r="C139" s="7"/>
      <c r="D139" s="8"/>
      <c r="E139" s="8">
        <v>45193</v>
      </c>
      <c r="F139" s="38"/>
      <c r="G139" s="10">
        <v>5</v>
      </c>
      <c r="H139" s="10"/>
      <c r="I139" s="10">
        <f t="shared" si="21"/>
        <v>5</v>
      </c>
      <c r="J139" s="8">
        <v>45215</v>
      </c>
      <c r="K139" s="7">
        <f t="shared" si="20"/>
        <v>10</v>
      </c>
      <c r="L139" s="11">
        <f t="shared" si="22"/>
        <v>22</v>
      </c>
      <c r="M139" s="10">
        <v>11</v>
      </c>
      <c r="N139" s="10"/>
      <c r="O139" s="10">
        <f t="shared" si="23"/>
        <v>11</v>
      </c>
      <c r="P139" s="10"/>
      <c r="Q139" s="10">
        <f t="shared" si="16"/>
        <v>11</v>
      </c>
      <c r="R139" s="10"/>
      <c r="S139" s="10">
        <f t="shared" si="17"/>
        <v>6</v>
      </c>
      <c r="T139" s="10" t="s">
        <v>19</v>
      </c>
      <c r="U139" s="371"/>
      <c r="V139" s="251"/>
      <c r="W139" s="243"/>
      <c r="X139" s="243"/>
      <c r="Y139" s="243"/>
    </row>
    <row r="140" spans="1:25" ht="15" customHeight="1">
      <c r="A140" s="238">
        <f t="shared" si="19"/>
        <v>139</v>
      </c>
      <c r="B140" s="7"/>
      <c r="C140" s="7"/>
      <c r="D140" s="8"/>
      <c r="E140" s="8">
        <v>45166</v>
      </c>
      <c r="F140" s="38"/>
      <c r="G140" s="10">
        <v>15</v>
      </c>
      <c r="H140" s="10"/>
      <c r="I140" s="10">
        <f t="shared" si="21"/>
        <v>15</v>
      </c>
      <c r="J140" s="8">
        <v>45216</v>
      </c>
      <c r="K140" s="7">
        <f t="shared" si="20"/>
        <v>10</v>
      </c>
      <c r="L140" s="11">
        <f t="shared" si="22"/>
        <v>50</v>
      </c>
      <c r="M140" s="10">
        <v>60</v>
      </c>
      <c r="N140" s="10">
        <v>10</v>
      </c>
      <c r="O140" s="10">
        <f t="shared" si="23"/>
        <v>70</v>
      </c>
      <c r="P140" s="10">
        <v>7.35</v>
      </c>
      <c r="Q140" s="10">
        <f t="shared" si="16"/>
        <v>62.65</v>
      </c>
      <c r="R140" s="10">
        <v>2.99</v>
      </c>
      <c r="S140" s="10">
        <f t="shared" si="17"/>
        <v>44.66</v>
      </c>
      <c r="T140" s="10" t="s">
        <v>16</v>
      </c>
      <c r="U140" s="371"/>
      <c r="V140" s="251"/>
      <c r="W140" s="243"/>
      <c r="X140" s="243"/>
      <c r="Y140" s="243"/>
    </row>
    <row r="141" spans="1:25" ht="15" customHeight="1">
      <c r="A141" s="238">
        <f t="shared" si="19"/>
        <v>140</v>
      </c>
      <c r="B141" s="7"/>
      <c r="C141" s="7"/>
      <c r="D141" s="8"/>
      <c r="E141" s="8">
        <v>45179</v>
      </c>
      <c r="F141" s="38"/>
      <c r="G141" s="10">
        <v>10</v>
      </c>
      <c r="H141" s="10"/>
      <c r="I141" s="10">
        <f t="shared" si="21"/>
        <v>10</v>
      </c>
      <c r="J141" s="8">
        <v>45218</v>
      </c>
      <c r="K141" s="7">
        <f t="shared" si="20"/>
        <v>10</v>
      </c>
      <c r="L141" s="11">
        <f t="shared" si="22"/>
        <v>39</v>
      </c>
      <c r="M141" s="10">
        <v>20</v>
      </c>
      <c r="N141" s="10"/>
      <c r="O141" s="10">
        <f t="shared" si="23"/>
        <v>20</v>
      </c>
      <c r="P141" s="10"/>
      <c r="Q141" s="10">
        <f t="shared" si="16"/>
        <v>20</v>
      </c>
      <c r="R141" s="10">
        <v>6</v>
      </c>
      <c r="S141" s="10">
        <f t="shared" si="17"/>
        <v>4</v>
      </c>
      <c r="T141" s="10" t="s">
        <v>19</v>
      </c>
      <c r="U141" s="371" t="s">
        <v>153</v>
      </c>
      <c r="V141" s="251"/>
      <c r="W141" s="243"/>
      <c r="X141" s="243"/>
      <c r="Y141" s="243"/>
    </row>
    <row r="142" spans="1:25" ht="15" customHeight="1">
      <c r="A142" s="238">
        <f t="shared" si="19"/>
        <v>141</v>
      </c>
      <c r="B142" s="7"/>
      <c r="C142" s="7"/>
      <c r="D142" s="8"/>
      <c r="E142" s="8">
        <v>45179</v>
      </c>
      <c r="F142" s="38"/>
      <c r="G142" s="10">
        <v>20</v>
      </c>
      <c r="H142" s="10">
        <v>40</v>
      </c>
      <c r="I142" s="10">
        <f t="shared" si="21"/>
        <v>60</v>
      </c>
      <c r="J142" s="8">
        <v>45218</v>
      </c>
      <c r="K142" s="7">
        <f t="shared" si="20"/>
        <v>10</v>
      </c>
      <c r="L142" s="11">
        <f t="shared" si="22"/>
        <v>39</v>
      </c>
      <c r="M142" s="10">
        <v>100</v>
      </c>
      <c r="N142" s="10">
        <v>10</v>
      </c>
      <c r="O142" s="10">
        <f t="shared" si="23"/>
        <v>110</v>
      </c>
      <c r="P142" s="10">
        <v>11.35</v>
      </c>
      <c r="Q142" s="10">
        <f t="shared" si="16"/>
        <v>98.65</v>
      </c>
      <c r="R142" s="10">
        <v>2.99</v>
      </c>
      <c r="S142" s="10">
        <f t="shared" si="17"/>
        <v>35.660000000000004</v>
      </c>
      <c r="T142" s="10" t="s">
        <v>16</v>
      </c>
      <c r="U142" s="371"/>
      <c r="V142" s="251"/>
      <c r="W142" s="243"/>
      <c r="X142" s="243"/>
      <c r="Y142" s="243"/>
    </row>
    <row r="143" spans="1:25" ht="15" customHeight="1">
      <c r="A143" s="238">
        <f t="shared" si="19"/>
        <v>142</v>
      </c>
      <c r="B143" s="7"/>
      <c r="C143" s="272"/>
      <c r="D143" s="8"/>
      <c r="E143" s="8">
        <v>45166</v>
      </c>
      <c r="F143" s="38"/>
      <c r="G143" s="10">
        <v>0</v>
      </c>
      <c r="H143" s="10"/>
      <c r="I143" s="10">
        <f t="shared" si="21"/>
        <v>0</v>
      </c>
      <c r="J143" s="8">
        <v>45219</v>
      </c>
      <c r="K143" s="7">
        <f t="shared" si="20"/>
        <v>10</v>
      </c>
      <c r="L143" s="11">
        <f t="shared" si="22"/>
        <v>53</v>
      </c>
      <c r="M143" s="10">
        <v>12</v>
      </c>
      <c r="N143" s="10"/>
      <c r="O143" s="10">
        <f t="shared" si="23"/>
        <v>12</v>
      </c>
      <c r="P143" s="10"/>
      <c r="Q143" s="10">
        <f t="shared" si="16"/>
        <v>12</v>
      </c>
      <c r="R143" s="10"/>
      <c r="S143" s="10">
        <f t="shared" si="17"/>
        <v>12</v>
      </c>
      <c r="T143" s="10" t="s">
        <v>19</v>
      </c>
      <c r="U143" s="371"/>
      <c r="V143" s="251"/>
      <c r="W143" s="243"/>
      <c r="X143" s="243"/>
      <c r="Y143" s="243"/>
    </row>
    <row r="144" spans="1:25" ht="15" customHeight="1">
      <c r="A144" s="238">
        <f t="shared" si="19"/>
        <v>143</v>
      </c>
      <c r="B144" s="7"/>
      <c r="C144" s="7"/>
      <c r="D144" s="8"/>
      <c r="E144" s="8">
        <v>45193</v>
      </c>
      <c r="F144" s="38"/>
      <c r="G144" s="10">
        <v>10</v>
      </c>
      <c r="H144" s="10">
        <v>20</v>
      </c>
      <c r="I144" s="10">
        <f t="shared" si="21"/>
        <v>30</v>
      </c>
      <c r="J144" s="8">
        <v>45221</v>
      </c>
      <c r="K144" s="7">
        <f t="shared" si="20"/>
        <v>10</v>
      </c>
      <c r="L144" s="11">
        <f t="shared" si="22"/>
        <v>28</v>
      </c>
      <c r="M144" s="10">
        <v>60</v>
      </c>
      <c r="N144" s="10">
        <v>10</v>
      </c>
      <c r="O144" s="10">
        <f t="shared" si="23"/>
        <v>70</v>
      </c>
      <c r="P144" s="10">
        <v>7.35</v>
      </c>
      <c r="Q144" s="10">
        <f t="shared" si="16"/>
        <v>62.65</v>
      </c>
      <c r="R144" s="10">
        <v>5.98</v>
      </c>
      <c r="S144" s="10">
        <f t="shared" si="17"/>
        <v>26.669999999999998</v>
      </c>
      <c r="T144" s="10" t="s">
        <v>16</v>
      </c>
      <c r="U144" s="371"/>
      <c r="V144" s="251"/>
      <c r="W144" s="243"/>
      <c r="X144" s="243"/>
      <c r="Y144" s="243"/>
    </row>
    <row r="145" spans="1:34" ht="15" customHeight="1">
      <c r="A145" s="238">
        <f t="shared" si="19"/>
        <v>144</v>
      </c>
      <c r="B145" s="7"/>
      <c r="C145" s="7"/>
      <c r="D145" s="8"/>
      <c r="E145" s="8">
        <v>45214</v>
      </c>
      <c r="F145" s="38"/>
      <c r="G145" s="10">
        <v>20</v>
      </c>
      <c r="H145" s="10"/>
      <c r="I145" s="10">
        <f t="shared" si="21"/>
        <v>20</v>
      </c>
      <c r="J145" s="8">
        <v>45221</v>
      </c>
      <c r="K145" s="7">
        <f t="shared" si="20"/>
        <v>10</v>
      </c>
      <c r="L145" s="11">
        <f t="shared" si="22"/>
        <v>7</v>
      </c>
      <c r="M145" s="10">
        <v>100</v>
      </c>
      <c r="N145" s="10">
        <v>10</v>
      </c>
      <c r="O145" s="10">
        <f t="shared" si="23"/>
        <v>110</v>
      </c>
      <c r="P145" s="10">
        <v>1.35</v>
      </c>
      <c r="Q145" s="10">
        <f t="shared" si="16"/>
        <v>108.65</v>
      </c>
      <c r="R145" s="10">
        <v>2.99</v>
      </c>
      <c r="S145" s="10">
        <f t="shared" si="17"/>
        <v>85.660000000000011</v>
      </c>
      <c r="T145" s="10" t="s">
        <v>16</v>
      </c>
      <c r="U145" s="371"/>
      <c r="V145" s="251"/>
      <c r="W145" s="243"/>
      <c r="X145" s="243"/>
      <c r="Y145" s="243"/>
    </row>
    <row r="146" spans="1:34" ht="15" customHeight="1">
      <c r="A146" s="238">
        <f t="shared" si="19"/>
        <v>145</v>
      </c>
      <c r="B146" s="7"/>
      <c r="C146" s="7"/>
      <c r="D146" s="8"/>
      <c r="E146" s="8">
        <v>45172</v>
      </c>
      <c r="F146" s="38"/>
      <c r="G146" s="10">
        <v>0</v>
      </c>
      <c r="H146" s="10"/>
      <c r="I146" s="10">
        <f t="shared" si="21"/>
        <v>0</v>
      </c>
      <c r="J146" s="8">
        <v>45223</v>
      </c>
      <c r="K146" s="7">
        <f t="shared" si="20"/>
        <v>10</v>
      </c>
      <c r="L146" s="11">
        <f t="shared" si="22"/>
        <v>51</v>
      </c>
      <c r="M146" s="10">
        <v>15</v>
      </c>
      <c r="N146" s="10"/>
      <c r="O146" s="10">
        <f t="shared" si="23"/>
        <v>15</v>
      </c>
      <c r="P146" s="10"/>
      <c r="Q146" s="10">
        <f t="shared" si="16"/>
        <v>15</v>
      </c>
      <c r="R146" s="10"/>
      <c r="S146" s="10">
        <f t="shared" si="17"/>
        <v>15</v>
      </c>
      <c r="T146" s="10" t="s">
        <v>19</v>
      </c>
      <c r="U146" s="371"/>
      <c r="V146" s="251"/>
      <c r="W146" s="243"/>
      <c r="X146" s="243"/>
      <c r="Y146" s="243"/>
    </row>
    <row r="147" spans="1:34" ht="15" customHeight="1">
      <c r="A147" s="238">
        <f t="shared" si="19"/>
        <v>146</v>
      </c>
      <c r="B147" s="7"/>
      <c r="C147" s="7"/>
      <c r="D147" s="7"/>
      <c r="E147" s="8">
        <v>45067</v>
      </c>
      <c r="F147" s="38" t="s">
        <v>106</v>
      </c>
      <c r="G147" s="10">
        <v>40</v>
      </c>
      <c r="H147" s="10"/>
      <c r="I147" s="10">
        <f t="shared" si="21"/>
        <v>40</v>
      </c>
      <c r="J147" s="8">
        <v>45170</v>
      </c>
      <c r="K147" s="7">
        <f t="shared" si="20"/>
        <v>9</v>
      </c>
      <c r="L147" s="11">
        <f t="shared" si="22"/>
        <v>103</v>
      </c>
      <c r="M147" s="10">
        <v>70</v>
      </c>
      <c r="N147" s="10"/>
      <c r="O147" s="10">
        <f t="shared" si="23"/>
        <v>70</v>
      </c>
      <c r="P147" s="10"/>
      <c r="Q147" s="10">
        <f t="shared" si="16"/>
        <v>70</v>
      </c>
      <c r="R147" s="10"/>
      <c r="S147" s="10">
        <f t="shared" si="17"/>
        <v>30</v>
      </c>
      <c r="T147" s="10" t="s">
        <v>19</v>
      </c>
      <c r="U147" s="12"/>
      <c r="V147" s="251"/>
      <c r="W147" s="243"/>
      <c r="X147" s="243"/>
      <c r="Y147" s="243"/>
    </row>
    <row r="148" spans="1:34" ht="15" customHeight="1">
      <c r="A148" s="238">
        <f t="shared" si="19"/>
        <v>147</v>
      </c>
      <c r="B148" s="7"/>
      <c r="C148" s="7"/>
      <c r="D148" s="8"/>
      <c r="E148" s="8">
        <v>45172</v>
      </c>
      <c r="F148" s="38"/>
      <c r="G148" s="10">
        <v>10</v>
      </c>
      <c r="H148" s="10"/>
      <c r="I148" s="10">
        <f t="shared" si="21"/>
        <v>10</v>
      </c>
      <c r="J148" s="8">
        <v>45225</v>
      </c>
      <c r="K148" s="7">
        <f t="shared" si="20"/>
        <v>10</v>
      </c>
      <c r="L148" s="11">
        <f t="shared" si="22"/>
        <v>53</v>
      </c>
      <c r="M148" s="10">
        <v>60</v>
      </c>
      <c r="N148" s="10">
        <v>10</v>
      </c>
      <c r="O148" s="10">
        <f t="shared" si="23"/>
        <v>70</v>
      </c>
      <c r="P148" s="10">
        <v>7.35</v>
      </c>
      <c r="Q148" s="10">
        <f t="shared" si="16"/>
        <v>62.65</v>
      </c>
      <c r="R148" s="10">
        <v>2.99</v>
      </c>
      <c r="S148" s="10">
        <f t="shared" si="17"/>
        <v>49.66</v>
      </c>
      <c r="T148" s="10" t="s">
        <v>16</v>
      </c>
      <c r="U148" s="371"/>
      <c r="V148" s="251"/>
      <c r="W148" s="243"/>
      <c r="X148" s="243"/>
      <c r="Y148" s="243"/>
    </row>
    <row r="149" spans="1:34" ht="15" customHeight="1">
      <c r="A149" s="238">
        <f t="shared" si="19"/>
        <v>148</v>
      </c>
      <c r="B149" s="7"/>
      <c r="C149" s="7"/>
      <c r="D149" s="8"/>
      <c r="E149" s="8">
        <v>45193</v>
      </c>
      <c r="F149" s="38"/>
      <c r="G149" s="10">
        <v>40</v>
      </c>
      <c r="H149" s="10"/>
      <c r="I149" s="10">
        <f t="shared" si="21"/>
        <v>40</v>
      </c>
      <c r="J149" s="8">
        <v>45226</v>
      </c>
      <c r="K149" s="7">
        <f t="shared" si="20"/>
        <v>10</v>
      </c>
      <c r="L149" s="11">
        <f t="shared" si="22"/>
        <v>33</v>
      </c>
      <c r="M149" s="10">
        <v>60</v>
      </c>
      <c r="N149" s="10">
        <v>10</v>
      </c>
      <c r="O149" s="10">
        <f t="shared" si="23"/>
        <v>70</v>
      </c>
      <c r="P149" s="10">
        <v>7.35</v>
      </c>
      <c r="Q149" s="10">
        <f t="shared" si="16"/>
        <v>62.65</v>
      </c>
      <c r="R149" s="10">
        <v>2.99</v>
      </c>
      <c r="S149" s="10">
        <f t="shared" si="17"/>
        <v>19.659999999999997</v>
      </c>
      <c r="T149" s="10" t="s">
        <v>16</v>
      </c>
      <c r="U149" s="371" t="s">
        <v>153</v>
      </c>
      <c r="V149" s="251"/>
      <c r="W149" s="243"/>
      <c r="X149" s="243"/>
      <c r="Y149" s="243"/>
    </row>
    <row r="150" spans="1:34" ht="15" customHeight="1">
      <c r="A150" s="238">
        <f t="shared" si="19"/>
        <v>149</v>
      </c>
      <c r="B150" s="7"/>
      <c r="C150" s="7"/>
      <c r="D150" s="8"/>
      <c r="E150" s="8">
        <v>45172</v>
      </c>
      <c r="F150" s="38"/>
      <c r="G150" s="10">
        <v>20</v>
      </c>
      <c r="H150" s="10">
        <v>40</v>
      </c>
      <c r="I150" s="10">
        <f t="shared" si="21"/>
        <v>60</v>
      </c>
      <c r="J150" s="8">
        <v>45228</v>
      </c>
      <c r="K150" s="7">
        <f t="shared" si="20"/>
        <v>10</v>
      </c>
      <c r="L150" s="11">
        <f t="shared" si="22"/>
        <v>56</v>
      </c>
      <c r="M150" s="10">
        <v>100</v>
      </c>
      <c r="N150" s="10">
        <v>10</v>
      </c>
      <c r="O150" s="10">
        <f t="shared" si="23"/>
        <v>110</v>
      </c>
      <c r="P150" s="10">
        <v>11.35</v>
      </c>
      <c r="Q150" s="10">
        <f t="shared" si="16"/>
        <v>98.65</v>
      </c>
      <c r="R150" s="10">
        <v>2.99</v>
      </c>
      <c r="S150" s="10">
        <f t="shared" si="17"/>
        <v>35.660000000000004</v>
      </c>
      <c r="T150" s="10" t="s">
        <v>16</v>
      </c>
      <c r="U150" s="371" t="s">
        <v>153</v>
      </c>
      <c r="V150" s="251"/>
      <c r="W150" s="243"/>
      <c r="X150" s="243"/>
      <c r="Y150" s="243"/>
    </row>
    <row r="151" spans="1:34" ht="15" customHeight="1">
      <c r="A151" s="238">
        <f t="shared" si="19"/>
        <v>150</v>
      </c>
      <c r="B151" s="7"/>
      <c r="C151" s="7"/>
      <c r="D151" s="8"/>
      <c r="E151" s="8">
        <v>45172</v>
      </c>
      <c r="F151" s="38"/>
      <c r="G151" s="10">
        <v>5</v>
      </c>
      <c r="H151" s="10"/>
      <c r="I151" s="10">
        <f t="shared" si="21"/>
        <v>5</v>
      </c>
      <c r="J151" s="8">
        <v>45228</v>
      </c>
      <c r="K151" s="7">
        <f t="shared" si="20"/>
        <v>10</v>
      </c>
      <c r="L151" s="11">
        <f t="shared" si="22"/>
        <v>56</v>
      </c>
      <c r="M151" s="10">
        <v>25</v>
      </c>
      <c r="N151" s="10">
        <v>10</v>
      </c>
      <c r="O151" s="10">
        <f t="shared" si="23"/>
        <v>35</v>
      </c>
      <c r="P151" s="10">
        <v>3.85</v>
      </c>
      <c r="Q151" s="10">
        <f t="shared" si="16"/>
        <v>31.15</v>
      </c>
      <c r="R151" s="10">
        <v>2.99</v>
      </c>
      <c r="S151" s="10">
        <f t="shared" si="17"/>
        <v>23.159999999999997</v>
      </c>
      <c r="T151" s="10" t="s">
        <v>16</v>
      </c>
      <c r="U151" s="371"/>
      <c r="V151" s="251"/>
      <c r="W151" s="243"/>
      <c r="X151" s="243"/>
      <c r="Y151" s="243"/>
    </row>
    <row r="152" spans="1:34" ht="15" customHeight="1">
      <c r="A152" s="238">
        <f t="shared" si="19"/>
        <v>151</v>
      </c>
      <c r="B152" s="7"/>
      <c r="C152" s="7"/>
      <c r="D152" s="8"/>
      <c r="E152" s="8">
        <v>45179</v>
      </c>
      <c r="F152" s="38"/>
      <c r="G152" s="10">
        <v>15</v>
      </c>
      <c r="H152" s="10"/>
      <c r="I152" s="10">
        <f t="shared" si="21"/>
        <v>15</v>
      </c>
      <c r="J152" s="8">
        <v>45229</v>
      </c>
      <c r="K152" s="7">
        <f t="shared" si="20"/>
        <v>10</v>
      </c>
      <c r="L152" s="11">
        <f t="shared" si="22"/>
        <v>50</v>
      </c>
      <c r="M152" s="10">
        <v>30</v>
      </c>
      <c r="N152" s="10">
        <v>10</v>
      </c>
      <c r="O152" s="10">
        <f t="shared" si="23"/>
        <v>40</v>
      </c>
      <c r="P152" s="10">
        <v>4.3499999999999996</v>
      </c>
      <c r="Q152" s="10">
        <f t="shared" si="16"/>
        <v>35.65</v>
      </c>
      <c r="R152" s="10">
        <v>2.99</v>
      </c>
      <c r="S152" s="10">
        <f t="shared" si="17"/>
        <v>17.659999999999997</v>
      </c>
      <c r="T152" s="10" t="s">
        <v>16</v>
      </c>
      <c r="U152" s="371" t="s">
        <v>153</v>
      </c>
      <c r="V152" s="251"/>
      <c r="W152" s="243"/>
      <c r="X152" s="243"/>
      <c r="Y152" s="243"/>
    </row>
    <row r="153" spans="1:34" ht="15" customHeight="1">
      <c r="A153" s="238">
        <f t="shared" si="19"/>
        <v>152</v>
      </c>
      <c r="B153" s="7"/>
      <c r="C153" s="7"/>
      <c r="D153" s="7"/>
      <c r="E153" s="8">
        <v>45102</v>
      </c>
      <c r="F153" s="38" t="s">
        <v>106</v>
      </c>
      <c r="G153" s="10">
        <v>35</v>
      </c>
      <c r="H153" s="10"/>
      <c r="I153" s="10">
        <f t="shared" si="21"/>
        <v>35</v>
      </c>
      <c r="J153" s="8">
        <v>45229</v>
      </c>
      <c r="K153" s="7">
        <f t="shared" si="20"/>
        <v>10</v>
      </c>
      <c r="L153" s="11">
        <f t="shared" si="22"/>
        <v>127</v>
      </c>
      <c r="M153" s="10">
        <v>100</v>
      </c>
      <c r="N153" s="10">
        <v>10</v>
      </c>
      <c r="O153" s="10">
        <f t="shared" si="23"/>
        <v>110</v>
      </c>
      <c r="P153" s="10">
        <v>11.35</v>
      </c>
      <c r="Q153" s="10">
        <f t="shared" si="16"/>
        <v>98.65</v>
      </c>
      <c r="R153" s="10">
        <v>2.99</v>
      </c>
      <c r="S153" s="10">
        <f t="shared" si="17"/>
        <v>60.660000000000004</v>
      </c>
      <c r="T153" s="10" t="s">
        <v>16</v>
      </c>
      <c r="U153" s="12"/>
      <c r="V153" s="251"/>
      <c r="W153" s="243"/>
      <c r="X153" s="243"/>
      <c r="Y153" s="243"/>
    </row>
    <row r="154" spans="1:34" ht="15" customHeight="1">
      <c r="A154" s="238">
        <f t="shared" si="19"/>
        <v>153</v>
      </c>
      <c r="B154" s="7"/>
      <c r="C154" s="7"/>
      <c r="D154" s="8"/>
      <c r="E154" s="8">
        <v>45227</v>
      </c>
      <c r="F154" s="38"/>
      <c r="G154" s="10">
        <v>10</v>
      </c>
      <c r="H154" s="10"/>
      <c r="I154" s="10">
        <f t="shared" si="21"/>
        <v>10</v>
      </c>
      <c r="J154" s="8">
        <v>45230</v>
      </c>
      <c r="K154" s="7">
        <f t="shared" si="20"/>
        <v>10</v>
      </c>
      <c r="L154" s="11">
        <f t="shared" si="22"/>
        <v>3</v>
      </c>
      <c r="M154" s="10">
        <v>130</v>
      </c>
      <c r="N154" s="10">
        <v>20</v>
      </c>
      <c r="O154" s="10">
        <f t="shared" si="23"/>
        <v>150</v>
      </c>
      <c r="P154" s="10">
        <v>15.35</v>
      </c>
      <c r="Q154" s="10">
        <f t="shared" si="16"/>
        <v>134.65</v>
      </c>
      <c r="R154" s="10">
        <v>5.96</v>
      </c>
      <c r="S154" s="10">
        <f t="shared" si="17"/>
        <v>118.69000000000001</v>
      </c>
      <c r="T154" s="10" t="s">
        <v>16</v>
      </c>
      <c r="U154" s="371"/>
      <c r="V154" s="251"/>
      <c r="W154" s="243"/>
      <c r="X154" s="243"/>
      <c r="Y154" s="243"/>
    </row>
    <row r="155" spans="1:34" ht="15" customHeight="1">
      <c r="A155" s="238">
        <f t="shared" si="19"/>
        <v>154</v>
      </c>
      <c r="B155" s="7"/>
      <c r="C155" s="7"/>
      <c r="D155" s="8"/>
      <c r="E155" s="8">
        <v>45158</v>
      </c>
      <c r="F155" s="38"/>
      <c r="G155" s="10">
        <v>50</v>
      </c>
      <c r="H155" s="10">
        <v>50</v>
      </c>
      <c r="I155" s="10">
        <f t="shared" si="21"/>
        <v>100</v>
      </c>
      <c r="J155" s="8">
        <v>45230</v>
      </c>
      <c r="K155" s="7">
        <f t="shared" si="20"/>
        <v>10</v>
      </c>
      <c r="L155" s="11">
        <f t="shared" si="22"/>
        <v>72</v>
      </c>
      <c r="M155" s="10">
        <v>160</v>
      </c>
      <c r="N155" s="10"/>
      <c r="O155" s="10">
        <f t="shared" si="23"/>
        <v>160</v>
      </c>
      <c r="P155" s="10"/>
      <c r="Q155" s="10">
        <f t="shared" si="16"/>
        <v>160</v>
      </c>
      <c r="R155" s="10"/>
      <c r="S155" s="10">
        <f t="shared" si="17"/>
        <v>60</v>
      </c>
      <c r="T155" s="10" t="s">
        <v>19</v>
      </c>
      <c r="U155" s="12"/>
      <c r="V155" s="251"/>
      <c r="W155" s="243"/>
      <c r="X155" s="243"/>
      <c r="Y155" s="243"/>
    </row>
    <row r="156" spans="1:34" ht="15" customHeight="1">
      <c r="A156" s="238">
        <f t="shared" si="19"/>
        <v>155</v>
      </c>
      <c r="B156" s="7"/>
      <c r="C156" s="7"/>
      <c r="D156" s="8"/>
      <c r="E156" s="8">
        <v>45193</v>
      </c>
      <c r="F156" s="38"/>
      <c r="G156" s="10">
        <v>5</v>
      </c>
      <c r="H156" s="10"/>
      <c r="I156" s="10">
        <f t="shared" si="21"/>
        <v>5</v>
      </c>
      <c r="J156" s="8">
        <v>45230</v>
      </c>
      <c r="K156" s="7">
        <f t="shared" si="20"/>
        <v>10</v>
      </c>
      <c r="L156" s="11">
        <f t="shared" si="22"/>
        <v>37</v>
      </c>
      <c r="M156" s="10">
        <v>10</v>
      </c>
      <c r="N156" s="10">
        <v>10</v>
      </c>
      <c r="O156" s="10">
        <f t="shared" si="23"/>
        <v>20</v>
      </c>
      <c r="P156" s="10">
        <v>2.35</v>
      </c>
      <c r="Q156" s="10">
        <f t="shared" si="16"/>
        <v>17.649999999999999</v>
      </c>
      <c r="R156" s="10">
        <v>2.99</v>
      </c>
      <c r="S156" s="10">
        <f t="shared" si="17"/>
        <v>9.6599999999999984</v>
      </c>
      <c r="T156" s="10" t="s">
        <v>16</v>
      </c>
      <c r="U156" s="371"/>
      <c r="V156" s="251"/>
      <c r="W156" s="243"/>
      <c r="X156" s="243"/>
      <c r="Y156" s="243"/>
    </row>
    <row r="157" spans="1:34" ht="15" customHeight="1">
      <c r="A157" s="238">
        <f t="shared" si="19"/>
        <v>156</v>
      </c>
      <c r="B157" s="7"/>
      <c r="C157" s="7"/>
      <c r="D157" s="8"/>
      <c r="E157" s="8">
        <v>45227</v>
      </c>
      <c r="F157" s="38"/>
      <c r="G157" s="10">
        <v>20</v>
      </c>
      <c r="H157" s="10"/>
      <c r="I157" s="10">
        <f t="shared" si="21"/>
        <v>20</v>
      </c>
      <c r="J157" s="8">
        <v>45231</v>
      </c>
      <c r="K157" s="7">
        <f t="shared" si="20"/>
        <v>11</v>
      </c>
      <c r="L157" s="11">
        <f t="shared" si="22"/>
        <v>4</v>
      </c>
      <c r="M157" s="10">
        <v>70</v>
      </c>
      <c r="N157" s="10">
        <v>10</v>
      </c>
      <c r="O157" s="10">
        <f t="shared" si="23"/>
        <v>80</v>
      </c>
      <c r="P157" s="10">
        <v>8.35</v>
      </c>
      <c r="Q157" s="10">
        <f t="shared" si="16"/>
        <v>71.650000000000006</v>
      </c>
      <c r="R157" s="10">
        <v>2.99</v>
      </c>
      <c r="S157" s="10">
        <f t="shared" si="17"/>
        <v>48.660000000000004</v>
      </c>
      <c r="T157" s="10" t="s">
        <v>16</v>
      </c>
      <c r="U157" s="371"/>
      <c r="V157" s="251"/>
      <c r="W157" s="243"/>
      <c r="X157" s="243"/>
      <c r="Y157" s="243"/>
    </row>
    <row r="158" spans="1:34" s="273" customFormat="1" ht="15" customHeight="1">
      <c r="A158" s="238">
        <f t="shared" si="19"/>
        <v>157</v>
      </c>
      <c r="B158" s="7"/>
      <c r="C158" s="7"/>
      <c r="D158" s="8"/>
      <c r="E158" s="8">
        <v>45193</v>
      </c>
      <c r="F158" s="38"/>
      <c r="G158" s="10">
        <v>15</v>
      </c>
      <c r="H158" s="10">
        <v>20</v>
      </c>
      <c r="I158" s="10">
        <f t="shared" si="21"/>
        <v>35</v>
      </c>
      <c r="J158" s="8">
        <v>45233</v>
      </c>
      <c r="K158" s="7">
        <f t="shared" si="20"/>
        <v>11</v>
      </c>
      <c r="L158" s="11">
        <f t="shared" si="22"/>
        <v>40</v>
      </c>
      <c r="M158" s="10">
        <v>60</v>
      </c>
      <c r="N158" s="10"/>
      <c r="O158" s="10">
        <f t="shared" si="23"/>
        <v>60</v>
      </c>
      <c r="P158" s="10"/>
      <c r="Q158" s="10">
        <f t="shared" si="16"/>
        <v>60</v>
      </c>
      <c r="R158" s="10"/>
      <c r="S158" s="10">
        <f t="shared" si="17"/>
        <v>25</v>
      </c>
      <c r="T158" s="10" t="s">
        <v>19</v>
      </c>
      <c r="U158" s="371" t="s">
        <v>153</v>
      </c>
      <c r="V158" s="251"/>
      <c r="W158" s="243"/>
      <c r="X158" s="243"/>
      <c r="Y158" s="243"/>
      <c r="Z158" s="241"/>
      <c r="AA158" s="241"/>
      <c r="AB158" s="241"/>
      <c r="AC158" s="241"/>
      <c r="AD158" s="241"/>
      <c r="AE158" s="241"/>
      <c r="AF158" s="241"/>
      <c r="AG158" s="241"/>
      <c r="AH158" s="241"/>
    </row>
    <row r="159" spans="1:34" ht="15" customHeight="1">
      <c r="A159" s="238">
        <f t="shared" si="19"/>
        <v>158</v>
      </c>
      <c r="B159" s="35"/>
      <c r="C159" s="7"/>
      <c r="D159" s="8"/>
      <c r="E159" s="8">
        <v>45158</v>
      </c>
      <c r="F159" s="38"/>
      <c r="G159" s="10">
        <v>7.5</v>
      </c>
      <c r="H159" s="10"/>
      <c r="I159" s="10">
        <f t="shared" si="21"/>
        <v>7.5</v>
      </c>
      <c r="J159" s="8">
        <v>45233</v>
      </c>
      <c r="K159" s="7">
        <f t="shared" si="20"/>
        <v>11</v>
      </c>
      <c r="L159" s="11">
        <f t="shared" si="22"/>
        <v>75</v>
      </c>
      <c r="M159" s="10">
        <v>30</v>
      </c>
      <c r="N159" s="10">
        <v>10</v>
      </c>
      <c r="O159" s="10">
        <f t="shared" si="23"/>
        <v>40</v>
      </c>
      <c r="P159" s="10">
        <v>4.3499999999999996</v>
      </c>
      <c r="Q159" s="10">
        <f t="shared" si="16"/>
        <v>35.65</v>
      </c>
      <c r="R159" s="10">
        <v>2.99</v>
      </c>
      <c r="S159" s="10">
        <f t="shared" si="17"/>
        <v>25.159999999999997</v>
      </c>
      <c r="T159" s="10" t="s">
        <v>16</v>
      </c>
      <c r="U159" s="12"/>
      <c r="V159" s="251"/>
      <c r="W159" s="243"/>
      <c r="X159" s="243"/>
      <c r="Y159" s="243"/>
    </row>
    <row r="160" spans="1:34" ht="15" customHeight="1">
      <c r="A160" s="238">
        <f t="shared" si="19"/>
        <v>159</v>
      </c>
      <c r="B160" s="7"/>
      <c r="C160" s="7"/>
      <c r="D160" s="8"/>
      <c r="E160" s="8">
        <v>45207</v>
      </c>
      <c r="F160" s="38"/>
      <c r="G160" s="10">
        <v>25</v>
      </c>
      <c r="H160" s="10">
        <v>0</v>
      </c>
      <c r="I160" s="10">
        <f t="shared" si="21"/>
        <v>25</v>
      </c>
      <c r="J160" s="8">
        <v>45234</v>
      </c>
      <c r="K160" s="7">
        <f t="shared" si="20"/>
        <v>11</v>
      </c>
      <c r="L160" s="11">
        <f t="shared" si="22"/>
        <v>27</v>
      </c>
      <c r="M160" s="10">
        <v>40</v>
      </c>
      <c r="N160" s="10">
        <v>30</v>
      </c>
      <c r="O160" s="10">
        <f t="shared" si="23"/>
        <v>70</v>
      </c>
      <c r="P160" s="10">
        <v>8.69</v>
      </c>
      <c r="Q160" s="10">
        <f t="shared" si="16"/>
        <v>61.31</v>
      </c>
      <c r="R160" s="10">
        <v>13.45</v>
      </c>
      <c r="S160" s="10">
        <f t="shared" si="17"/>
        <v>22.860000000000003</v>
      </c>
      <c r="T160" s="10" t="s">
        <v>16</v>
      </c>
      <c r="U160" s="371"/>
      <c r="V160" s="251"/>
      <c r="W160" s="243"/>
      <c r="X160" s="243"/>
      <c r="Y160" s="243"/>
    </row>
    <row r="161" spans="1:25" ht="15" customHeight="1">
      <c r="A161" s="238">
        <f t="shared" si="19"/>
        <v>160</v>
      </c>
      <c r="B161" s="7"/>
      <c r="C161" s="7"/>
      <c r="D161" s="8"/>
      <c r="E161" s="8">
        <v>45200</v>
      </c>
      <c r="F161" s="38"/>
      <c r="G161" s="10">
        <v>2</v>
      </c>
      <c r="H161" s="10"/>
      <c r="I161" s="10">
        <f t="shared" si="21"/>
        <v>2</v>
      </c>
      <c r="J161" s="8">
        <v>45234</v>
      </c>
      <c r="K161" s="7">
        <f t="shared" si="20"/>
        <v>11</v>
      </c>
      <c r="L161" s="11">
        <f t="shared" si="22"/>
        <v>34</v>
      </c>
      <c r="M161" s="10">
        <v>15</v>
      </c>
      <c r="N161" s="10"/>
      <c r="O161" s="10">
        <f t="shared" si="23"/>
        <v>15</v>
      </c>
      <c r="P161" s="10"/>
      <c r="Q161" s="10">
        <f t="shared" si="16"/>
        <v>15</v>
      </c>
      <c r="R161" s="10"/>
      <c r="S161" s="10">
        <f t="shared" si="17"/>
        <v>13</v>
      </c>
      <c r="T161" s="10" t="s">
        <v>19</v>
      </c>
      <c r="U161" s="371"/>
      <c r="V161" s="251"/>
      <c r="W161" s="243"/>
      <c r="X161" s="243"/>
      <c r="Y161" s="243"/>
    </row>
    <row r="162" spans="1:25" ht="15" customHeight="1">
      <c r="A162" s="238">
        <f t="shared" si="19"/>
        <v>161</v>
      </c>
      <c r="B162" s="7"/>
      <c r="C162" s="7"/>
      <c r="D162" s="8"/>
      <c r="E162" s="8">
        <v>45227</v>
      </c>
      <c r="F162" s="38"/>
      <c r="G162" s="10">
        <v>10</v>
      </c>
      <c r="H162" s="10"/>
      <c r="I162" s="10">
        <f t="shared" si="21"/>
        <v>10</v>
      </c>
      <c r="J162" s="8">
        <v>45240</v>
      </c>
      <c r="K162" s="7">
        <f t="shared" si="20"/>
        <v>11</v>
      </c>
      <c r="L162" s="11">
        <f t="shared" si="22"/>
        <v>13</v>
      </c>
      <c r="M162" s="10">
        <v>150</v>
      </c>
      <c r="N162" s="10"/>
      <c r="O162" s="10">
        <f t="shared" si="23"/>
        <v>150</v>
      </c>
      <c r="P162" s="10"/>
      <c r="Q162" s="10">
        <f t="shared" si="16"/>
        <v>150</v>
      </c>
      <c r="R162" s="10">
        <v>4.95</v>
      </c>
      <c r="S162" s="10">
        <f t="shared" si="17"/>
        <v>135.05000000000001</v>
      </c>
      <c r="T162" s="10" t="s">
        <v>19</v>
      </c>
      <c r="U162" s="371"/>
      <c r="V162" s="251"/>
      <c r="W162" s="243"/>
      <c r="X162" s="243"/>
      <c r="Y162" s="243"/>
    </row>
    <row r="163" spans="1:25" ht="15" customHeight="1">
      <c r="A163" s="238">
        <f t="shared" si="19"/>
        <v>162</v>
      </c>
      <c r="B163" s="7"/>
      <c r="C163" s="7"/>
      <c r="D163" s="8"/>
      <c r="E163" s="8">
        <v>45227</v>
      </c>
      <c r="F163" s="38"/>
      <c r="G163" s="10">
        <v>20</v>
      </c>
      <c r="H163" s="10"/>
      <c r="I163" s="10">
        <f t="shared" si="21"/>
        <v>20</v>
      </c>
      <c r="J163" s="8">
        <v>45241</v>
      </c>
      <c r="K163" s="7">
        <f t="shared" si="20"/>
        <v>11</v>
      </c>
      <c r="L163" s="11">
        <f t="shared" si="22"/>
        <v>14</v>
      </c>
      <c r="M163" s="10">
        <v>100</v>
      </c>
      <c r="N163" s="10">
        <v>10</v>
      </c>
      <c r="O163" s="10">
        <f t="shared" si="23"/>
        <v>110</v>
      </c>
      <c r="P163" s="10">
        <v>11.35</v>
      </c>
      <c r="Q163" s="10">
        <f t="shared" si="16"/>
        <v>98.65</v>
      </c>
      <c r="R163" s="10">
        <v>2.99</v>
      </c>
      <c r="S163" s="10">
        <f t="shared" si="17"/>
        <v>75.660000000000011</v>
      </c>
      <c r="T163" s="10" t="s">
        <v>16</v>
      </c>
      <c r="U163" s="371"/>
      <c r="V163" s="251"/>
      <c r="W163" s="243"/>
      <c r="X163" s="243"/>
      <c r="Y163" s="243"/>
    </row>
    <row r="164" spans="1:25" ht="15" customHeight="1">
      <c r="A164" s="238">
        <f t="shared" si="19"/>
        <v>163</v>
      </c>
      <c r="B164" s="7"/>
      <c r="C164" s="7"/>
      <c r="D164" s="8"/>
      <c r="E164" s="8">
        <v>45158</v>
      </c>
      <c r="F164" s="38"/>
      <c r="G164" s="10">
        <v>10</v>
      </c>
      <c r="H164" s="10"/>
      <c r="I164" s="10">
        <f t="shared" si="21"/>
        <v>10</v>
      </c>
      <c r="J164" s="8">
        <v>45241</v>
      </c>
      <c r="K164" s="7">
        <f t="shared" si="20"/>
        <v>11</v>
      </c>
      <c r="L164" s="11">
        <f t="shared" si="22"/>
        <v>83</v>
      </c>
      <c r="M164" s="10">
        <v>80</v>
      </c>
      <c r="N164" s="10"/>
      <c r="O164" s="10">
        <f t="shared" si="23"/>
        <v>80</v>
      </c>
      <c r="P164" s="10"/>
      <c r="Q164" s="10">
        <f t="shared" si="16"/>
        <v>80</v>
      </c>
      <c r="R164" s="10">
        <v>23</v>
      </c>
      <c r="S164" s="10">
        <f t="shared" si="17"/>
        <v>47</v>
      </c>
      <c r="T164" s="10" t="s">
        <v>19</v>
      </c>
      <c r="U164" s="371" t="s">
        <v>153</v>
      </c>
      <c r="V164" s="251"/>
      <c r="W164" s="243"/>
      <c r="X164" s="243"/>
      <c r="Y164" s="243"/>
    </row>
    <row r="165" spans="1:25" ht="15" customHeight="1">
      <c r="A165" s="238">
        <f t="shared" si="19"/>
        <v>164</v>
      </c>
      <c r="B165" s="7"/>
      <c r="C165" s="7"/>
      <c r="D165" s="8"/>
      <c r="E165" s="8">
        <v>45193</v>
      </c>
      <c r="F165" s="38"/>
      <c r="G165" s="10">
        <v>5</v>
      </c>
      <c r="H165" s="10"/>
      <c r="I165" s="10">
        <f t="shared" si="21"/>
        <v>5</v>
      </c>
      <c r="J165" s="8">
        <v>45240</v>
      </c>
      <c r="K165" s="7">
        <f t="shared" si="20"/>
        <v>11</v>
      </c>
      <c r="L165" s="11">
        <f t="shared" si="22"/>
        <v>47</v>
      </c>
      <c r="M165" s="10">
        <v>20</v>
      </c>
      <c r="N165" s="10">
        <v>10</v>
      </c>
      <c r="O165" s="10">
        <f t="shared" si="23"/>
        <v>30</v>
      </c>
      <c r="P165" s="10">
        <v>3.35</v>
      </c>
      <c r="Q165" s="10">
        <f t="shared" si="16"/>
        <v>26.65</v>
      </c>
      <c r="R165" s="10">
        <v>2.99</v>
      </c>
      <c r="S165" s="10">
        <f t="shared" si="17"/>
        <v>18.659999999999997</v>
      </c>
      <c r="T165" s="10" t="s">
        <v>16</v>
      </c>
      <c r="U165" s="371"/>
      <c r="V165" s="251"/>
      <c r="W165" s="243"/>
      <c r="X165" s="243"/>
      <c r="Y165" s="243"/>
    </row>
    <row r="166" spans="1:25" ht="15" customHeight="1">
      <c r="A166" s="238">
        <f t="shared" si="19"/>
        <v>165</v>
      </c>
      <c r="B166" s="7"/>
      <c r="C166" s="7"/>
      <c r="D166" s="8"/>
      <c r="E166" s="8">
        <v>45227</v>
      </c>
      <c r="F166" s="38"/>
      <c r="G166" s="10">
        <v>20</v>
      </c>
      <c r="H166" s="10">
        <v>30</v>
      </c>
      <c r="I166" s="10">
        <f t="shared" si="21"/>
        <v>50</v>
      </c>
      <c r="J166" s="8">
        <v>45242</v>
      </c>
      <c r="K166" s="7">
        <f t="shared" si="20"/>
        <v>11</v>
      </c>
      <c r="L166" s="11">
        <f t="shared" si="22"/>
        <v>15</v>
      </c>
      <c r="M166" s="10">
        <v>100</v>
      </c>
      <c r="N166" s="10">
        <v>30</v>
      </c>
      <c r="O166" s="10">
        <f t="shared" si="23"/>
        <v>130</v>
      </c>
      <c r="P166" s="10">
        <v>15.85</v>
      </c>
      <c r="Q166" s="10">
        <f t="shared" si="16"/>
        <v>114.15</v>
      </c>
      <c r="R166" s="10">
        <v>13.45</v>
      </c>
      <c r="S166" s="10">
        <f t="shared" si="17"/>
        <v>50.7</v>
      </c>
      <c r="T166" s="10" t="s">
        <v>16</v>
      </c>
      <c r="U166" s="371"/>
      <c r="V166" s="274"/>
      <c r="W166" s="243"/>
      <c r="X166" s="243"/>
      <c r="Y166" s="243"/>
    </row>
    <row r="167" spans="1:25" ht="15" customHeight="1">
      <c r="A167" s="238">
        <f t="shared" si="19"/>
        <v>166</v>
      </c>
      <c r="B167" s="7"/>
      <c r="C167" s="7"/>
      <c r="D167" s="7"/>
      <c r="E167" s="8">
        <v>45017</v>
      </c>
      <c r="F167" s="38" t="s">
        <v>107</v>
      </c>
      <c r="G167" s="10">
        <v>0</v>
      </c>
      <c r="H167" s="10"/>
      <c r="I167" s="10">
        <f t="shared" si="21"/>
        <v>0</v>
      </c>
      <c r="J167" s="8">
        <v>45243</v>
      </c>
      <c r="K167" s="7">
        <f t="shared" si="20"/>
        <v>11</v>
      </c>
      <c r="L167" s="11">
        <f t="shared" si="22"/>
        <v>226</v>
      </c>
      <c r="M167" s="10">
        <v>10</v>
      </c>
      <c r="N167" s="10"/>
      <c r="O167" s="10">
        <f t="shared" si="23"/>
        <v>10</v>
      </c>
      <c r="P167" s="10"/>
      <c r="Q167" s="10">
        <f t="shared" si="16"/>
        <v>10</v>
      </c>
      <c r="R167" s="10"/>
      <c r="S167" s="10">
        <f t="shared" si="17"/>
        <v>10</v>
      </c>
      <c r="T167" s="10"/>
      <c r="U167" s="12"/>
      <c r="V167" s="275"/>
      <c r="W167" s="243"/>
      <c r="X167" s="243"/>
      <c r="Y167" s="243"/>
    </row>
    <row r="168" spans="1:25" ht="15" customHeight="1">
      <c r="A168" s="238">
        <f t="shared" si="19"/>
        <v>167</v>
      </c>
      <c r="B168" s="7"/>
      <c r="C168" s="7"/>
      <c r="D168" s="8"/>
      <c r="E168" s="8">
        <v>45214</v>
      </c>
      <c r="F168" s="38"/>
      <c r="G168" s="10">
        <v>20</v>
      </c>
      <c r="H168" s="10"/>
      <c r="I168" s="10">
        <f t="shared" si="21"/>
        <v>20</v>
      </c>
      <c r="J168" s="8">
        <v>45245</v>
      </c>
      <c r="K168" s="7">
        <f t="shared" si="20"/>
        <v>11</v>
      </c>
      <c r="L168" s="11">
        <f t="shared" si="22"/>
        <v>31</v>
      </c>
      <c r="M168" s="10">
        <v>70</v>
      </c>
      <c r="N168" s="10"/>
      <c r="O168" s="10">
        <f t="shared" si="23"/>
        <v>70</v>
      </c>
      <c r="P168" s="10"/>
      <c r="Q168" s="10">
        <f t="shared" si="16"/>
        <v>70</v>
      </c>
      <c r="R168" s="10"/>
      <c r="S168" s="10">
        <f t="shared" si="17"/>
        <v>50</v>
      </c>
      <c r="T168" s="10" t="s">
        <v>19</v>
      </c>
      <c r="U168" s="371"/>
      <c r="V168" s="251"/>
      <c r="W168" s="243"/>
      <c r="X168" s="243"/>
      <c r="Y168" s="243"/>
    </row>
    <row r="169" spans="1:25" ht="15" customHeight="1">
      <c r="A169" s="238">
        <f t="shared" si="19"/>
        <v>168</v>
      </c>
      <c r="B169" s="7"/>
      <c r="C169" s="7"/>
      <c r="D169" s="8"/>
      <c r="E169" s="8">
        <v>45193</v>
      </c>
      <c r="F169" s="38"/>
      <c r="G169" s="10">
        <v>25</v>
      </c>
      <c r="H169" s="10">
        <v>50</v>
      </c>
      <c r="I169" s="10">
        <f t="shared" si="21"/>
        <v>75</v>
      </c>
      <c r="J169" s="8">
        <v>45250</v>
      </c>
      <c r="K169" s="7">
        <f t="shared" si="20"/>
        <v>11</v>
      </c>
      <c r="L169" s="11">
        <f t="shared" si="22"/>
        <v>57</v>
      </c>
      <c r="M169" s="10">
        <v>90</v>
      </c>
      <c r="N169" s="10">
        <v>10</v>
      </c>
      <c r="O169" s="10">
        <f t="shared" si="23"/>
        <v>100</v>
      </c>
      <c r="P169" s="10">
        <v>10.35</v>
      </c>
      <c r="Q169" s="10">
        <f t="shared" si="16"/>
        <v>89.65</v>
      </c>
      <c r="R169" s="10">
        <v>2.99</v>
      </c>
      <c r="S169" s="10">
        <f t="shared" si="17"/>
        <v>11.660000000000005</v>
      </c>
      <c r="T169" s="10" t="s">
        <v>16</v>
      </c>
      <c r="U169" s="371"/>
      <c r="V169" s="251"/>
      <c r="W169" s="243"/>
      <c r="X169" s="243"/>
      <c r="Y169" s="243"/>
    </row>
    <row r="170" spans="1:25" ht="15" customHeight="1">
      <c r="A170" s="238">
        <f t="shared" si="19"/>
        <v>169</v>
      </c>
      <c r="B170" s="7"/>
      <c r="C170" s="7"/>
      <c r="D170" s="7"/>
      <c r="E170" s="8">
        <v>45075</v>
      </c>
      <c r="F170" s="38" t="s">
        <v>106</v>
      </c>
      <c r="G170" s="10">
        <v>30</v>
      </c>
      <c r="H170" s="10"/>
      <c r="I170" s="10">
        <f t="shared" si="21"/>
        <v>30</v>
      </c>
      <c r="J170" s="8">
        <v>45251</v>
      </c>
      <c r="K170" s="7">
        <f t="shared" si="20"/>
        <v>11</v>
      </c>
      <c r="L170" s="11">
        <f t="shared" si="22"/>
        <v>176</v>
      </c>
      <c r="M170" s="10">
        <v>35</v>
      </c>
      <c r="N170" s="10"/>
      <c r="O170" s="10">
        <f t="shared" si="23"/>
        <v>35</v>
      </c>
      <c r="P170" s="10"/>
      <c r="Q170" s="10">
        <f t="shared" ref="Q170:Q187" si="24">IF(J170="","",O170-P170)</f>
        <v>35</v>
      </c>
      <c r="R170" s="10"/>
      <c r="S170" s="10">
        <f t="shared" ref="S170:S187" si="25">IF(J170="","",Q170-I170-R170)</f>
        <v>5</v>
      </c>
      <c r="T170" s="10" t="s">
        <v>19</v>
      </c>
      <c r="U170" s="12"/>
      <c r="V170" s="251"/>
      <c r="W170" s="243"/>
      <c r="X170" s="243"/>
      <c r="Y170" s="243"/>
    </row>
    <row r="171" spans="1:25" ht="15" customHeight="1">
      <c r="A171" s="238">
        <f t="shared" si="19"/>
        <v>170</v>
      </c>
      <c r="B171" s="7"/>
      <c r="C171" s="7"/>
      <c r="D171" s="7"/>
      <c r="E171" s="8">
        <v>45081</v>
      </c>
      <c r="F171" s="38" t="s">
        <v>106</v>
      </c>
      <c r="G171" s="10">
        <v>12</v>
      </c>
      <c r="H171" s="10">
        <v>80</v>
      </c>
      <c r="I171" s="10">
        <f t="shared" si="21"/>
        <v>92</v>
      </c>
      <c r="J171" s="8">
        <v>45251</v>
      </c>
      <c r="K171" s="7">
        <f t="shared" si="20"/>
        <v>11</v>
      </c>
      <c r="L171" s="11">
        <f t="shared" si="22"/>
        <v>170</v>
      </c>
      <c r="M171" s="10">
        <v>200</v>
      </c>
      <c r="N171" s="10"/>
      <c r="O171" s="10">
        <f t="shared" si="23"/>
        <v>200</v>
      </c>
      <c r="P171" s="10"/>
      <c r="Q171" s="10">
        <f t="shared" si="24"/>
        <v>200</v>
      </c>
      <c r="R171" s="10"/>
      <c r="S171" s="10">
        <f t="shared" si="25"/>
        <v>108</v>
      </c>
      <c r="T171" s="10" t="s">
        <v>19</v>
      </c>
      <c r="U171" s="12"/>
      <c r="V171" s="251"/>
      <c r="W171" s="243"/>
      <c r="X171" s="243"/>
      <c r="Y171" s="243"/>
    </row>
    <row r="172" spans="1:25" ht="15" customHeight="1">
      <c r="A172" s="238">
        <f t="shared" si="19"/>
        <v>171</v>
      </c>
      <c r="B172" s="7"/>
      <c r="C172" s="7"/>
      <c r="D172" s="7"/>
      <c r="E172" s="8">
        <v>45081</v>
      </c>
      <c r="F172" s="38" t="s">
        <v>106</v>
      </c>
      <c r="G172" s="10">
        <v>5</v>
      </c>
      <c r="H172" s="10"/>
      <c r="I172" s="10">
        <f t="shared" si="21"/>
        <v>5</v>
      </c>
      <c r="J172" s="8">
        <v>45251</v>
      </c>
      <c r="K172" s="7">
        <f t="shared" si="20"/>
        <v>11</v>
      </c>
      <c r="L172" s="11">
        <f t="shared" si="22"/>
        <v>170</v>
      </c>
      <c r="M172" s="10">
        <v>35</v>
      </c>
      <c r="N172" s="10">
        <v>10</v>
      </c>
      <c r="O172" s="10">
        <f t="shared" si="23"/>
        <v>45</v>
      </c>
      <c r="P172" s="10">
        <v>4.8499999999999996</v>
      </c>
      <c r="Q172" s="10">
        <f t="shared" si="24"/>
        <v>40.15</v>
      </c>
      <c r="R172" s="10">
        <v>4.3499999999999996</v>
      </c>
      <c r="S172" s="10">
        <f t="shared" si="25"/>
        <v>30.799999999999997</v>
      </c>
      <c r="T172" s="10" t="s">
        <v>16</v>
      </c>
      <c r="U172" s="12"/>
      <c r="V172" s="251"/>
      <c r="W172" s="243"/>
      <c r="X172" s="243"/>
      <c r="Y172" s="243"/>
    </row>
    <row r="173" spans="1:25" ht="15" customHeight="1">
      <c r="A173" s="238">
        <f t="shared" si="19"/>
        <v>172</v>
      </c>
      <c r="B173" s="7"/>
      <c r="C173" s="7"/>
      <c r="D173" s="8"/>
      <c r="E173" s="8">
        <v>45179</v>
      </c>
      <c r="F173" s="38"/>
      <c r="G173" s="10">
        <v>0</v>
      </c>
      <c r="H173" s="10"/>
      <c r="I173" s="10">
        <f t="shared" si="21"/>
        <v>0</v>
      </c>
      <c r="J173" s="8">
        <v>45260</v>
      </c>
      <c r="K173" s="7">
        <f t="shared" si="20"/>
        <v>11</v>
      </c>
      <c r="L173" s="11">
        <f t="shared" si="22"/>
        <v>81</v>
      </c>
      <c r="M173" s="10">
        <v>20</v>
      </c>
      <c r="N173" s="10">
        <v>10</v>
      </c>
      <c r="O173" s="10">
        <f t="shared" si="23"/>
        <v>30</v>
      </c>
      <c r="P173" s="10">
        <v>3.35</v>
      </c>
      <c r="Q173" s="10">
        <f t="shared" si="24"/>
        <v>26.65</v>
      </c>
      <c r="R173" s="10"/>
      <c r="S173" s="10">
        <f t="shared" si="25"/>
        <v>26.65</v>
      </c>
      <c r="T173" s="10" t="s">
        <v>16</v>
      </c>
      <c r="U173" s="371" t="s">
        <v>154</v>
      </c>
      <c r="V173" s="242"/>
      <c r="W173" s="243"/>
      <c r="X173" s="243"/>
      <c r="Y173" s="243"/>
    </row>
    <row r="174" spans="1:25" ht="15" customHeight="1">
      <c r="A174" s="238">
        <f t="shared" si="19"/>
        <v>173</v>
      </c>
      <c r="B174" s="7"/>
      <c r="C174" s="7"/>
      <c r="D174" s="8"/>
      <c r="E174" s="8">
        <v>45227</v>
      </c>
      <c r="F174" s="38"/>
      <c r="G174" s="10">
        <v>20</v>
      </c>
      <c r="H174" s="10"/>
      <c r="I174" s="10">
        <f t="shared" si="21"/>
        <v>20</v>
      </c>
      <c r="J174" s="8">
        <v>45261</v>
      </c>
      <c r="K174" s="7">
        <f t="shared" si="20"/>
        <v>12</v>
      </c>
      <c r="L174" s="11">
        <f t="shared" si="22"/>
        <v>34</v>
      </c>
      <c r="M174" s="10">
        <v>100</v>
      </c>
      <c r="N174" s="10"/>
      <c r="O174" s="10">
        <f t="shared" si="23"/>
        <v>100</v>
      </c>
      <c r="P174" s="10"/>
      <c r="Q174" s="10">
        <f t="shared" si="24"/>
        <v>100</v>
      </c>
      <c r="R174" s="10"/>
      <c r="S174" s="10">
        <f t="shared" si="25"/>
        <v>80</v>
      </c>
      <c r="T174" s="10" t="s">
        <v>19</v>
      </c>
      <c r="U174" s="371"/>
      <c r="V174" s="251"/>
      <c r="W174" s="243"/>
      <c r="X174" s="243"/>
      <c r="Y174" s="243"/>
    </row>
    <row r="175" spans="1:25" ht="15" customHeight="1">
      <c r="A175" s="238">
        <f t="shared" si="19"/>
        <v>174</v>
      </c>
      <c r="B175" s="7"/>
      <c r="C175" s="7"/>
      <c r="D175" s="8"/>
      <c r="E175" s="8">
        <v>45200</v>
      </c>
      <c r="F175" s="38"/>
      <c r="G175" s="10">
        <v>40</v>
      </c>
      <c r="H175" s="10"/>
      <c r="I175" s="10">
        <f t="shared" si="21"/>
        <v>40</v>
      </c>
      <c r="J175" s="8">
        <v>45262</v>
      </c>
      <c r="K175" s="7">
        <f t="shared" si="20"/>
        <v>12</v>
      </c>
      <c r="L175" s="11">
        <f t="shared" si="22"/>
        <v>62</v>
      </c>
      <c r="M175" s="10">
        <v>100</v>
      </c>
      <c r="N175" s="10">
        <v>10</v>
      </c>
      <c r="O175" s="10">
        <f t="shared" si="23"/>
        <v>110</v>
      </c>
      <c r="P175" s="10">
        <v>13.35</v>
      </c>
      <c r="Q175" s="10">
        <f t="shared" si="24"/>
        <v>96.65</v>
      </c>
      <c r="R175" s="10">
        <v>2.99</v>
      </c>
      <c r="S175" s="10">
        <f t="shared" si="25"/>
        <v>53.660000000000004</v>
      </c>
      <c r="T175" s="10" t="s">
        <v>16</v>
      </c>
      <c r="U175" s="371" t="s">
        <v>155</v>
      </c>
      <c r="V175" s="251"/>
      <c r="W175" s="243"/>
      <c r="X175" s="243"/>
      <c r="Y175" s="243"/>
    </row>
    <row r="176" spans="1:25" ht="15" customHeight="1">
      <c r="A176" s="238">
        <f t="shared" si="19"/>
        <v>175</v>
      </c>
      <c r="B176" s="7"/>
      <c r="C176" s="7"/>
      <c r="D176" s="8"/>
      <c r="E176" s="8">
        <v>45121</v>
      </c>
      <c r="F176" s="38" t="s">
        <v>106</v>
      </c>
      <c r="G176" s="10">
        <v>10</v>
      </c>
      <c r="H176" s="10">
        <v>20</v>
      </c>
      <c r="I176" s="10">
        <f t="shared" si="21"/>
        <v>30</v>
      </c>
      <c r="J176" s="8">
        <v>45263</v>
      </c>
      <c r="K176" s="7">
        <f t="shared" si="20"/>
        <v>12</v>
      </c>
      <c r="L176" s="11">
        <f t="shared" si="22"/>
        <v>142</v>
      </c>
      <c r="M176" s="10">
        <v>25</v>
      </c>
      <c r="N176" s="10">
        <v>30</v>
      </c>
      <c r="O176" s="10">
        <f t="shared" si="23"/>
        <v>55</v>
      </c>
      <c r="P176" s="10">
        <v>5.85</v>
      </c>
      <c r="Q176" s="10">
        <f t="shared" si="24"/>
        <v>49.15</v>
      </c>
      <c r="R176" s="10">
        <v>6</v>
      </c>
      <c r="S176" s="10">
        <f t="shared" si="25"/>
        <v>13.149999999999999</v>
      </c>
      <c r="T176" s="10" t="s">
        <v>16</v>
      </c>
      <c r="U176" s="12"/>
      <c r="V176" s="251"/>
      <c r="W176" s="243"/>
      <c r="X176" s="243"/>
      <c r="Y176" s="243"/>
    </row>
    <row r="177" spans="1:25" ht="15" customHeight="1">
      <c r="A177" s="238">
        <f t="shared" si="19"/>
        <v>176</v>
      </c>
      <c r="B177" s="7"/>
      <c r="C177" s="7"/>
      <c r="D177" s="8"/>
      <c r="E177" s="8">
        <v>45186</v>
      </c>
      <c r="F177" s="38"/>
      <c r="G177" s="10">
        <v>0</v>
      </c>
      <c r="H177" s="10"/>
      <c r="I177" s="10">
        <f t="shared" si="21"/>
        <v>0</v>
      </c>
      <c r="J177" s="8">
        <v>45265</v>
      </c>
      <c r="K177" s="7">
        <f t="shared" si="20"/>
        <v>12</v>
      </c>
      <c r="L177" s="11">
        <f t="shared" si="22"/>
        <v>79</v>
      </c>
      <c r="M177" s="10">
        <v>20</v>
      </c>
      <c r="N177" s="10">
        <v>10</v>
      </c>
      <c r="O177" s="10">
        <f t="shared" si="23"/>
        <v>30</v>
      </c>
      <c r="P177" s="10">
        <v>3.35</v>
      </c>
      <c r="Q177" s="10">
        <f t="shared" si="24"/>
        <v>26.65</v>
      </c>
      <c r="R177" s="10">
        <v>2.99</v>
      </c>
      <c r="S177" s="10">
        <f t="shared" si="25"/>
        <v>23.659999999999997</v>
      </c>
      <c r="T177" s="10" t="s">
        <v>16</v>
      </c>
      <c r="U177" s="371"/>
      <c r="V177" s="251"/>
      <c r="W177" s="243"/>
      <c r="X177" s="243"/>
      <c r="Y177" s="243"/>
    </row>
    <row r="178" spans="1:25" ht="15" customHeight="1">
      <c r="A178" s="238">
        <f t="shared" si="19"/>
        <v>177</v>
      </c>
      <c r="B178" s="7"/>
      <c r="C178" s="7"/>
      <c r="D178" s="8"/>
      <c r="E178" s="8">
        <v>45227</v>
      </c>
      <c r="F178" s="38"/>
      <c r="G178" s="10">
        <v>20</v>
      </c>
      <c r="H178" s="10">
        <v>30</v>
      </c>
      <c r="I178" s="10">
        <f t="shared" si="21"/>
        <v>50</v>
      </c>
      <c r="J178" s="8">
        <v>45266</v>
      </c>
      <c r="K178" s="7">
        <f t="shared" si="20"/>
        <v>12</v>
      </c>
      <c r="L178" s="11">
        <f t="shared" si="22"/>
        <v>39</v>
      </c>
      <c r="M178" s="10">
        <v>100</v>
      </c>
      <c r="N178" s="10"/>
      <c r="O178" s="10">
        <f t="shared" si="23"/>
        <v>100</v>
      </c>
      <c r="P178" s="10"/>
      <c r="Q178" s="10">
        <f t="shared" si="24"/>
        <v>100</v>
      </c>
      <c r="R178" s="10"/>
      <c r="S178" s="10">
        <f t="shared" si="25"/>
        <v>50</v>
      </c>
      <c r="T178" s="10" t="s">
        <v>19</v>
      </c>
      <c r="U178" s="371"/>
      <c r="V178" s="251"/>
      <c r="W178" s="243"/>
      <c r="X178" s="243"/>
      <c r="Y178" s="243"/>
    </row>
    <row r="179" spans="1:25" ht="15" customHeight="1">
      <c r="A179" s="238">
        <f t="shared" si="19"/>
        <v>178</v>
      </c>
      <c r="B179" s="7"/>
      <c r="C179" s="7"/>
      <c r="D179" s="8"/>
      <c r="E179" s="8">
        <v>45227</v>
      </c>
      <c r="F179" s="38"/>
      <c r="G179" s="10">
        <v>20</v>
      </c>
      <c r="H179" s="10">
        <v>30</v>
      </c>
      <c r="I179" s="10">
        <f t="shared" si="21"/>
        <v>50</v>
      </c>
      <c r="J179" s="8">
        <v>45270</v>
      </c>
      <c r="K179" s="7">
        <f t="shared" si="20"/>
        <v>12</v>
      </c>
      <c r="L179" s="11">
        <f t="shared" si="22"/>
        <v>43</v>
      </c>
      <c r="M179" s="10">
        <v>130</v>
      </c>
      <c r="N179" s="10">
        <v>10</v>
      </c>
      <c r="O179" s="10">
        <f t="shared" si="23"/>
        <v>140</v>
      </c>
      <c r="P179" s="10">
        <v>14.35</v>
      </c>
      <c r="Q179" s="10">
        <f t="shared" si="24"/>
        <v>125.65</v>
      </c>
      <c r="R179" s="10">
        <v>2.99</v>
      </c>
      <c r="S179" s="10">
        <f t="shared" si="25"/>
        <v>72.660000000000011</v>
      </c>
      <c r="T179" s="10" t="s">
        <v>16</v>
      </c>
      <c r="U179" s="371"/>
      <c r="V179" s="251"/>
      <c r="W179" s="243"/>
      <c r="X179" s="243"/>
      <c r="Y179" s="243"/>
    </row>
    <row r="180" spans="1:25" ht="15" customHeight="1">
      <c r="A180" s="238">
        <f t="shared" si="19"/>
        <v>179</v>
      </c>
      <c r="B180" s="7"/>
      <c r="C180" s="7"/>
      <c r="D180" s="8"/>
      <c r="E180" s="8">
        <v>45193</v>
      </c>
      <c r="F180" s="38"/>
      <c r="G180" s="10">
        <v>5</v>
      </c>
      <c r="H180" s="10"/>
      <c r="I180" s="10">
        <f t="shared" si="21"/>
        <v>5</v>
      </c>
      <c r="J180" s="8">
        <v>45270</v>
      </c>
      <c r="K180" s="7">
        <f t="shared" si="20"/>
        <v>12</v>
      </c>
      <c r="L180" s="11">
        <f t="shared" si="22"/>
        <v>77</v>
      </c>
      <c r="M180" s="10">
        <v>30</v>
      </c>
      <c r="N180" s="10">
        <v>10</v>
      </c>
      <c r="O180" s="10">
        <f t="shared" si="23"/>
        <v>40</v>
      </c>
      <c r="P180" s="10">
        <v>4.3499999999999996</v>
      </c>
      <c r="Q180" s="10">
        <f t="shared" si="24"/>
        <v>35.65</v>
      </c>
      <c r="R180" s="10">
        <v>2.99</v>
      </c>
      <c r="S180" s="10">
        <f t="shared" si="25"/>
        <v>27.659999999999997</v>
      </c>
      <c r="T180" s="10" t="s">
        <v>16</v>
      </c>
      <c r="U180" s="371" t="s">
        <v>153</v>
      </c>
      <c r="V180" s="251"/>
      <c r="W180" s="243"/>
      <c r="X180" s="243"/>
      <c r="Y180" s="243"/>
    </row>
    <row r="181" spans="1:25" ht="15" customHeight="1">
      <c r="A181" s="238">
        <f t="shared" si="19"/>
        <v>180</v>
      </c>
      <c r="B181" s="7"/>
      <c r="C181" s="276"/>
      <c r="D181" s="8"/>
      <c r="E181" s="8">
        <v>45227</v>
      </c>
      <c r="F181" s="38"/>
      <c r="G181" s="10">
        <v>0</v>
      </c>
      <c r="H181" s="10"/>
      <c r="I181" s="10">
        <f t="shared" si="21"/>
        <v>0</v>
      </c>
      <c r="J181" s="8">
        <v>45272</v>
      </c>
      <c r="K181" s="7">
        <f t="shared" si="20"/>
        <v>12</v>
      </c>
      <c r="L181" s="11">
        <f t="shared" si="22"/>
        <v>45</v>
      </c>
      <c r="M181" s="10">
        <v>110</v>
      </c>
      <c r="N181" s="10">
        <v>10</v>
      </c>
      <c r="O181" s="10">
        <f t="shared" si="23"/>
        <v>120</v>
      </c>
      <c r="P181" s="10">
        <v>12.35</v>
      </c>
      <c r="Q181" s="10">
        <f t="shared" si="24"/>
        <v>107.65</v>
      </c>
      <c r="R181" s="10">
        <v>2.99</v>
      </c>
      <c r="S181" s="10">
        <f t="shared" si="25"/>
        <v>104.66000000000001</v>
      </c>
      <c r="T181" s="10" t="s">
        <v>16</v>
      </c>
      <c r="U181" s="371"/>
      <c r="V181" s="251"/>
      <c r="W181" s="243"/>
      <c r="X181" s="243"/>
      <c r="Y181" s="243"/>
    </row>
    <row r="182" spans="1:25" ht="15" customHeight="1">
      <c r="A182" s="238">
        <f t="shared" si="19"/>
        <v>181</v>
      </c>
      <c r="B182" s="7"/>
      <c r="C182" s="7"/>
      <c r="D182" s="8"/>
      <c r="E182" s="8">
        <v>45179</v>
      </c>
      <c r="F182" s="38"/>
      <c r="G182" s="10">
        <v>20</v>
      </c>
      <c r="H182" s="10">
        <v>30</v>
      </c>
      <c r="I182" s="10">
        <f t="shared" si="21"/>
        <v>50</v>
      </c>
      <c r="J182" s="8">
        <v>45271</v>
      </c>
      <c r="K182" s="7">
        <f t="shared" si="20"/>
        <v>12</v>
      </c>
      <c r="L182" s="11">
        <f t="shared" si="22"/>
        <v>92</v>
      </c>
      <c r="M182" s="10">
        <v>60</v>
      </c>
      <c r="N182" s="10"/>
      <c r="O182" s="10">
        <f t="shared" si="23"/>
        <v>60</v>
      </c>
      <c r="P182" s="10"/>
      <c r="Q182" s="10">
        <f t="shared" si="24"/>
        <v>60</v>
      </c>
      <c r="R182" s="10"/>
      <c r="S182" s="10">
        <f t="shared" si="25"/>
        <v>10</v>
      </c>
      <c r="T182" s="10" t="s">
        <v>19</v>
      </c>
      <c r="U182" s="371" t="s">
        <v>153</v>
      </c>
      <c r="V182" s="251"/>
      <c r="W182" s="243"/>
      <c r="X182" s="243"/>
      <c r="Y182" s="243"/>
    </row>
    <row r="183" spans="1:25" ht="15" customHeight="1">
      <c r="A183" s="238">
        <f t="shared" ref="A183:A245" si="26">SUM(A182+1)</f>
        <v>182</v>
      </c>
      <c r="B183" s="7"/>
      <c r="C183" s="7"/>
      <c r="D183" s="8"/>
      <c r="E183" s="8">
        <v>45207</v>
      </c>
      <c r="F183" s="38"/>
      <c r="G183" s="10">
        <v>30</v>
      </c>
      <c r="H183" s="10">
        <v>50</v>
      </c>
      <c r="I183" s="10">
        <f t="shared" si="21"/>
        <v>80</v>
      </c>
      <c r="J183" s="8">
        <v>45277</v>
      </c>
      <c r="K183" s="7">
        <f t="shared" si="20"/>
        <v>12</v>
      </c>
      <c r="L183" s="11">
        <f t="shared" si="22"/>
        <v>70</v>
      </c>
      <c r="M183" s="10">
        <v>180</v>
      </c>
      <c r="N183" s="10">
        <v>10</v>
      </c>
      <c r="O183" s="10">
        <f t="shared" si="23"/>
        <v>190</v>
      </c>
      <c r="P183" s="10">
        <v>19.350000000000001</v>
      </c>
      <c r="Q183" s="10">
        <f t="shared" si="24"/>
        <v>170.65</v>
      </c>
      <c r="R183" s="10">
        <v>29.79</v>
      </c>
      <c r="S183" s="10">
        <f t="shared" si="25"/>
        <v>60.860000000000007</v>
      </c>
      <c r="T183" s="10" t="s">
        <v>16</v>
      </c>
      <c r="U183" s="371"/>
      <c r="V183" s="251"/>
      <c r="W183" s="243"/>
      <c r="X183" s="243"/>
      <c r="Y183" s="243"/>
    </row>
    <row r="184" spans="1:25" ht="15" customHeight="1">
      <c r="A184" s="238">
        <f t="shared" si="26"/>
        <v>183</v>
      </c>
      <c r="B184" s="7"/>
      <c r="C184" s="7"/>
      <c r="D184" s="8"/>
      <c r="E184" s="8">
        <v>45214</v>
      </c>
      <c r="F184" s="38"/>
      <c r="G184" s="10">
        <v>30</v>
      </c>
      <c r="H184" s="10">
        <v>50</v>
      </c>
      <c r="I184" s="10">
        <f t="shared" si="21"/>
        <v>80</v>
      </c>
      <c r="J184" s="8">
        <v>45278</v>
      </c>
      <c r="K184" s="7">
        <f t="shared" ref="K184:K188" si="27">IF(J184="","",MONTH(J184))</f>
        <v>12</v>
      </c>
      <c r="L184" s="11">
        <f t="shared" si="22"/>
        <v>64</v>
      </c>
      <c r="M184" s="10">
        <v>80</v>
      </c>
      <c r="N184" s="10"/>
      <c r="O184" s="10">
        <f t="shared" si="23"/>
        <v>80</v>
      </c>
      <c r="P184" s="10"/>
      <c r="Q184" s="10">
        <f t="shared" si="24"/>
        <v>80</v>
      </c>
      <c r="R184" s="10"/>
      <c r="S184" s="10">
        <f t="shared" si="25"/>
        <v>0</v>
      </c>
      <c r="T184" s="10" t="s">
        <v>19</v>
      </c>
      <c r="U184" s="371"/>
      <c r="V184" s="251"/>
      <c r="W184" s="243"/>
      <c r="X184" s="243"/>
      <c r="Y184" s="243"/>
    </row>
    <row r="185" spans="1:25" ht="15" customHeight="1">
      <c r="A185" s="238">
        <f t="shared" si="26"/>
        <v>184</v>
      </c>
      <c r="B185" s="7"/>
      <c r="C185" s="7"/>
      <c r="D185" s="8"/>
      <c r="E185" s="8">
        <v>45165</v>
      </c>
      <c r="F185" s="38"/>
      <c r="G185" s="10">
        <v>20</v>
      </c>
      <c r="H185" s="10"/>
      <c r="I185" s="10">
        <f t="shared" si="21"/>
        <v>20</v>
      </c>
      <c r="J185" s="8">
        <v>45279</v>
      </c>
      <c r="K185" s="7">
        <f t="shared" si="27"/>
        <v>12</v>
      </c>
      <c r="L185" s="11">
        <f t="shared" si="22"/>
        <v>114</v>
      </c>
      <c r="M185" s="10">
        <v>100</v>
      </c>
      <c r="N185" s="10">
        <v>10</v>
      </c>
      <c r="O185" s="10">
        <f t="shared" si="23"/>
        <v>110</v>
      </c>
      <c r="P185" s="10">
        <v>11.35</v>
      </c>
      <c r="Q185" s="10">
        <f t="shared" si="24"/>
        <v>98.65</v>
      </c>
      <c r="R185" s="10">
        <v>2.99</v>
      </c>
      <c r="S185" s="10">
        <f t="shared" si="25"/>
        <v>75.660000000000011</v>
      </c>
      <c r="T185" s="10" t="s">
        <v>16</v>
      </c>
      <c r="U185" s="371"/>
      <c r="V185" s="251"/>
      <c r="W185" s="243"/>
      <c r="X185" s="243"/>
      <c r="Y185" s="243"/>
    </row>
    <row r="186" spans="1:25" ht="15" customHeight="1">
      <c r="A186" s="238">
        <f t="shared" si="26"/>
        <v>185</v>
      </c>
      <c r="B186" s="7"/>
      <c r="C186" s="7"/>
      <c r="D186" s="8"/>
      <c r="E186" s="8">
        <v>45137</v>
      </c>
      <c r="F186" s="38" t="s">
        <v>106</v>
      </c>
      <c r="G186" s="10">
        <v>20</v>
      </c>
      <c r="H186" s="10">
        <v>40</v>
      </c>
      <c r="I186" s="10">
        <f t="shared" si="21"/>
        <v>60</v>
      </c>
      <c r="J186" s="8">
        <v>45283</v>
      </c>
      <c r="K186" s="7">
        <f t="shared" si="27"/>
        <v>12</v>
      </c>
      <c r="L186" s="11">
        <f t="shared" si="22"/>
        <v>146</v>
      </c>
      <c r="M186" s="10">
        <v>100</v>
      </c>
      <c r="N186" s="10"/>
      <c r="O186" s="10">
        <f t="shared" si="23"/>
        <v>100</v>
      </c>
      <c r="P186" s="10"/>
      <c r="Q186" s="10">
        <f t="shared" si="24"/>
        <v>100</v>
      </c>
      <c r="R186" s="10"/>
      <c r="S186" s="10">
        <f t="shared" si="25"/>
        <v>40</v>
      </c>
      <c r="T186" s="10" t="s">
        <v>19</v>
      </c>
      <c r="U186" s="12" t="s">
        <v>153</v>
      </c>
      <c r="V186" s="251"/>
      <c r="W186" s="243"/>
      <c r="X186" s="243"/>
      <c r="Y186" s="243"/>
    </row>
    <row r="187" spans="1:25" ht="15" customHeight="1">
      <c r="A187" s="238">
        <f t="shared" si="26"/>
        <v>186</v>
      </c>
      <c r="B187" s="7"/>
      <c r="C187" s="7"/>
      <c r="D187" s="8"/>
      <c r="E187" s="8">
        <v>45186</v>
      </c>
      <c r="F187" s="38"/>
      <c r="G187" s="10">
        <v>40</v>
      </c>
      <c r="H187" s="10"/>
      <c r="I187" s="10">
        <f t="shared" si="21"/>
        <v>40</v>
      </c>
      <c r="J187" s="8">
        <v>45283</v>
      </c>
      <c r="K187" s="7">
        <f t="shared" si="27"/>
        <v>12</v>
      </c>
      <c r="L187" s="11">
        <f t="shared" si="22"/>
        <v>97</v>
      </c>
      <c r="M187" s="10">
        <v>80</v>
      </c>
      <c r="N187" s="10"/>
      <c r="O187" s="10">
        <f t="shared" si="23"/>
        <v>80</v>
      </c>
      <c r="P187" s="10"/>
      <c r="Q187" s="10">
        <f t="shared" si="24"/>
        <v>80</v>
      </c>
      <c r="R187" s="10"/>
      <c r="S187" s="10">
        <f t="shared" si="25"/>
        <v>40</v>
      </c>
      <c r="T187" s="10" t="s">
        <v>19</v>
      </c>
      <c r="U187" s="371" t="s">
        <v>153</v>
      </c>
      <c r="V187" s="242"/>
      <c r="W187" s="243"/>
      <c r="X187" s="243"/>
      <c r="Y187" s="243"/>
    </row>
    <row r="188" spans="1:25" ht="15" customHeight="1">
      <c r="A188" s="238">
        <f t="shared" si="26"/>
        <v>187</v>
      </c>
      <c r="B188" s="7"/>
      <c r="C188" s="7"/>
      <c r="D188" s="8"/>
      <c r="E188" s="8">
        <v>45193</v>
      </c>
      <c r="F188" s="38"/>
      <c r="G188" s="10">
        <v>20</v>
      </c>
      <c r="H188" s="10"/>
      <c r="I188" s="10">
        <f>IF($G188&lt;&gt;"",SUM(G188:H188),"")</f>
        <v>20</v>
      </c>
      <c r="J188" s="8">
        <v>45283</v>
      </c>
      <c r="K188" s="7">
        <f t="shared" si="27"/>
        <v>12</v>
      </c>
      <c r="L188" s="11">
        <f>IF($J188&lt;&gt;"",SUM(J188-E188),"")</f>
        <v>90</v>
      </c>
      <c r="M188" s="10">
        <v>110</v>
      </c>
      <c r="N188" s="10">
        <v>10</v>
      </c>
      <c r="O188" s="10">
        <f>IF($J188&lt;&gt;"",SUM(M188:N188),"")</f>
        <v>120</v>
      </c>
      <c r="P188" s="10">
        <v>12.35</v>
      </c>
      <c r="Q188" s="10">
        <f>IF(J188="","",O188-P188)</f>
        <v>107.65</v>
      </c>
      <c r="R188" s="10">
        <v>2.99</v>
      </c>
      <c r="S188" s="10">
        <f>IF(J188="","",Q188-I188-R188)</f>
        <v>84.660000000000011</v>
      </c>
      <c r="T188" s="10" t="s">
        <v>16</v>
      </c>
      <c r="U188" s="371"/>
      <c r="V188" s="251"/>
      <c r="W188" s="243"/>
      <c r="X188" s="243"/>
      <c r="Y188" s="243"/>
    </row>
    <row r="189" spans="1:25" ht="15" customHeight="1">
      <c r="A189" s="238">
        <f t="shared" si="26"/>
        <v>188</v>
      </c>
      <c r="B189" s="7"/>
      <c r="C189" s="7"/>
      <c r="D189" s="8"/>
      <c r="E189" s="8">
        <v>45193</v>
      </c>
      <c r="F189" s="38"/>
      <c r="G189" s="10">
        <v>5</v>
      </c>
      <c r="H189" s="10"/>
      <c r="I189" s="10">
        <f>IF($G189&lt;&gt;"",SUM(G189:H189),"")</f>
        <v>5</v>
      </c>
      <c r="J189" s="8">
        <v>45285</v>
      </c>
      <c r="K189" s="7">
        <f>IF(J189="","",MONTH(J189))</f>
        <v>12</v>
      </c>
      <c r="L189" s="11">
        <f>IF($J189&lt;&gt;"",SUM(J189-E189),"")</f>
        <v>92</v>
      </c>
      <c r="M189" s="10">
        <v>80</v>
      </c>
      <c r="N189" s="10">
        <v>10</v>
      </c>
      <c r="O189" s="10">
        <f>IF($J189&lt;&gt;"",SUM(M189:N189),"")</f>
        <v>90</v>
      </c>
      <c r="P189" s="10">
        <v>9.35</v>
      </c>
      <c r="Q189" s="10">
        <f>IF(J189="","",O189-P189)</f>
        <v>80.650000000000006</v>
      </c>
      <c r="R189" s="10">
        <v>15.4</v>
      </c>
      <c r="S189" s="10">
        <f>IF(J189="","",Q189-I189-R189)</f>
        <v>60.250000000000007</v>
      </c>
      <c r="T189" s="10" t="s">
        <v>16</v>
      </c>
      <c r="U189" s="371" t="s">
        <v>153</v>
      </c>
      <c r="V189" s="251"/>
      <c r="W189" s="243"/>
      <c r="X189" s="243"/>
      <c r="Y189" s="243"/>
    </row>
    <row r="190" spans="1:25" ht="15.6" customHeight="1">
      <c r="A190" s="238">
        <f t="shared" si="26"/>
        <v>189</v>
      </c>
      <c r="B190" s="7"/>
      <c r="C190" s="7"/>
      <c r="D190" s="8"/>
      <c r="E190" s="8">
        <v>45227</v>
      </c>
      <c r="F190" s="38"/>
      <c r="G190" s="10">
        <v>20</v>
      </c>
      <c r="H190" s="10">
        <v>40</v>
      </c>
      <c r="I190" s="10">
        <f>IF($G190&lt;&gt;"",SUM(G190:H190),"")</f>
        <v>60</v>
      </c>
      <c r="J190" s="8">
        <v>45285</v>
      </c>
      <c r="K190" s="7">
        <f>IF(J190="","",MONTH(J190))</f>
        <v>12</v>
      </c>
      <c r="L190" s="11">
        <f>IF($J190&lt;&gt;"",SUM(J190-E190),"")</f>
        <v>58</v>
      </c>
      <c r="M190" s="10">
        <v>110</v>
      </c>
      <c r="N190" s="10">
        <v>30</v>
      </c>
      <c r="O190" s="10">
        <f>IF($J190&lt;&gt;"",SUM(M190:N190),"")</f>
        <v>140</v>
      </c>
      <c r="P190" s="10">
        <v>14.35</v>
      </c>
      <c r="Q190" s="10">
        <f>IF(J190="","",O190-P190)</f>
        <v>125.65</v>
      </c>
      <c r="R190" s="10">
        <v>8.99</v>
      </c>
      <c r="S190" s="10">
        <f>IF(J190="","",Q190-I190-R190)</f>
        <v>56.660000000000004</v>
      </c>
      <c r="T190" s="10" t="s">
        <v>16</v>
      </c>
      <c r="U190" s="371"/>
      <c r="V190" s="277"/>
      <c r="W190" s="243"/>
      <c r="X190" s="243"/>
      <c r="Y190" s="243"/>
    </row>
    <row r="191" spans="1:25" ht="15" customHeight="1">
      <c r="A191" s="238">
        <f t="shared" si="26"/>
        <v>190</v>
      </c>
      <c r="B191" s="7"/>
      <c r="C191" s="7"/>
      <c r="D191" s="8"/>
      <c r="E191" s="8">
        <v>45227</v>
      </c>
      <c r="F191" s="38"/>
      <c r="G191" s="10">
        <v>20</v>
      </c>
      <c r="H191" s="10">
        <v>40</v>
      </c>
      <c r="I191" s="10">
        <f>IF($G191&lt;&gt;"",SUM(G191:H191),"")</f>
        <v>60</v>
      </c>
      <c r="J191" s="8">
        <v>45285</v>
      </c>
      <c r="K191" s="7">
        <f>IF(J191="","",MONTH(J191))</f>
        <v>12</v>
      </c>
      <c r="L191" s="11">
        <f>IF($J191&lt;&gt;"",SUM(J191-E191),"")</f>
        <v>58</v>
      </c>
      <c r="M191" s="10">
        <v>150</v>
      </c>
      <c r="N191" s="10">
        <v>30</v>
      </c>
      <c r="O191" s="10">
        <f>IF($J191&lt;&gt;"",SUM(M191:N191),"")</f>
        <v>180</v>
      </c>
      <c r="P191" s="10">
        <v>18.350000000000001</v>
      </c>
      <c r="Q191" s="10">
        <f>IF(J191="","",O191-P191)</f>
        <v>161.65</v>
      </c>
      <c r="R191" s="10">
        <v>13.45</v>
      </c>
      <c r="S191" s="10">
        <f>IF(J191="","",Q191-I191-R191)</f>
        <v>88.2</v>
      </c>
      <c r="T191" s="10" t="s">
        <v>16</v>
      </c>
      <c r="U191" s="371"/>
      <c r="V191" s="277"/>
      <c r="W191" s="243"/>
      <c r="X191" s="243"/>
      <c r="Y191" s="278"/>
    </row>
    <row r="192" spans="1:25" ht="15" customHeight="1">
      <c r="A192" s="238">
        <f t="shared" si="26"/>
        <v>191</v>
      </c>
      <c r="B192" s="7"/>
      <c r="C192" s="7"/>
      <c r="D192" s="8"/>
      <c r="E192" s="8">
        <v>45249</v>
      </c>
      <c r="F192" s="38"/>
      <c r="G192" s="10">
        <v>7.5</v>
      </c>
      <c r="H192" s="10"/>
      <c r="I192" s="10">
        <f>IF($G192&lt;&gt;"",SUM(G192:H192),"")</f>
        <v>7.5</v>
      </c>
      <c r="J192" s="8">
        <v>45283</v>
      </c>
      <c r="K192" s="7">
        <f>IF(J192="","",MONTH(J192))</f>
        <v>12</v>
      </c>
      <c r="L192" s="11">
        <f>IF($J192&lt;&gt;"",SUM(J192-E192),"")</f>
        <v>34</v>
      </c>
      <c r="M192" s="10">
        <v>70</v>
      </c>
      <c r="N192" s="10">
        <v>30</v>
      </c>
      <c r="O192" s="10">
        <f>IF($J192&lt;&gt;"",SUM(M192:N192),"")</f>
        <v>100</v>
      </c>
      <c r="P192" s="10">
        <v>10.35</v>
      </c>
      <c r="Q192" s="10">
        <f>IF(J192="","",O192-P192)</f>
        <v>89.65</v>
      </c>
      <c r="R192" s="10">
        <v>13.25</v>
      </c>
      <c r="S192" s="10">
        <f>IF(J192="","",Q192-I192-R192)</f>
        <v>68.900000000000006</v>
      </c>
      <c r="T192" s="10" t="s">
        <v>16</v>
      </c>
      <c r="U192" s="371" t="s">
        <v>155</v>
      </c>
      <c r="V192" s="277"/>
      <c r="W192" s="243"/>
      <c r="X192" s="243"/>
      <c r="Y192" s="243"/>
    </row>
    <row r="193" spans="1:26" ht="15" customHeight="1">
      <c r="A193" s="238">
        <f t="shared" si="26"/>
        <v>192</v>
      </c>
      <c r="B193" s="7"/>
      <c r="C193" s="7"/>
      <c r="D193" s="7"/>
      <c r="E193" s="8">
        <v>45026</v>
      </c>
      <c r="F193" s="38" t="s">
        <v>106</v>
      </c>
      <c r="G193" s="10">
        <v>0</v>
      </c>
      <c r="H193" s="10"/>
      <c r="I193" s="10">
        <f t="shared" ref="I193" si="28">IF($G193&lt;&gt;"",SUM(G193:H193),"")</f>
        <v>0</v>
      </c>
      <c r="J193" s="8"/>
      <c r="K193" s="7" t="str">
        <f t="shared" ref="K193" si="29">IF(J193="","",MONTH(J193))</f>
        <v/>
      </c>
      <c r="L193" s="11" t="str">
        <f t="shared" ref="L193" si="30">IF($J193&lt;&gt;"",SUM(J193-E193),"")</f>
        <v/>
      </c>
      <c r="M193" s="10">
        <v>10</v>
      </c>
      <c r="N193" s="10"/>
      <c r="O193" s="10" t="str">
        <f t="shared" ref="O193" si="31">IF($J193&lt;&gt;"",SUM(M193:N193),"")</f>
        <v/>
      </c>
      <c r="P193" s="10"/>
      <c r="Q193" s="10" t="str">
        <f t="shared" ref="Q193" si="32">IF(J193="","",O193-P193)</f>
        <v/>
      </c>
      <c r="R193" s="10"/>
      <c r="S193" s="10" t="str">
        <f t="shared" ref="S193" si="33">IF(J193="","",Q193-I193-R193)</f>
        <v/>
      </c>
      <c r="T193" s="10"/>
      <c r="U193" s="12" t="s">
        <v>156</v>
      </c>
      <c r="V193" s="242"/>
      <c r="W193" s="243"/>
      <c r="X193" s="243"/>
      <c r="Y193" s="278"/>
      <c r="Z193" s="279"/>
    </row>
    <row r="194" spans="1:26" ht="15" customHeight="1">
      <c r="A194" s="238">
        <f t="shared" si="26"/>
        <v>193</v>
      </c>
      <c r="B194" s="231"/>
      <c r="C194" s="231"/>
      <c r="D194" s="232"/>
      <c r="E194" s="232">
        <v>45121</v>
      </c>
      <c r="F194" s="280" t="s">
        <v>106</v>
      </c>
      <c r="G194" s="234">
        <v>10</v>
      </c>
      <c r="H194" s="234">
        <v>20</v>
      </c>
      <c r="I194" s="234">
        <f>IF($G194&lt;&gt;"",SUM(G194:H194),"")</f>
        <v>30</v>
      </c>
      <c r="J194" s="232"/>
      <c r="K194" s="231" t="str">
        <f>IF(J194="","",MONTH(J194))</f>
        <v/>
      </c>
      <c r="L194" s="235" t="str">
        <f>IF($J194&lt;&gt;"",SUM(J194-E194),"")</f>
        <v/>
      </c>
      <c r="M194" s="234">
        <v>60</v>
      </c>
      <c r="N194" s="234"/>
      <c r="O194" s="234" t="str">
        <f>IF($J194&lt;&gt;"",SUM(M194:N194),"")</f>
        <v/>
      </c>
      <c r="P194" s="234"/>
      <c r="Q194" s="234" t="str">
        <f>IF(J194="","",O194-P194)</f>
        <v/>
      </c>
      <c r="R194" s="234"/>
      <c r="S194" s="234" t="str">
        <f>IF(J194="","",Q194-I194-R194)</f>
        <v/>
      </c>
      <c r="T194" s="234"/>
      <c r="U194" s="281" t="s">
        <v>153</v>
      </c>
      <c r="V194" s="281"/>
      <c r="W194" s="282"/>
      <c r="X194" s="243"/>
      <c r="Y194" s="278"/>
      <c r="Z194" s="279"/>
    </row>
    <row r="195" spans="1:26" ht="15" customHeight="1">
      <c r="A195" s="238">
        <f t="shared" si="26"/>
        <v>194</v>
      </c>
      <c r="B195" s="7"/>
      <c r="C195" s="7"/>
      <c r="D195" s="7"/>
      <c r="E195" s="8">
        <v>45061</v>
      </c>
      <c r="F195" s="38" t="s">
        <v>106</v>
      </c>
      <c r="G195" s="10">
        <v>15</v>
      </c>
      <c r="H195" s="10"/>
      <c r="I195" s="10">
        <f t="shared" si="13"/>
        <v>15</v>
      </c>
      <c r="J195" s="8"/>
      <c r="K195" s="7" t="str">
        <f t="shared" si="1"/>
        <v/>
      </c>
      <c r="L195" s="11" t="str">
        <f t="shared" si="12"/>
        <v/>
      </c>
      <c r="M195" s="10">
        <v>75</v>
      </c>
      <c r="N195" s="10"/>
      <c r="O195" s="10" t="str">
        <f t="shared" ref="O195:O240" si="34">IF($J195&lt;&gt;"",SUM(M195:N195),"")</f>
        <v/>
      </c>
      <c r="P195" s="10"/>
      <c r="Q195" s="10" t="str">
        <f t="shared" ref="Q195:Q245" si="35">IF(J195="","",O195-P195)</f>
        <v/>
      </c>
      <c r="R195" s="10"/>
      <c r="S195" s="10" t="str">
        <f t="shared" ref="S195:S245" si="36">IF(J195="","",Q195-I195-R195)</f>
        <v/>
      </c>
      <c r="T195" s="10"/>
      <c r="U195" s="12"/>
      <c r="V195" s="242"/>
      <c r="W195" s="243"/>
      <c r="X195" s="243"/>
      <c r="Y195" s="243"/>
    </row>
    <row r="196" spans="1:26" ht="15" customHeight="1">
      <c r="A196" s="238">
        <f t="shared" si="26"/>
        <v>195</v>
      </c>
      <c r="B196" s="7"/>
      <c r="C196" s="7"/>
      <c r="D196" s="7"/>
      <c r="E196" s="8">
        <v>45053</v>
      </c>
      <c r="F196" s="38" t="s">
        <v>106</v>
      </c>
      <c r="G196" s="10">
        <v>7.5</v>
      </c>
      <c r="H196" s="10"/>
      <c r="I196" s="10">
        <f t="shared" si="13"/>
        <v>7.5</v>
      </c>
      <c r="J196" s="8"/>
      <c r="K196" s="7" t="str">
        <f t="shared" si="1"/>
        <v/>
      </c>
      <c r="L196" s="11" t="str">
        <f t="shared" si="12"/>
        <v/>
      </c>
      <c r="M196" s="10">
        <v>20</v>
      </c>
      <c r="N196" s="10"/>
      <c r="O196" s="10" t="str">
        <f t="shared" si="34"/>
        <v/>
      </c>
      <c r="P196" s="10"/>
      <c r="Q196" s="10" t="str">
        <f t="shared" si="35"/>
        <v/>
      </c>
      <c r="R196" s="10"/>
      <c r="S196" s="10" t="str">
        <f t="shared" si="36"/>
        <v/>
      </c>
      <c r="T196" s="10"/>
      <c r="U196" s="12"/>
      <c r="V196" s="242"/>
      <c r="W196" s="243"/>
      <c r="X196" s="243"/>
      <c r="Y196" s="243"/>
    </row>
    <row r="197" spans="1:26" ht="15" customHeight="1">
      <c r="A197" s="238">
        <f t="shared" si="26"/>
        <v>196</v>
      </c>
      <c r="B197" s="7"/>
      <c r="C197" s="7"/>
      <c r="D197" s="7"/>
      <c r="E197" s="8">
        <v>45060</v>
      </c>
      <c r="F197" s="38" t="s">
        <v>106</v>
      </c>
      <c r="G197" s="10">
        <v>0</v>
      </c>
      <c r="H197" s="10"/>
      <c r="I197" s="10">
        <f t="shared" si="13"/>
        <v>0</v>
      </c>
      <c r="J197" s="8"/>
      <c r="K197" s="7" t="str">
        <f t="shared" si="1"/>
        <v/>
      </c>
      <c r="L197" s="11" t="str">
        <f t="shared" si="12"/>
        <v/>
      </c>
      <c r="M197" s="10">
        <v>10</v>
      </c>
      <c r="N197" s="10"/>
      <c r="O197" s="10" t="str">
        <f t="shared" si="34"/>
        <v/>
      </c>
      <c r="P197" s="10"/>
      <c r="Q197" s="10" t="str">
        <f t="shared" si="35"/>
        <v/>
      </c>
      <c r="R197" s="10"/>
      <c r="S197" s="10" t="str">
        <f t="shared" si="36"/>
        <v/>
      </c>
      <c r="T197" s="10"/>
      <c r="U197" s="12"/>
      <c r="V197" s="242"/>
      <c r="W197" s="243"/>
      <c r="X197" s="243"/>
      <c r="Y197" s="243"/>
    </row>
    <row r="198" spans="1:26" ht="15" customHeight="1">
      <c r="A198" s="238">
        <f t="shared" si="26"/>
        <v>197</v>
      </c>
      <c r="B198" s="7"/>
      <c r="C198" s="7"/>
      <c r="D198" s="7"/>
      <c r="E198" s="8">
        <v>45081</v>
      </c>
      <c r="F198" s="38" t="s">
        <v>106</v>
      </c>
      <c r="G198" s="10">
        <v>20</v>
      </c>
      <c r="H198" s="10"/>
      <c r="I198" s="10">
        <f t="shared" si="13"/>
        <v>20</v>
      </c>
      <c r="J198" s="8"/>
      <c r="K198" s="7" t="str">
        <f t="shared" si="1"/>
        <v/>
      </c>
      <c r="L198" s="11" t="str">
        <f t="shared" si="12"/>
        <v/>
      </c>
      <c r="M198" s="10">
        <v>20</v>
      </c>
      <c r="N198" s="10"/>
      <c r="O198" s="10" t="str">
        <f t="shared" si="34"/>
        <v/>
      </c>
      <c r="P198" s="10"/>
      <c r="Q198" s="10" t="str">
        <f t="shared" si="35"/>
        <v/>
      </c>
      <c r="R198" s="10"/>
      <c r="S198" s="10" t="str">
        <f t="shared" si="36"/>
        <v/>
      </c>
      <c r="T198" s="10"/>
      <c r="U198" s="12"/>
      <c r="V198" s="242"/>
      <c r="W198" s="243"/>
      <c r="X198" s="243"/>
      <c r="Y198" s="243"/>
    </row>
    <row r="199" spans="1:26" ht="15" customHeight="1">
      <c r="A199" s="238">
        <f t="shared" si="26"/>
        <v>198</v>
      </c>
      <c r="B199" s="7"/>
      <c r="C199" s="7"/>
      <c r="D199" s="7"/>
      <c r="E199" s="8">
        <v>45081</v>
      </c>
      <c r="F199" s="38" t="s">
        <v>106</v>
      </c>
      <c r="G199" s="10">
        <v>12</v>
      </c>
      <c r="H199" s="10">
        <v>50</v>
      </c>
      <c r="I199" s="10">
        <f t="shared" si="13"/>
        <v>62</v>
      </c>
      <c r="J199" s="8"/>
      <c r="K199" s="7" t="str">
        <f t="shared" si="1"/>
        <v/>
      </c>
      <c r="L199" s="11" t="str">
        <f t="shared" si="12"/>
        <v/>
      </c>
      <c r="M199" s="10">
        <v>70</v>
      </c>
      <c r="N199" s="10"/>
      <c r="O199" s="10" t="str">
        <f t="shared" si="34"/>
        <v/>
      </c>
      <c r="P199" s="10"/>
      <c r="Q199" s="10" t="str">
        <f t="shared" si="35"/>
        <v/>
      </c>
      <c r="R199" s="10"/>
      <c r="S199" s="10" t="str">
        <f t="shared" si="36"/>
        <v/>
      </c>
      <c r="T199" s="10"/>
      <c r="U199" s="12"/>
      <c r="V199" s="242"/>
      <c r="W199" s="243"/>
      <c r="X199" s="243"/>
      <c r="Y199" s="243"/>
    </row>
    <row r="200" spans="1:26" ht="15" customHeight="1">
      <c r="A200" s="238">
        <f t="shared" si="26"/>
        <v>199</v>
      </c>
      <c r="B200" s="7"/>
      <c r="C200" s="7"/>
      <c r="D200" s="7"/>
      <c r="E200" s="8">
        <v>45088</v>
      </c>
      <c r="F200" s="38" t="s">
        <v>106</v>
      </c>
      <c r="G200" s="10">
        <v>0</v>
      </c>
      <c r="H200" s="10"/>
      <c r="I200" s="10">
        <f t="shared" si="13"/>
        <v>0</v>
      </c>
      <c r="J200" s="8"/>
      <c r="K200" s="7" t="str">
        <f t="shared" si="1"/>
        <v/>
      </c>
      <c r="L200" s="11" t="str">
        <f t="shared" si="12"/>
        <v/>
      </c>
      <c r="M200" s="10">
        <v>20</v>
      </c>
      <c r="N200" s="10"/>
      <c r="O200" s="10" t="str">
        <f t="shared" si="34"/>
        <v/>
      </c>
      <c r="P200" s="10"/>
      <c r="Q200" s="10" t="str">
        <f t="shared" si="35"/>
        <v/>
      </c>
      <c r="R200" s="10"/>
      <c r="S200" s="10" t="str">
        <f t="shared" si="36"/>
        <v/>
      </c>
      <c r="T200" s="10"/>
      <c r="U200" s="12"/>
      <c r="V200" s="251"/>
      <c r="W200" s="243"/>
      <c r="X200" s="243"/>
      <c r="Y200" s="243"/>
    </row>
    <row r="201" spans="1:26" ht="15" customHeight="1">
      <c r="A201" s="238">
        <f t="shared" si="26"/>
        <v>200</v>
      </c>
      <c r="B201" s="7"/>
      <c r="C201" s="7"/>
      <c r="D201" s="7"/>
      <c r="E201" s="8">
        <v>45088</v>
      </c>
      <c r="F201" s="38" t="s">
        <v>106</v>
      </c>
      <c r="G201" s="10">
        <v>15</v>
      </c>
      <c r="H201" s="10"/>
      <c r="I201" s="10">
        <f t="shared" si="13"/>
        <v>15</v>
      </c>
      <c r="J201" s="8"/>
      <c r="K201" s="7" t="str">
        <f t="shared" si="1"/>
        <v/>
      </c>
      <c r="L201" s="11" t="str">
        <f t="shared" si="12"/>
        <v/>
      </c>
      <c r="M201" s="10">
        <v>130</v>
      </c>
      <c r="N201" s="10"/>
      <c r="O201" s="10" t="str">
        <f t="shared" si="34"/>
        <v/>
      </c>
      <c r="P201" s="10"/>
      <c r="Q201" s="10" t="str">
        <f t="shared" si="35"/>
        <v/>
      </c>
      <c r="R201" s="10"/>
      <c r="S201" s="10" t="str">
        <f t="shared" si="36"/>
        <v/>
      </c>
      <c r="T201" s="10"/>
      <c r="U201" s="12" t="s">
        <v>96</v>
      </c>
      <c r="V201" s="251"/>
      <c r="W201" s="243"/>
      <c r="X201" s="243"/>
      <c r="Y201" s="243"/>
    </row>
    <row r="202" spans="1:26" ht="15" customHeight="1">
      <c r="A202" s="238">
        <f t="shared" si="26"/>
        <v>201</v>
      </c>
      <c r="B202" s="7"/>
      <c r="C202" s="7"/>
      <c r="D202" s="8"/>
      <c r="E202" s="8">
        <v>45116</v>
      </c>
      <c r="F202" s="38" t="s">
        <v>106</v>
      </c>
      <c r="G202" s="10">
        <v>10</v>
      </c>
      <c r="H202" s="10"/>
      <c r="I202" s="10">
        <f t="shared" si="13"/>
        <v>10</v>
      </c>
      <c r="J202" s="8"/>
      <c r="K202" s="7" t="str">
        <f t="shared" si="1"/>
        <v/>
      </c>
      <c r="L202" s="11" t="str">
        <f t="shared" si="12"/>
        <v/>
      </c>
      <c r="M202" s="10">
        <v>30</v>
      </c>
      <c r="N202" s="10"/>
      <c r="O202" s="10" t="str">
        <f t="shared" si="34"/>
        <v/>
      </c>
      <c r="P202" s="10"/>
      <c r="Q202" s="10" t="str">
        <f t="shared" si="35"/>
        <v/>
      </c>
      <c r="R202" s="10"/>
      <c r="S202" s="10" t="str">
        <f t="shared" si="36"/>
        <v/>
      </c>
      <c r="T202" s="10"/>
      <c r="U202" s="12"/>
      <c r="V202" s="251"/>
      <c r="W202" s="243"/>
      <c r="X202" s="243"/>
      <c r="Y202" s="243"/>
    </row>
    <row r="203" spans="1:26" s="286" customFormat="1" ht="15" customHeight="1">
      <c r="A203" s="238">
        <f t="shared" si="26"/>
        <v>202</v>
      </c>
      <c r="B203" s="7"/>
      <c r="C203" s="7"/>
      <c r="D203" s="8"/>
      <c r="E203" s="283">
        <v>45130</v>
      </c>
      <c r="F203" s="38" t="s">
        <v>106</v>
      </c>
      <c r="G203" s="10">
        <v>25</v>
      </c>
      <c r="H203" s="10"/>
      <c r="I203" s="10">
        <f t="shared" si="13"/>
        <v>25</v>
      </c>
      <c r="J203" s="8"/>
      <c r="K203" s="7" t="str">
        <f t="shared" si="1"/>
        <v/>
      </c>
      <c r="L203" s="11" t="str">
        <f t="shared" si="12"/>
        <v/>
      </c>
      <c r="M203" s="10">
        <v>180</v>
      </c>
      <c r="N203" s="10"/>
      <c r="O203" s="10" t="str">
        <f t="shared" si="34"/>
        <v/>
      </c>
      <c r="P203" s="10"/>
      <c r="Q203" s="10" t="str">
        <f t="shared" si="35"/>
        <v/>
      </c>
      <c r="R203" s="10"/>
      <c r="S203" s="10" t="str">
        <f t="shared" si="36"/>
        <v/>
      </c>
      <c r="T203" s="10"/>
      <c r="U203" s="12"/>
      <c r="V203" s="251"/>
      <c r="W203" s="243"/>
      <c r="X203" s="243"/>
      <c r="Y203" s="284"/>
      <c r="Z203" s="285"/>
    </row>
    <row r="204" spans="1:26" ht="15" customHeight="1">
      <c r="A204" s="238">
        <f t="shared" si="26"/>
        <v>203</v>
      </c>
      <c r="B204" s="7"/>
      <c r="C204" s="7"/>
      <c r="D204" s="8"/>
      <c r="E204" s="283">
        <v>45130</v>
      </c>
      <c r="F204" s="38" t="s">
        <v>106</v>
      </c>
      <c r="G204" s="10">
        <v>25</v>
      </c>
      <c r="H204" s="10"/>
      <c r="I204" s="10">
        <f t="shared" si="13"/>
        <v>25</v>
      </c>
      <c r="J204" s="8"/>
      <c r="K204" s="7" t="str">
        <f t="shared" si="1"/>
        <v/>
      </c>
      <c r="L204" s="11" t="str">
        <f t="shared" si="12"/>
        <v/>
      </c>
      <c r="M204" s="10">
        <v>50</v>
      </c>
      <c r="N204" s="10"/>
      <c r="O204" s="10" t="str">
        <f t="shared" si="34"/>
        <v/>
      </c>
      <c r="P204" s="10"/>
      <c r="Q204" s="10" t="str">
        <f t="shared" si="35"/>
        <v/>
      </c>
      <c r="R204" s="10"/>
      <c r="S204" s="10" t="str">
        <f t="shared" si="36"/>
        <v/>
      </c>
      <c r="T204" s="10"/>
      <c r="U204" s="12"/>
      <c r="V204" s="251"/>
      <c r="W204" s="243"/>
      <c r="X204" s="243"/>
      <c r="Y204" s="243"/>
    </row>
    <row r="205" spans="1:26" ht="15" customHeight="1">
      <c r="A205" s="238">
        <f t="shared" si="26"/>
        <v>204</v>
      </c>
      <c r="B205" s="7"/>
      <c r="C205" s="7"/>
      <c r="D205" s="8"/>
      <c r="E205" s="8">
        <v>45137</v>
      </c>
      <c r="F205" s="38" t="s">
        <v>106</v>
      </c>
      <c r="G205" s="10">
        <v>17.5</v>
      </c>
      <c r="H205" s="10">
        <v>0</v>
      </c>
      <c r="I205" s="10">
        <f t="shared" si="13"/>
        <v>17.5</v>
      </c>
      <c r="J205" s="8"/>
      <c r="K205" s="7" t="str">
        <f t="shared" si="1"/>
        <v/>
      </c>
      <c r="L205" s="11" t="str">
        <f t="shared" si="12"/>
        <v/>
      </c>
      <c r="M205" s="10">
        <v>30</v>
      </c>
      <c r="N205" s="10"/>
      <c r="O205" s="10" t="str">
        <f t="shared" si="34"/>
        <v/>
      </c>
      <c r="P205" s="10"/>
      <c r="Q205" s="10" t="str">
        <f t="shared" si="35"/>
        <v/>
      </c>
      <c r="R205" s="10"/>
      <c r="S205" s="10" t="str">
        <f t="shared" si="36"/>
        <v/>
      </c>
      <c r="T205" s="10"/>
      <c r="U205" s="12"/>
      <c r="V205" s="251"/>
      <c r="W205" s="243"/>
      <c r="X205" s="287"/>
      <c r="Y205" s="243"/>
    </row>
    <row r="206" spans="1:26" ht="15" customHeight="1">
      <c r="A206" s="238">
        <f t="shared" si="26"/>
        <v>205</v>
      </c>
      <c r="B206" s="7"/>
      <c r="C206" s="7"/>
      <c r="D206" s="8"/>
      <c r="E206" s="8">
        <v>45137</v>
      </c>
      <c r="F206" s="38" t="s">
        <v>106</v>
      </c>
      <c r="G206" s="10">
        <v>17.5</v>
      </c>
      <c r="H206" s="10"/>
      <c r="I206" s="10">
        <f t="shared" si="13"/>
        <v>17.5</v>
      </c>
      <c r="J206" s="8"/>
      <c r="K206" s="7" t="str">
        <f t="shared" si="1"/>
        <v/>
      </c>
      <c r="L206" s="11" t="str">
        <f t="shared" si="12"/>
        <v/>
      </c>
      <c r="M206" s="10">
        <v>30</v>
      </c>
      <c r="N206" s="10"/>
      <c r="O206" s="10" t="str">
        <f t="shared" si="34"/>
        <v/>
      </c>
      <c r="P206" s="10"/>
      <c r="Q206" s="10" t="str">
        <f t="shared" si="35"/>
        <v/>
      </c>
      <c r="R206" s="10"/>
      <c r="S206" s="10" t="str">
        <f t="shared" si="36"/>
        <v/>
      </c>
      <c r="T206" s="10"/>
      <c r="U206" s="12"/>
      <c r="V206" s="251"/>
      <c r="W206" s="243"/>
      <c r="X206" s="243"/>
      <c r="Y206" s="243"/>
    </row>
    <row r="207" spans="1:26" ht="15" customHeight="1">
      <c r="A207" s="238">
        <f t="shared" si="26"/>
        <v>206</v>
      </c>
      <c r="B207" s="7"/>
      <c r="C207" s="7"/>
      <c r="D207" s="8"/>
      <c r="E207" s="8">
        <v>45137</v>
      </c>
      <c r="F207" s="38" t="s">
        <v>106</v>
      </c>
      <c r="G207" s="10">
        <v>20</v>
      </c>
      <c r="H207" s="10">
        <v>40</v>
      </c>
      <c r="I207" s="10">
        <f t="shared" si="13"/>
        <v>60</v>
      </c>
      <c r="J207" s="8"/>
      <c r="K207" s="7" t="str">
        <f t="shared" si="1"/>
        <v/>
      </c>
      <c r="L207" s="11" t="str">
        <f t="shared" si="12"/>
        <v/>
      </c>
      <c r="M207" s="10">
        <v>230</v>
      </c>
      <c r="N207" s="10"/>
      <c r="O207" s="10" t="str">
        <f t="shared" si="34"/>
        <v/>
      </c>
      <c r="P207" s="10"/>
      <c r="Q207" s="10" t="str">
        <f t="shared" si="35"/>
        <v/>
      </c>
      <c r="R207" s="10"/>
      <c r="S207" s="10" t="str">
        <f t="shared" si="36"/>
        <v/>
      </c>
      <c r="T207" s="10"/>
      <c r="U207" s="12"/>
      <c r="V207" s="251"/>
      <c r="W207" s="243"/>
      <c r="X207" s="243"/>
      <c r="Y207" s="243"/>
    </row>
    <row r="208" spans="1:26" ht="15" customHeight="1">
      <c r="A208" s="238">
        <f t="shared" si="26"/>
        <v>207</v>
      </c>
      <c r="B208" s="7"/>
      <c r="C208" s="7"/>
      <c r="D208" s="8"/>
      <c r="E208" s="8">
        <v>45137</v>
      </c>
      <c r="F208" s="38" t="s">
        <v>106</v>
      </c>
      <c r="G208" s="10">
        <v>35</v>
      </c>
      <c r="H208" s="10">
        <v>40</v>
      </c>
      <c r="I208" s="10">
        <f t="shared" si="13"/>
        <v>75</v>
      </c>
      <c r="J208" s="8"/>
      <c r="K208" s="7" t="str">
        <f t="shared" si="1"/>
        <v/>
      </c>
      <c r="L208" s="11" t="str">
        <f t="shared" si="12"/>
        <v/>
      </c>
      <c r="M208" s="10">
        <v>150</v>
      </c>
      <c r="N208" s="10"/>
      <c r="O208" s="10" t="str">
        <f t="shared" si="34"/>
        <v/>
      </c>
      <c r="P208" s="10"/>
      <c r="Q208" s="10" t="str">
        <f t="shared" si="35"/>
        <v/>
      </c>
      <c r="R208" s="10"/>
      <c r="S208" s="10" t="str">
        <f t="shared" si="36"/>
        <v/>
      </c>
      <c r="T208" s="10"/>
      <c r="U208" s="12" t="s">
        <v>155</v>
      </c>
      <c r="V208" s="251"/>
      <c r="W208" s="243"/>
      <c r="X208" s="243"/>
      <c r="Y208" s="243"/>
    </row>
    <row r="209" spans="1:25" ht="15" customHeight="1">
      <c r="A209" s="238">
        <f t="shared" si="26"/>
        <v>208</v>
      </c>
      <c r="B209" s="7"/>
      <c r="C209" s="7"/>
      <c r="D209" s="8"/>
      <c r="E209" s="8">
        <v>45137</v>
      </c>
      <c r="F209" s="38" t="s">
        <v>106</v>
      </c>
      <c r="G209" s="10">
        <v>5</v>
      </c>
      <c r="H209" s="10"/>
      <c r="I209" s="10">
        <f t="shared" si="13"/>
        <v>5</v>
      </c>
      <c r="J209" s="8"/>
      <c r="K209" s="7" t="str">
        <f t="shared" si="1"/>
        <v/>
      </c>
      <c r="L209" s="11" t="str">
        <f t="shared" si="12"/>
        <v/>
      </c>
      <c r="M209" s="10">
        <v>80</v>
      </c>
      <c r="N209" s="10"/>
      <c r="O209" s="10" t="str">
        <f t="shared" si="34"/>
        <v/>
      </c>
      <c r="P209" s="10"/>
      <c r="Q209" s="10" t="str">
        <f t="shared" si="35"/>
        <v/>
      </c>
      <c r="R209" s="10"/>
      <c r="S209" s="10" t="str">
        <f t="shared" si="36"/>
        <v/>
      </c>
      <c r="T209" s="10"/>
      <c r="U209" s="12" t="s">
        <v>153</v>
      </c>
      <c r="V209" s="251"/>
      <c r="W209" s="243"/>
      <c r="X209" s="243"/>
      <c r="Y209" s="243"/>
    </row>
    <row r="210" spans="1:25" ht="15" customHeight="1">
      <c r="A210" s="238">
        <f t="shared" si="26"/>
        <v>209</v>
      </c>
      <c r="B210" s="7"/>
      <c r="C210" s="7"/>
      <c r="D210" s="8"/>
      <c r="E210" s="8">
        <v>45137</v>
      </c>
      <c r="F210" s="38" t="s">
        <v>106</v>
      </c>
      <c r="G210" s="10">
        <v>20</v>
      </c>
      <c r="H210" s="10"/>
      <c r="I210" s="10">
        <f t="shared" si="13"/>
        <v>20</v>
      </c>
      <c r="J210" s="8"/>
      <c r="K210" s="7" t="str">
        <f t="shared" si="1"/>
        <v/>
      </c>
      <c r="L210" s="11" t="str">
        <f t="shared" si="12"/>
        <v/>
      </c>
      <c r="M210" s="10">
        <v>60</v>
      </c>
      <c r="N210" s="10"/>
      <c r="O210" s="10" t="str">
        <f t="shared" si="34"/>
        <v/>
      </c>
      <c r="P210" s="10"/>
      <c r="Q210" s="10" t="str">
        <f t="shared" si="35"/>
        <v/>
      </c>
      <c r="R210" s="10"/>
      <c r="S210" s="10" t="str">
        <f t="shared" si="36"/>
        <v/>
      </c>
      <c r="T210" s="10"/>
      <c r="U210" s="12"/>
      <c r="V210" s="251"/>
      <c r="W210" s="243"/>
      <c r="X210" s="243"/>
      <c r="Y210" s="243"/>
    </row>
    <row r="211" spans="1:25" ht="15" customHeight="1">
      <c r="A211" s="238">
        <f t="shared" si="26"/>
        <v>210</v>
      </c>
      <c r="B211" s="7"/>
      <c r="C211" s="7"/>
      <c r="D211" s="8"/>
      <c r="E211" s="8">
        <v>45137</v>
      </c>
      <c r="F211" s="38" t="s">
        <v>106</v>
      </c>
      <c r="G211" s="10">
        <v>8.5</v>
      </c>
      <c r="H211" s="10">
        <v>60</v>
      </c>
      <c r="I211" s="10">
        <f t="shared" si="13"/>
        <v>68.5</v>
      </c>
      <c r="J211" s="8"/>
      <c r="K211" s="7" t="str">
        <f t="shared" si="1"/>
        <v/>
      </c>
      <c r="L211" s="11" t="str">
        <f t="shared" si="12"/>
        <v/>
      </c>
      <c r="M211" s="10">
        <v>140</v>
      </c>
      <c r="N211" s="10"/>
      <c r="O211" s="10" t="str">
        <f t="shared" si="34"/>
        <v/>
      </c>
      <c r="P211" s="10"/>
      <c r="Q211" s="10" t="str">
        <f t="shared" si="35"/>
        <v/>
      </c>
      <c r="R211" s="10"/>
      <c r="S211" s="10" t="str">
        <f t="shared" si="36"/>
        <v/>
      </c>
      <c r="T211" s="10"/>
      <c r="U211" s="12"/>
      <c r="V211" s="251"/>
      <c r="W211" s="243"/>
      <c r="X211" s="243"/>
      <c r="Y211" s="243"/>
    </row>
    <row r="212" spans="1:25" ht="15" customHeight="1">
      <c r="A212" s="238">
        <f t="shared" si="26"/>
        <v>211</v>
      </c>
      <c r="B212" s="7"/>
      <c r="C212" s="7"/>
      <c r="D212" s="8"/>
      <c r="E212" s="8">
        <v>45158</v>
      </c>
      <c r="F212" s="38"/>
      <c r="G212" s="10">
        <v>50</v>
      </c>
      <c r="H212" s="10">
        <v>30</v>
      </c>
      <c r="I212" s="10">
        <f t="shared" si="13"/>
        <v>80</v>
      </c>
      <c r="J212" s="8"/>
      <c r="K212" s="7" t="str">
        <f t="shared" si="1"/>
        <v/>
      </c>
      <c r="L212" s="11" t="str">
        <f t="shared" si="12"/>
        <v/>
      </c>
      <c r="M212" s="10">
        <v>80</v>
      </c>
      <c r="N212" s="10"/>
      <c r="O212" s="10" t="str">
        <f t="shared" si="34"/>
        <v/>
      </c>
      <c r="P212" s="10"/>
      <c r="Q212" s="10" t="str">
        <f t="shared" si="35"/>
        <v/>
      </c>
      <c r="R212" s="10"/>
      <c r="S212" s="10" t="str">
        <f t="shared" si="36"/>
        <v/>
      </c>
      <c r="T212" s="10"/>
      <c r="U212" s="12"/>
      <c r="V212" s="251"/>
      <c r="W212" s="243"/>
      <c r="X212" s="243"/>
      <c r="Y212" s="243"/>
    </row>
    <row r="213" spans="1:25" ht="15" customHeight="1">
      <c r="A213" s="238">
        <f t="shared" si="26"/>
        <v>212</v>
      </c>
      <c r="B213" s="7"/>
      <c r="C213" s="7"/>
      <c r="D213" s="8"/>
      <c r="E213" s="8">
        <v>45158</v>
      </c>
      <c r="F213" s="38"/>
      <c r="G213" s="10">
        <v>10</v>
      </c>
      <c r="H213" s="10"/>
      <c r="I213" s="10">
        <f t="shared" si="13"/>
        <v>10</v>
      </c>
      <c r="J213" s="8"/>
      <c r="K213" s="7" t="str">
        <f t="shared" si="1"/>
        <v/>
      </c>
      <c r="L213" s="11" t="str">
        <f t="shared" si="12"/>
        <v/>
      </c>
      <c r="M213" s="10">
        <v>60</v>
      </c>
      <c r="N213" s="10"/>
      <c r="O213" s="10" t="str">
        <f t="shared" si="34"/>
        <v/>
      </c>
      <c r="P213" s="10"/>
      <c r="Q213" s="10" t="str">
        <f t="shared" si="35"/>
        <v/>
      </c>
      <c r="R213" s="10"/>
      <c r="S213" s="10" t="str">
        <f t="shared" si="36"/>
        <v/>
      </c>
      <c r="T213" s="10"/>
      <c r="U213" s="371"/>
      <c r="V213" s="251"/>
      <c r="W213" s="243"/>
      <c r="X213" s="243"/>
      <c r="Y213" s="243"/>
    </row>
    <row r="214" spans="1:25" ht="15" customHeight="1">
      <c r="A214" s="238">
        <f t="shared" si="26"/>
        <v>213</v>
      </c>
      <c r="B214" s="7"/>
      <c r="C214" s="7"/>
      <c r="D214" s="8"/>
      <c r="E214" s="8">
        <v>45158</v>
      </c>
      <c r="F214" s="38"/>
      <c r="G214" s="10">
        <v>50</v>
      </c>
      <c r="H214" s="10"/>
      <c r="I214" s="10">
        <f t="shared" si="13"/>
        <v>50</v>
      </c>
      <c r="J214" s="8"/>
      <c r="K214" s="7" t="str">
        <f t="shared" si="1"/>
        <v/>
      </c>
      <c r="L214" s="11" t="str">
        <f t="shared" si="12"/>
        <v/>
      </c>
      <c r="M214" s="10">
        <v>70</v>
      </c>
      <c r="N214" s="10"/>
      <c r="O214" s="10" t="str">
        <f t="shared" si="34"/>
        <v/>
      </c>
      <c r="P214" s="10"/>
      <c r="Q214" s="10" t="str">
        <f t="shared" si="35"/>
        <v/>
      </c>
      <c r="R214" s="10"/>
      <c r="S214" s="10" t="str">
        <f t="shared" si="36"/>
        <v/>
      </c>
      <c r="T214" s="10"/>
      <c r="U214" s="371"/>
      <c r="V214" s="251"/>
      <c r="W214" s="243"/>
      <c r="X214" s="243"/>
      <c r="Y214" s="243"/>
    </row>
    <row r="215" spans="1:25" ht="15" customHeight="1">
      <c r="A215" s="238">
        <f t="shared" si="26"/>
        <v>214</v>
      </c>
      <c r="B215" s="7"/>
      <c r="C215" s="7"/>
      <c r="D215" s="8"/>
      <c r="E215" s="8">
        <v>45165</v>
      </c>
      <c r="F215" s="38"/>
      <c r="G215" s="10">
        <v>10</v>
      </c>
      <c r="H215" s="10"/>
      <c r="I215" s="10">
        <f t="shared" si="13"/>
        <v>10</v>
      </c>
      <c r="J215" s="8"/>
      <c r="K215" s="7" t="str">
        <f t="shared" si="1"/>
        <v/>
      </c>
      <c r="L215" s="11" t="str">
        <f t="shared" si="12"/>
        <v/>
      </c>
      <c r="M215" s="10">
        <v>120</v>
      </c>
      <c r="N215" s="10"/>
      <c r="O215" s="10" t="str">
        <f t="shared" si="34"/>
        <v/>
      </c>
      <c r="P215" s="10"/>
      <c r="Q215" s="10" t="str">
        <f t="shared" si="35"/>
        <v/>
      </c>
      <c r="R215" s="10"/>
      <c r="S215" s="10" t="str">
        <f t="shared" si="36"/>
        <v/>
      </c>
      <c r="T215" s="10"/>
      <c r="U215" s="371" t="s">
        <v>153</v>
      </c>
      <c r="V215" s="251"/>
      <c r="W215" s="243"/>
      <c r="X215" s="243"/>
      <c r="Y215" s="243"/>
    </row>
    <row r="216" spans="1:25" ht="15" customHeight="1">
      <c r="A216" s="238">
        <f t="shared" si="26"/>
        <v>215</v>
      </c>
      <c r="B216" s="7"/>
      <c r="C216" s="7"/>
      <c r="D216" s="8"/>
      <c r="E216" s="8">
        <v>45165</v>
      </c>
      <c r="F216" s="38"/>
      <c r="G216" s="10">
        <v>10</v>
      </c>
      <c r="H216" s="10"/>
      <c r="I216" s="10">
        <f t="shared" si="13"/>
        <v>10</v>
      </c>
      <c r="J216" s="8"/>
      <c r="K216" s="7" t="str">
        <f t="shared" si="1"/>
        <v/>
      </c>
      <c r="L216" s="11" t="str">
        <f t="shared" si="12"/>
        <v/>
      </c>
      <c r="M216" s="10">
        <v>40</v>
      </c>
      <c r="N216" s="10"/>
      <c r="O216" s="10" t="str">
        <f t="shared" si="34"/>
        <v/>
      </c>
      <c r="P216" s="10"/>
      <c r="Q216" s="10" t="str">
        <f t="shared" si="35"/>
        <v/>
      </c>
      <c r="R216" s="10"/>
      <c r="S216" s="10" t="str">
        <f t="shared" si="36"/>
        <v/>
      </c>
      <c r="T216" s="10"/>
      <c r="U216" s="371" t="s">
        <v>153</v>
      </c>
      <c r="V216" s="251"/>
      <c r="W216" s="243"/>
      <c r="X216" s="243"/>
      <c r="Y216" s="243"/>
    </row>
    <row r="217" spans="1:25" ht="15" customHeight="1">
      <c r="A217" s="238">
        <f t="shared" si="26"/>
        <v>216</v>
      </c>
      <c r="B217" s="7"/>
      <c r="C217" s="7"/>
      <c r="D217" s="8"/>
      <c r="E217" s="8">
        <v>45165</v>
      </c>
      <c r="F217" s="38"/>
      <c r="G217" s="10">
        <v>10</v>
      </c>
      <c r="H217" s="10"/>
      <c r="I217" s="10">
        <f t="shared" si="13"/>
        <v>10</v>
      </c>
      <c r="J217" s="8"/>
      <c r="K217" s="7" t="str">
        <f t="shared" si="1"/>
        <v/>
      </c>
      <c r="L217" s="11" t="str">
        <f t="shared" si="12"/>
        <v/>
      </c>
      <c r="M217" s="10">
        <v>90</v>
      </c>
      <c r="N217" s="10"/>
      <c r="O217" s="10" t="str">
        <f t="shared" si="34"/>
        <v/>
      </c>
      <c r="P217" s="10"/>
      <c r="Q217" s="10" t="str">
        <f t="shared" si="35"/>
        <v/>
      </c>
      <c r="R217" s="10"/>
      <c r="S217" s="10" t="str">
        <f t="shared" si="36"/>
        <v/>
      </c>
      <c r="T217" s="10"/>
      <c r="U217" s="371" t="s">
        <v>153</v>
      </c>
      <c r="V217" s="243"/>
      <c r="W217" s="243"/>
      <c r="X217" s="243"/>
      <c r="Y217" s="243"/>
    </row>
    <row r="218" spans="1:25" ht="15" customHeight="1">
      <c r="A218" s="238">
        <f t="shared" si="26"/>
        <v>217</v>
      </c>
      <c r="B218" s="7"/>
      <c r="C218" s="7"/>
      <c r="D218" s="8"/>
      <c r="E218" s="8">
        <v>45165</v>
      </c>
      <c r="F218" s="38"/>
      <c r="G218" s="10">
        <v>0</v>
      </c>
      <c r="H218" s="10"/>
      <c r="I218" s="10">
        <f t="shared" si="13"/>
        <v>0</v>
      </c>
      <c r="J218" s="8"/>
      <c r="K218" s="7" t="str">
        <f t="shared" si="1"/>
        <v/>
      </c>
      <c r="L218" s="11" t="str">
        <f t="shared" si="12"/>
        <v/>
      </c>
      <c r="M218" s="10">
        <v>20</v>
      </c>
      <c r="N218" s="10"/>
      <c r="O218" s="10" t="str">
        <f t="shared" si="34"/>
        <v/>
      </c>
      <c r="P218" s="10"/>
      <c r="Q218" s="10" t="str">
        <f t="shared" si="35"/>
        <v/>
      </c>
      <c r="R218" s="10"/>
      <c r="S218" s="10" t="str">
        <f t="shared" si="36"/>
        <v/>
      </c>
      <c r="T218" s="10"/>
      <c r="U218" s="371"/>
      <c r="V218" s="251"/>
      <c r="W218" s="243"/>
      <c r="X218" s="243"/>
      <c r="Y218" s="243"/>
    </row>
    <row r="219" spans="1:25" ht="15" customHeight="1">
      <c r="A219" s="238">
        <f t="shared" si="26"/>
        <v>218</v>
      </c>
      <c r="B219" s="7"/>
      <c r="C219" s="7"/>
      <c r="D219" s="8"/>
      <c r="E219" s="8">
        <v>45165</v>
      </c>
      <c r="F219" s="38"/>
      <c r="G219" s="10">
        <v>0</v>
      </c>
      <c r="H219" s="10"/>
      <c r="I219" s="10">
        <f t="shared" si="13"/>
        <v>0</v>
      </c>
      <c r="J219" s="8"/>
      <c r="K219" s="7" t="str">
        <f t="shared" si="1"/>
        <v/>
      </c>
      <c r="L219" s="11" t="str">
        <f t="shared" si="12"/>
        <v/>
      </c>
      <c r="M219" s="10">
        <v>10</v>
      </c>
      <c r="N219" s="10"/>
      <c r="O219" s="10" t="str">
        <f t="shared" si="34"/>
        <v/>
      </c>
      <c r="P219" s="10"/>
      <c r="Q219" s="10" t="str">
        <f t="shared" si="35"/>
        <v/>
      </c>
      <c r="R219" s="10"/>
      <c r="S219" s="10" t="str">
        <f t="shared" si="36"/>
        <v/>
      </c>
      <c r="T219" s="10"/>
      <c r="U219" s="371"/>
      <c r="V219" s="251"/>
      <c r="W219" s="243"/>
      <c r="X219" s="243"/>
      <c r="Y219" s="243"/>
    </row>
    <row r="220" spans="1:25" ht="15" customHeight="1">
      <c r="A220" s="238">
        <f t="shared" si="26"/>
        <v>219</v>
      </c>
      <c r="B220" s="7"/>
      <c r="C220" s="7"/>
      <c r="D220" s="8"/>
      <c r="E220" s="8">
        <v>45165</v>
      </c>
      <c r="F220" s="38"/>
      <c r="G220" s="10">
        <v>5</v>
      </c>
      <c r="H220" s="10"/>
      <c r="I220" s="10">
        <f t="shared" si="13"/>
        <v>5</v>
      </c>
      <c r="J220" s="8"/>
      <c r="K220" s="7" t="str">
        <f t="shared" si="1"/>
        <v/>
      </c>
      <c r="L220" s="11" t="str">
        <f t="shared" si="12"/>
        <v/>
      </c>
      <c r="M220" s="10">
        <v>20</v>
      </c>
      <c r="N220" s="10"/>
      <c r="O220" s="10" t="str">
        <f t="shared" si="34"/>
        <v/>
      </c>
      <c r="P220" s="10"/>
      <c r="Q220" s="10" t="str">
        <f t="shared" si="35"/>
        <v/>
      </c>
      <c r="R220" s="10"/>
      <c r="S220" s="10" t="str">
        <f t="shared" si="36"/>
        <v/>
      </c>
      <c r="T220" s="10"/>
      <c r="U220" s="371"/>
      <c r="V220" s="251"/>
      <c r="W220" s="243"/>
      <c r="X220" s="243"/>
      <c r="Y220" s="243"/>
    </row>
    <row r="221" spans="1:25" ht="15" customHeight="1">
      <c r="A221" s="238">
        <f t="shared" si="26"/>
        <v>220</v>
      </c>
      <c r="B221" s="7"/>
      <c r="C221" s="7"/>
      <c r="D221" s="8"/>
      <c r="E221" s="8">
        <v>45166</v>
      </c>
      <c r="F221" s="38"/>
      <c r="G221" s="10">
        <v>0</v>
      </c>
      <c r="H221" s="10"/>
      <c r="I221" s="10">
        <f t="shared" si="13"/>
        <v>0</v>
      </c>
      <c r="J221" s="8"/>
      <c r="K221" s="7" t="str">
        <f t="shared" si="1"/>
        <v/>
      </c>
      <c r="L221" s="11" t="str">
        <f t="shared" si="12"/>
        <v/>
      </c>
      <c r="M221" s="10">
        <v>8</v>
      </c>
      <c r="N221" s="10"/>
      <c r="O221" s="10" t="str">
        <f t="shared" si="34"/>
        <v/>
      </c>
      <c r="P221" s="10"/>
      <c r="Q221" s="10" t="str">
        <f t="shared" si="35"/>
        <v/>
      </c>
      <c r="R221" s="10"/>
      <c r="S221" s="10" t="str">
        <f t="shared" si="36"/>
        <v/>
      </c>
      <c r="T221" s="10"/>
      <c r="U221" s="371"/>
      <c r="V221" s="251"/>
      <c r="W221" s="243"/>
      <c r="X221" s="243"/>
      <c r="Y221" s="243"/>
    </row>
    <row r="222" spans="1:25" ht="15" customHeight="1">
      <c r="A222" s="238">
        <f t="shared" si="26"/>
        <v>221</v>
      </c>
      <c r="B222" s="7"/>
      <c r="C222" s="7"/>
      <c r="D222" s="8"/>
      <c r="E222" s="8">
        <v>45172</v>
      </c>
      <c r="F222" s="38"/>
      <c r="G222" s="10">
        <v>0</v>
      </c>
      <c r="H222" s="10"/>
      <c r="I222" s="10">
        <f t="shared" ref="I222:I227" si="37">IF($G222&lt;&gt;"",SUM(G222:H222),"")</f>
        <v>0</v>
      </c>
      <c r="J222" s="8"/>
      <c r="K222" s="7" t="str">
        <f t="shared" si="1"/>
        <v/>
      </c>
      <c r="L222" s="11" t="str">
        <f t="shared" si="12"/>
        <v/>
      </c>
      <c r="M222" s="10">
        <v>15</v>
      </c>
      <c r="N222" s="10"/>
      <c r="O222" s="10" t="str">
        <f t="shared" si="34"/>
        <v/>
      </c>
      <c r="P222" s="10"/>
      <c r="Q222" s="10" t="str">
        <f t="shared" si="35"/>
        <v/>
      </c>
      <c r="R222" s="10"/>
      <c r="S222" s="10" t="str">
        <f t="shared" si="36"/>
        <v/>
      </c>
      <c r="T222" s="10"/>
      <c r="U222" s="371"/>
      <c r="V222" s="251"/>
      <c r="W222" s="243"/>
      <c r="X222" s="243"/>
      <c r="Y222" s="243"/>
    </row>
    <row r="223" spans="1:25" ht="15" customHeight="1">
      <c r="A223" s="238">
        <f t="shared" si="26"/>
        <v>222</v>
      </c>
      <c r="B223" s="7"/>
      <c r="C223" s="7"/>
      <c r="D223" s="8"/>
      <c r="E223" s="8">
        <v>45179</v>
      </c>
      <c r="F223" s="38"/>
      <c r="G223" s="10">
        <v>2</v>
      </c>
      <c r="H223" s="10"/>
      <c r="I223" s="10">
        <f t="shared" si="37"/>
        <v>2</v>
      </c>
      <c r="J223" s="8"/>
      <c r="K223" s="7" t="str">
        <f t="shared" si="1"/>
        <v/>
      </c>
      <c r="L223" s="11" t="str">
        <f t="shared" si="12"/>
        <v/>
      </c>
      <c r="M223" s="10">
        <v>15</v>
      </c>
      <c r="N223" s="10"/>
      <c r="O223" s="10" t="str">
        <f t="shared" si="34"/>
        <v/>
      </c>
      <c r="P223" s="10"/>
      <c r="Q223" s="10" t="str">
        <f t="shared" si="35"/>
        <v/>
      </c>
      <c r="R223" s="10"/>
      <c r="S223" s="10" t="str">
        <f t="shared" si="36"/>
        <v/>
      </c>
      <c r="T223" s="10"/>
      <c r="U223" s="371" t="s">
        <v>153</v>
      </c>
      <c r="V223" s="251"/>
      <c r="W223" s="243"/>
      <c r="X223" s="243"/>
      <c r="Y223" s="243"/>
    </row>
    <row r="224" spans="1:25" ht="15" customHeight="1">
      <c r="A224" s="238">
        <f t="shared" si="26"/>
        <v>223</v>
      </c>
      <c r="B224" s="7"/>
      <c r="C224" s="7"/>
      <c r="D224" s="8"/>
      <c r="E224" s="8">
        <v>45179</v>
      </c>
      <c r="F224" s="38"/>
      <c r="G224" s="10">
        <v>10</v>
      </c>
      <c r="H224" s="10"/>
      <c r="I224" s="10">
        <f t="shared" si="37"/>
        <v>10</v>
      </c>
      <c r="J224" s="8"/>
      <c r="K224" s="7" t="str">
        <f t="shared" si="1"/>
        <v/>
      </c>
      <c r="L224" s="11" t="str">
        <f t="shared" si="12"/>
        <v/>
      </c>
      <c r="M224" s="10">
        <v>30</v>
      </c>
      <c r="N224" s="10"/>
      <c r="O224" s="10" t="str">
        <f t="shared" si="34"/>
        <v/>
      </c>
      <c r="P224" s="10"/>
      <c r="Q224" s="10" t="str">
        <f t="shared" si="35"/>
        <v/>
      </c>
      <c r="R224" s="10"/>
      <c r="S224" s="10" t="str">
        <f t="shared" si="36"/>
        <v/>
      </c>
      <c r="T224" s="10"/>
      <c r="U224" s="371" t="s">
        <v>153</v>
      </c>
      <c r="V224" s="243"/>
      <c r="W224" s="243"/>
      <c r="X224" s="243"/>
      <c r="Y224" s="243"/>
    </row>
    <row r="225" spans="1:25" ht="15" customHeight="1">
      <c r="A225" s="238">
        <f t="shared" si="26"/>
        <v>224</v>
      </c>
      <c r="B225" s="7"/>
      <c r="C225" s="7"/>
      <c r="D225" s="8"/>
      <c r="E225" s="8">
        <v>45186</v>
      </c>
      <c r="F225" s="38"/>
      <c r="G225" s="10">
        <v>2</v>
      </c>
      <c r="H225" s="10"/>
      <c r="I225" s="10">
        <f t="shared" si="37"/>
        <v>2</v>
      </c>
      <c r="J225" s="8"/>
      <c r="K225" s="7" t="str">
        <f t="shared" ref="K225:K245" si="38">IF(J225="","",MONTH(J225))</f>
        <v/>
      </c>
      <c r="L225" s="11" t="str">
        <f t="shared" ref="L225:L245" si="39">IF($J225&lt;&gt;"",SUM(J225-E225),"")</f>
        <v/>
      </c>
      <c r="M225" s="10">
        <v>12</v>
      </c>
      <c r="N225" s="10"/>
      <c r="O225" s="10" t="str">
        <f t="shared" si="34"/>
        <v/>
      </c>
      <c r="P225" s="10"/>
      <c r="Q225" s="10" t="str">
        <f t="shared" si="35"/>
        <v/>
      </c>
      <c r="R225" s="10"/>
      <c r="S225" s="10" t="str">
        <f t="shared" si="36"/>
        <v/>
      </c>
      <c r="T225" s="10"/>
      <c r="U225" s="371"/>
      <c r="V225" s="251"/>
      <c r="W225" s="243"/>
      <c r="X225" s="243"/>
      <c r="Y225" s="243"/>
    </row>
    <row r="226" spans="1:25" ht="15" customHeight="1">
      <c r="A226" s="238">
        <f t="shared" si="26"/>
        <v>225</v>
      </c>
      <c r="B226" s="7"/>
      <c r="C226" s="7"/>
      <c r="D226" s="8"/>
      <c r="E226" s="8">
        <v>45186</v>
      </c>
      <c r="F226" s="38"/>
      <c r="G226" s="10">
        <v>0</v>
      </c>
      <c r="H226" s="10"/>
      <c r="I226" s="10">
        <f t="shared" si="37"/>
        <v>0</v>
      </c>
      <c r="J226" s="8"/>
      <c r="K226" s="7" t="str">
        <f t="shared" si="38"/>
        <v/>
      </c>
      <c r="L226" s="11" t="str">
        <f t="shared" si="39"/>
        <v/>
      </c>
      <c r="M226" s="10">
        <v>15</v>
      </c>
      <c r="N226" s="10"/>
      <c r="O226" s="10" t="str">
        <f t="shared" si="34"/>
        <v/>
      </c>
      <c r="P226" s="10"/>
      <c r="Q226" s="10" t="str">
        <f t="shared" si="35"/>
        <v/>
      </c>
      <c r="R226" s="10"/>
      <c r="S226" s="10" t="str">
        <f t="shared" si="36"/>
        <v/>
      </c>
      <c r="T226" s="10"/>
      <c r="U226" s="371"/>
      <c r="V226" s="251"/>
      <c r="W226" s="243"/>
      <c r="X226" s="243"/>
      <c r="Y226" s="243"/>
    </row>
    <row r="227" spans="1:25" ht="15" customHeight="1">
      <c r="A227" s="238">
        <f t="shared" si="26"/>
        <v>226</v>
      </c>
      <c r="B227" s="7"/>
      <c r="C227" s="7"/>
      <c r="D227" s="8"/>
      <c r="E227" s="8">
        <v>45186</v>
      </c>
      <c r="F227" s="38"/>
      <c r="G227" s="10">
        <v>12.5</v>
      </c>
      <c r="H227" s="10"/>
      <c r="I227" s="10">
        <f t="shared" si="37"/>
        <v>12.5</v>
      </c>
      <c r="J227" s="8"/>
      <c r="K227" s="7" t="str">
        <f t="shared" si="38"/>
        <v/>
      </c>
      <c r="L227" s="11" t="str">
        <f t="shared" si="39"/>
        <v/>
      </c>
      <c r="M227" s="10">
        <v>20</v>
      </c>
      <c r="N227" s="10"/>
      <c r="O227" s="10" t="str">
        <f t="shared" si="34"/>
        <v/>
      </c>
      <c r="P227" s="10"/>
      <c r="Q227" s="10" t="str">
        <f t="shared" si="35"/>
        <v/>
      </c>
      <c r="R227" s="10"/>
      <c r="S227" s="10" t="str">
        <f t="shared" si="36"/>
        <v/>
      </c>
      <c r="T227" s="10"/>
      <c r="U227" s="371" t="s">
        <v>153</v>
      </c>
      <c r="V227" s="251"/>
      <c r="W227" s="243"/>
      <c r="X227" s="243"/>
      <c r="Y227" s="243"/>
    </row>
    <row r="228" spans="1:25" ht="15" customHeight="1">
      <c r="A228" s="238">
        <f t="shared" si="26"/>
        <v>227</v>
      </c>
      <c r="B228" s="7"/>
      <c r="C228" s="7"/>
      <c r="D228" s="8"/>
      <c r="E228" s="8">
        <v>45193</v>
      </c>
      <c r="F228" s="38"/>
      <c r="G228" s="10">
        <v>15</v>
      </c>
      <c r="H228" s="10"/>
      <c r="I228" s="10">
        <f t="shared" ref="I228:I245" si="40">IF($G228&lt;&gt;"",SUM(G228:H228),"")</f>
        <v>15</v>
      </c>
      <c r="J228" s="8"/>
      <c r="K228" s="7" t="str">
        <f t="shared" si="38"/>
        <v/>
      </c>
      <c r="L228" s="11" t="str">
        <f t="shared" si="39"/>
        <v/>
      </c>
      <c r="M228" s="10">
        <v>40</v>
      </c>
      <c r="N228" s="10"/>
      <c r="O228" s="10" t="str">
        <f t="shared" si="34"/>
        <v/>
      </c>
      <c r="P228" s="10"/>
      <c r="Q228" s="10" t="str">
        <f t="shared" si="35"/>
        <v/>
      </c>
      <c r="R228" s="10"/>
      <c r="S228" s="10" t="str">
        <f t="shared" si="36"/>
        <v/>
      </c>
      <c r="T228" s="10"/>
      <c r="U228" s="371" t="s">
        <v>153</v>
      </c>
      <c r="V228" s="251"/>
      <c r="W228" s="243"/>
      <c r="X228" s="243"/>
      <c r="Y228" s="243"/>
    </row>
    <row r="229" spans="1:25" ht="15" customHeight="1">
      <c r="A229" s="238">
        <f t="shared" si="26"/>
        <v>228</v>
      </c>
      <c r="B229" s="7"/>
      <c r="C229" s="7"/>
      <c r="D229" s="8"/>
      <c r="E229" s="8">
        <v>45193</v>
      </c>
      <c r="F229" s="38"/>
      <c r="G229" s="10">
        <v>15</v>
      </c>
      <c r="H229" s="10"/>
      <c r="I229" s="10">
        <f t="shared" si="40"/>
        <v>15</v>
      </c>
      <c r="J229" s="8"/>
      <c r="K229" s="7" t="str">
        <f t="shared" si="38"/>
        <v/>
      </c>
      <c r="L229" s="11" t="str">
        <f t="shared" si="39"/>
        <v/>
      </c>
      <c r="M229" s="10">
        <v>60</v>
      </c>
      <c r="N229" s="10"/>
      <c r="O229" s="10" t="str">
        <f t="shared" si="34"/>
        <v/>
      </c>
      <c r="P229" s="10"/>
      <c r="Q229" s="10" t="str">
        <f t="shared" si="35"/>
        <v/>
      </c>
      <c r="R229" s="10"/>
      <c r="S229" s="10" t="str">
        <f t="shared" si="36"/>
        <v/>
      </c>
      <c r="T229" s="10"/>
      <c r="U229" s="371" t="s">
        <v>153</v>
      </c>
      <c r="V229" s="251"/>
      <c r="W229" s="243"/>
      <c r="X229" s="243"/>
      <c r="Y229" s="243"/>
    </row>
    <row r="230" spans="1:25" ht="15" customHeight="1">
      <c r="A230" s="238">
        <f t="shared" si="26"/>
        <v>229</v>
      </c>
      <c r="B230" s="7"/>
      <c r="C230" s="7"/>
      <c r="D230" s="8"/>
      <c r="E230" s="8">
        <v>45193</v>
      </c>
      <c r="F230" s="38"/>
      <c r="G230" s="10">
        <v>5</v>
      </c>
      <c r="H230" s="10"/>
      <c r="I230" s="10">
        <f t="shared" si="40"/>
        <v>5</v>
      </c>
      <c r="J230" s="8"/>
      <c r="K230" s="7" t="str">
        <f t="shared" si="38"/>
        <v/>
      </c>
      <c r="L230" s="11" t="str">
        <f t="shared" si="39"/>
        <v/>
      </c>
      <c r="M230" s="10">
        <v>30</v>
      </c>
      <c r="N230" s="10"/>
      <c r="O230" s="10" t="str">
        <f t="shared" si="34"/>
        <v/>
      </c>
      <c r="P230" s="10"/>
      <c r="Q230" s="10" t="str">
        <f t="shared" si="35"/>
        <v/>
      </c>
      <c r="R230" s="10"/>
      <c r="S230" s="10" t="str">
        <f t="shared" si="36"/>
        <v/>
      </c>
      <c r="T230" s="10"/>
      <c r="U230" s="371" t="s">
        <v>153</v>
      </c>
      <c r="V230" s="251"/>
      <c r="W230" s="243"/>
      <c r="X230" s="243"/>
      <c r="Y230" s="243"/>
    </row>
    <row r="231" spans="1:25" ht="15" customHeight="1">
      <c r="A231" s="238">
        <f t="shared" si="26"/>
        <v>230</v>
      </c>
      <c r="B231" s="7"/>
      <c r="C231" s="7"/>
      <c r="D231" s="8"/>
      <c r="E231" s="8">
        <v>45193</v>
      </c>
      <c r="F231" s="38"/>
      <c r="G231" s="10">
        <v>5</v>
      </c>
      <c r="H231" s="10"/>
      <c r="I231" s="10">
        <f t="shared" si="40"/>
        <v>5</v>
      </c>
      <c r="J231" s="8"/>
      <c r="K231" s="7" t="str">
        <f t="shared" si="38"/>
        <v/>
      </c>
      <c r="L231" s="11" t="str">
        <f t="shared" si="39"/>
        <v/>
      </c>
      <c r="M231" s="10">
        <v>20</v>
      </c>
      <c r="N231" s="10"/>
      <c r="O231" s="10" t="str">
        <f t="shared" si="34"/>
        <v/>
      </c>
      <c r="P231" s="10"/>
      <c r="Q231" s="10" t="str">
        <f t="shared" si="35"/>
        <v/>
      </c>
      <c r="R231" s="10"/>
      <c r="S231" s="10" t="str">
        <f t="shared" si="36"/>
        <v/>
      </c>
      <c r="T231" s="10"/>
      <c r="U231" s="371"/>
      <c r="V231" s="251"/>
      <c r="W231" s="243"/>
      <c r="X231" s="243"/>
      <c r="Y231" s="243"/>
    </row>
    <row r="232" spans="1:25" ht="15" customHeight="1">
      <c r="A232" s="238">
        <f t="shared" si="26"/>
        <v>231</v>
      </c>
      <c r="B232" s="7"/>
      <c r="C232" s="7"/>
      <c r="D232" s="8"/>
      <c r="E232" s="8">
        <v>45193</v>
      </c>
      <c r="F232" s="38"/>
      <c r="G232" s="10">
        <v>5</v>
      </c>
      <c r="H232" s="10"/>
      <c r="I232" s="10">
        <f t="shared" si="40"/>
        <v>5</v>
      </c>
      <c r="J232" s="8"/>
      <c r="K232" s="7" t="str">
        <f t="shared" si="38"/>
        <v/>
      </c>
      <c r="L232" s="11" t="str">
        <f t="shared" si="39"/>
        <v/>
      </c>
      <c r="M232" s="10">
        <v>15</v>
      </c>
      <c r="N232" s="10"/>
      <c r="O232" s="10" t="str">
        <f t="shared" si="34"/>
        <v/>
      </c>
      <c r="P232" s="10"/>
      <c r="Q232" s="10" t="str">
        <f t="shared" si="35"/>
        <v/>
      </c>
      <c r="R232" s="10"/>
      <c r="S232" s="10" t="str">
        <f t="shared" si="36"/>
        <v/>
      </c>
      <c r="T232" s="10"/>
      <c r="U232" s="371"/>
      <c r="V232" s="251"/>
      <c r="W232" s="243"/>
      <c r="X232" s="243"/>
      <c r="Y232" s="243"/>
    </row>
    <row r="233" spans="1:25" ht="15" customHeight="1">
      <c r="A233" s="238">
        <f t="shared" si="26"/>
        <v>232</v>
      </c>
      <c r="B233" s="7"/>
      <c r="C233" s="7"/>
      <c r="D233" s="8"/>
      <c r="E233" s="8">
        <v>45193</v>
      </c>
      <c r="F233" s="38"/>
      <c r="G233" s="10">
        <v>5</v>
      </c>
      <c r="H233" s="10"/>
      <c r="I233" s="10">
        <f t="shared" si="40"/>
        <v>5</v>
      </c>
      <c r="J233" s="8"/>
      <c r="K233" s="7" t="str">
        <f t="shared" si="38"/>
        <v/>
      </c>
      <c r="L233" s="11" t="str">
        <f t="shared" si="39"/>
        <v/>
      </c>
      <c r="M233" s="10">
        <v>15</v>
      </c>
      <c r="N233" s="10"/>
      <c r="O233" s="10" t="str">
        <f t="shared" si="34"/>
        <v/>
      </c>
      <c r="P233" s="10"/>
      <c r="Q233" s="10" t="str">
        <f t="shared" si="35"/>
        <v/>
      </c>
      <c r="R233" s="10"/>
      <c r="S233" s="10" t="str">
        <f t="shared" si="36"/>
        <v/>
      </c>
      <c r="T233" s="10"/>
      <c r="U233" s="371"/>
      <c r="V233" s="251"/>
      <c r="W233" s="243"/>
      <c r="X233" s="243"/>
      <c r="Y233" s="243"/>
    </row>
    <row r="234" spans="1:25" ht="15" customHeight="1">
      <c r="A234" s="238">
        <f t="shared" si="26"/>
        <v>233</v>
      </c>
      <c r="B234" s="7"/>
      <c r="C234" s="7"/>
      <c r="D234" s="8"/>
      <c r="E234" s="8">
        <v>45207</v>
      </c>
      <c r="F234" s="38"/>
      <c r="G234" s="10">
        <v>20</v>
      </c>
      <c r="H234" s="10"/>
      <c r="I234" s="10">
        <f t="shared" si="40"/>
        <v>20</v>
      </c>
      <c r="J234" s="8"/>
      <c r="K234" s="7" t="str">
        <f t="shared" si="38"/>
        <v/>
      </c>
      <c r="L234" s="11" t="str">
        <f t="shared" si="39"/>
        <v/>
      </c>
      <c r="M234" s="10">
        <v>40</v>
      </c>
      <c r="N234" s="10"/>
      <c r="O234" s="10" t="str">
        <f t="shared" si="34"/>
        <v/>
      </c>
      <c r="P234" s="10"/>
      <c r="Q234" s="10" t="str">
        <f t="shared" si="35"/>
        <v/>
      </c>
      <c r="R234" s="10"/>
      <c r="S234" s="10" t="str">
        <f t="shared" si="36"/>
        <v/>
      </c>
      <c r="T234" s="10"/>
      <c r="U234" s="371" t="s">
        <v>153</v>
      </c>
      <c r="V234" s="251"/>
      <c r="W234" s="243"/>
      <c r="X234" s="243"/>
      <c r="Y234" s="243"/>
    </row>
    <row r="235" spans="1:25" ht="15" customHeight="1">
      <c r="A235" s="238">
        <f t="shared" si="26"/>
        <v>234</v>
      </c>
      <c r="B235" s="7"/>
      <c r="C235" s="7"/>
      <c r="D235" s="8"/>
      <c r="E235" s="8">
        <v>45207</v>
      </c>
      <c r="F235" s="38"/>
      <c r="G235" s="10">
        <v>50</v>
      </c>
      <c r="H235" s="10"/>
      <c r="I235" s="10">
        <f t="shared" si="40"/>
        <v>50</v>
      </c>
      <c r="J235" s="8"/>
      <c r="K235" s="7" t="str">
        <f t="shared" si="38"/>
        <v/>
      </c>
      <c r="L235" s="11" t="str">
        <f t="shared" si="39"/>
        <v/>
      </c>
      <c r="M235" s="10">
        <v>130</v>
      </c>
      <c r="N235" s="10"/>
      <c r="O235" s="10" t="str">
        <f t="shared" si="34"/>
        <v/>
      </c>
      <c r="P235" s="10"/>
      <c r="Q235" s="10" t="str">
        <f t="shared" si="35"/>
        <v/>
      </c>
      <c r="R235" s="10"/>
      <c r="S235" s="10" t="str">
        <f t="shared" si="36"/>
        <v/>
      </c>
      <c r="T235" s="10"/>
      <c r="U235" s="371" t="s">
        <v>153</v>
      </c>
      <c r="V235" s="251"/>
      <c r="W235" s="243"/>
      <c r="X235" s="243"/>
      <c r="Y235" s="243"/>
    </row>
    <row r="236" spans="1:25" ht="15" customHeight="1">
      <c r="A236" s="238">
        <f t="shared" si="26"/>
        <v>235</v>
      </c>
      <c r="B236" s="7"/>
      <c r="C236" s="7"/>
      <c r="D236" s="8"/>
      <c r="E236" s="8">
        <v>45214</v>
      </c>
      <c r="F236" s="38"/>
      <c r="G236" s="10">
        <v>15</v>
      </c>
      <c r="H236" s="10"/>
      <c r="I236" s="10">
        <f t="shared" si="40"/>
        <v>15</v>
      </c>
      <c r="J236" s="8"/>
      <c r="K236" s="7" t="str">
        <f t="shared" si="38"/>
        <v/>
      </c>
      <c r="L236" s="11" t="str">
        <f t="shared" si="39"/>
        <v/>
      </c>
      <c r="M236" s="10">
        <v>80</v>
      </c>
      <c r="N236" s="10"/>
      <c r="O236" s="10" t="str">
        <f t="shared" si="34"/>
        <v/>
      </c>
      <c r="P236" s="10"/>
      <c r="Q236" s="10" t="str">
        <f t="shared" si="35"/>
        <v/>
      </c>
      <c r="R236" s="10"/>
      <c r="S236" s="10" t="str">
        <f t="shared" si="36"/>
        <v/>
      </c>
      <c r="T236" s="10"/>
      <c r="U236" s="371" t="s">
        <v>153</v>
      </c>
      <c r="V236" s="277"/>
      <c r="W236" s="243"/>
      <c r="X236" s="243"/>
      <c r="Y236" s="243"/>
    </row>
    <row r="237" spans="1:25" ht="15" customHeight="1">
      <c r="A237" s="238">
        <f t="shared" si="26"/>
        <v>236</v>
      </c>
      <c r="B237" s="7"/>
      <c r="C237" s="7"/>
      <c r="D237" s="8"/>
      <c r="E237" s="8">
        <v>45214</v>
      </c>
      <c r="F237" s="38"/>
      <c r="G237" s="10">
        <v>15</v>
      </c>
      <c r="H237" s="10"/>
      <c r="I237" s="10">
        <f t="shared" si="40"/>
        <v>15</v>
      </c>
      <c r="J237" s="8"/>
      <c r="K237" s="7" t="str">
        <f t="shared" si="38"/>
        <v/>
      </c>
      <c r="L237" s="11" t="str">
        <f t="shared" si="39"/>
        <v/>
      </c>
      <c r="M237" s="10">
        <v>70</v>
      </c>
      <c r="N237" s="10"/>
      <c r="O237" s="10" t="str">
        <f t="shared" si="34"/>
        <v/>
      </c>
      <c r="P237" s="10"/>
      <c r="Q237" s="10" t="str">
        <f t="shared" si="35"/>
        <v/>
      </c>
      <c r="R237" s="10"/>
      <c r="S237" s="10" t="str">
        <f t="shared" si="36"/>
        <v/>
      </c>
      <c r="T237" s="10"/>
      <c r="U237" s="371"/>
      <c r="V237" s="277"/>
      <c r="W237" s="243"/>
      <c r="X237" s="243"/>
      <c r="Y237" s="243"/>
    </row>
    <row r="238" spans="1:25" ht="15" customHeight="1">
      <c r="A238" s="238">
        <f t="shared" si="26"/>
        <v>237</v>
      </c>
      <c r="B238" s="7"/>
      <c r="C238" s="7"/>
      <c r="D238" s="8"/>
      <c r="E238" s="8">
        <v>45214</v>
      </c>
      <c r="F238" s="38"/>
      <c r="G238" s="10">
        <v>0</v>
      </c>
      <c r="H238" s="10"/>
      <c r="I238" s="10">
        <f t="shared" si="40"/>
        <v>0</v>
      </c>
      <c r="J238" s="8"/>
      <c r="K238" s="7" t="str">
        <f t="shared" si="38"/>
        <v/>
      </c>
      <c r="L238" s="11" t="str">
        <f t="shared" si="39"/>
        <v/>
      </c>
      <c r="M238" s="10">
        <v>50</v>
      </c>
      <c r="N238" s="10"/>
      <c r="O238" s="10" t="str">
        <f t="shared" si="34"/>
        <v/>
      </c>
      <c r="P238" s="10"/>
      <c r="Q238" s="10" t="str">
        <f t="shared" si="35"/>
        <v/>
      </c>
      <c r="R238" s="10"/>
      <c r="S238" s="10" t="str">
        <f t="shared" si="36"/>
        <v/>
      </c>
      <c r="T238" s="10"/>
      <c r="U238" s="371" t="s">
        <v>153</v>
      </c>
      <c r="V238" s="277"/>
      <c r="W238" s="243"/>
      <c r="X238" s="243"/>
      <c r="Y238" s="243"/>
    </row>
    <row r="239" spans="1:25" ht="15" customHeight="1">
      <c r="A239" s="238">
        <f t="shared" si="26"/>
        <v>238</v>
      </c>
      <c r="B239" s="7"/>
      <c r="C239" s="7"/>
      <c r="D239" s="8"/>
      <c r="E239" s="8">
        <v>45170</v>
      </c>
      <c r="F239" s="38"/>
      <c r="G239" s="10">
        <v>20</v>
      </c>
      <c r="H239" s="10"/>
      <c r="I239" s="10">
        <f t="shared" si="40"/>
        <v>20</v>
      </c>
      <c r="J239" s="8"/>
      <c r="K239" s="7" t="str">
        <f t="shared" si="38"/>
        <v/>
      </c>
      <c r="L239" s="11" t="str">
        <f t="shared" si="39"/>
        <v/>
      </c>
      <c r="M239" s="10">
        <v>50</v>
      </c>
      <c r="N239" s="10"/>
      <c r="O239" s="10" t="str">
        <f t="shared" si="34"/>
        <v/>
      </c>
      <c r="P239" s="10"/>
      <c r="Q239" s="10" t="str">
        <f t="shared" si="35"/>
        <v/>
      </c>
      <c r="R239" s="10"/>
      <c r="S239" s="10" t="str">
        <f t="shared" si="36"/>
        <v/>
      </c>
      <c r="T239" s="10"/>
      <c r="U239" s="371"/>
      <c r="V239" s="277"/>
      <c r="W239" s="243"/>
      <c r="X239" s="243"/>
      <c r="Y239" s="243"/>
    </row>
    <row r="240" spans="1:25" ht="15" customHeight="1">
      <c r="A240" s="238">
        <f t="shared" si="26"/>
        <v>239</v>
      </c>
      <c r="B240" s="7"/>
      <c r="C240" s="7"/>
      <c r="D240" s="8"/>
      <c r="E240" s="8">
        <v>45088</v>
      </c>
      <c r="F240" s="38"/>
      <c r="G240" s="10">
        <v>7.5</v>
      </c>
      <c r="H240" s="10"/>
      <c r="I240" s="10">
        <f t="shared" si="40"/>
        <v>7.5</v>
      </c>
      <c r="J240" s="8"/>
      <c r="K240" s="7" t="str">
        <f t="shared" si="38"/>
        <v/>
      </c>
      <c r="L240" s="11" t="str">
        <f t="shared" si="39"/>
        <v/>
      </c>
      <c r="M240" s="10">
        <v>40</v>
      </c>
      <c r="N240" s="10"/>
      <c r="O240" s="10" t="str">
        <f t="shared" si="34"/>
        <v/>
      </c>
      <c r="P240" s="10"/>
      <c r="Q240" s="10" t="str">
        <f t="shared" si="35"/>
        <v/>
      </c>
      <c r="R240" s="10"/>
      <c r="S240" s="10" t="str">
        <f t="shared" si="36"/>
        <v/>
      </c>
      <c r="T240" s="10"/>
      <c r="U240" s="371" t="s">
        <v>154</v>
      </c>
      <c r="V240" s="277"/>
      <c r="W240" s="243"/>
      <c r="X240" s="243"/>
      <c r="Y240" s="243"/>
    </row>
    <row r="241" spans="1:30" ht="15" customHeight="1">
      <c r="A241" s="238">
        <f t="shared" si="26"/>
        <v>240</v>
      </c>
      <c r="B241" s="7"/>
      <c r="C241" s="7"/>
      <c r="D241" s="8"/>
      <c r="E241" s="8">
        <v>45227</v>
      </c>
      <c r="F241" s="38"/>
      <c r="G241" s="10">
        <v>20</v>
      </c>
      <c r="H241" s="10">
        <v>30</v>
      </c>
      <c r="I241" s="10">
        <f t="shared" si="40"/>
        <v>50</v>
      </c>
      <c r="J241" s="8"/>
      <c r="K241" s="7" t="str">
        <f t="shared" si="38"/>
        <v/>
      </c>
      <c r="L241" s="11" t="str">
        <f t="shared" si="39"/>
        <v/>
      </c>
      <c r="M241" s="10">
        <v>90</v>
      </c>
      <c r="N241" s="10"/>
      <c r="O241" s="10" t="str">
        <f t="shared" ref="O241" si="41">IF($J241&lt;&gt;"",SUM(M241:N241),"")</f>
        <v/>
      </c>
      <c r="P241" s="10"/>
      <c r="Q241" s="10" t="str">
        <f t="shared" si="35"/>
        <v/>
      </c>
      <c r="R241" s="10"/>
      <c r="S241" s="10" t="str">
        <f t="shared" si="36"/>
        <v/>
      </c>
      <c r="T241" s="10"/>
      <c r="U241" s="371" t="s">
        <v>155</v>
      </c>
      <c r="V241" s="277"/>
      <c r="W241" s="243"/>
      <c r="X241" s="243"/>
      <c r="Y241" s="243"/>
    </row>
    <row r="242" spans="1:30" ht="15" customHeight="1">
      <c r="A242" s="238">
        <f t="shared" si="26"/>
        <v>241</v>
      </c>
      <c r="B242" s="7"/>
      <c r="C242" s="7"/>
      <c r="D242" s="8"/>
      <c r="E242" s="8">
        <v>45227</v>
      </c>
      <c r="F242" s="38"/>
      <c r="G242" s="10">
        <v>20</v>
      </c>
      <c r="H242" s="10">
        <v>30</v>
      </c>
      <c r="I242" s="10">
        <f t="shared" si="40"/>
        <v>50</v>
      </c>
      <c r="J242" s="8"/>
      <c r="K242" s="7" t="str">
        <f t="shared" si="38"/>
        <v/>
      </c>
      <c r="L242" s="11" t="str">
        <f t="shared" si="39"/>
        <v/>
      </c>
      <c r="M242" s="10">
        <v>100</v>
      </c>
      <c r="N242" s="10"/>
      <c r="O242" s="10" t="str">
        <f t="shared" ref="O242:O245" si="42">IF($J242&lt;&gt;"",SUM(M242:N242),"")</f>
        <v/>
      </c>
      <c r="P242" s="10"/>
      <c r="Q242" s="10" t="str">
        <f t="shared" si="35"/>
        <v/>
      </c>
      <c r="R242" s="10"/>
      <c r="S242" s="10" t="str">
        <f t="shared" si="36"/>
        <v/>
      </c>
      <c r="T242" s="10"/>
      <c r="U242" s="371"/>
      <c r="V242" s="277"/>
      <c r="W242" s="243"/>
      <c r="X242" s="243"/>
      <c r="Y242" s="243"/>
    </row>
    <row r="243" spans="1:30" ht="15" customHeight="1">
      <c r="A243" s="238">
        <f t="shared" si="26"/>
        <v>242</v>
      </c>
      <c r="B243" s="7"/>
      <c r="C243" s="7"/>
      <c r="D243" s="8"/>
      <c r="E243" s="8">
        <v>45249</v>
      </c>
      <c r="F243" s="38"/>
      <c r="G243" s="10">
        <v>7.5</v>
      </c>
      <c r="H243" s="10"/>
      <c r="I243" s="10"/>
      <c r="J243" s="8"/>
      <c r="K243" s="7" t="str">
        <f t="shared" si="38"/>
        <v/>
      </c>
      <c r="L243" s="11" t="str">
        <f t="shared" si="39"/>
        <v/>
      </c>
      <c r="M243" s="10">
        <v>30</v>
      </c>
      <c r="N243" s="10"/>
      <c r="O243" s="10" t="str">
        <f t="shared" si="42"/>
        <v/>
      </c>
      <c r="P243" s="10"/>
      <c r="Q243" s="10" t="str">
        <f t="shared" si="35"/>
        <v/>
      </c>
      <c r="R243" s="10"/>
      <c r="S243" s="10" t="str">
        <f t="shared" si="36"/>
        <v/>
      </c>
      <c r="T243" s="10"/>
      <c r="U243" s="371" t="s">
        <v>153</v>
      </c>
      <c r="V243" s="277"/>
      <c r="W243" s="243"/>
      <c r="X243" s="243"/>
      <c r="Y243" s="243"/>
    </row>
    <row r="244" spans="1:30" ht="15" customHeight="1">
      <c r="A244" s="238">
        <f t="shared" si="26"/>
        <v>243</v>
      </c>
      <c r="B244" s="7"/>
      <c r="C244" s="7"/>
      <c r="D244" s="8"/>
      <c r="E244" s="8">
        <v>45249</v>
      </c>
      <c r="F244" s="38"/>
      <c r="G244" s="10">
        <v>10</v>
      </c>
      <c r="H244" s="10"/>
      <c r="I244" s="10">
        <f t="shared" si="40"/>
        <v>10</v>
      </c>
      <c r="J244" s="8"/>
      <c r="K244" s="7" t="str">
        <f t="shared" si="38"/>
        <v/>
      </c>
      <c r="L244" s="11" t="str">
        <f t="shared" si="39"/>
        <v/>
      </c>
      <c r="M244" s="10">
        <v>50</v>
      </c>
      <c r="N244" s="10"/>
      <c r="O244" s="10" t="str">
        <f t="shared" si="42"/>
        <v/>
      </c>
      <c r="P244" s="10"/>
      <c r="Q244" s="10" t="str">
        <f t="shared" si="35"/>
        <v/>
      </c>
      <c r="R244" s="10"/>
      <c r="S244" s="10" t="str">
        <f t="shared" si="36"/>
        <v/>
      </c>
      <c r="T244" s="10"/>
      <c r="U244" s="371"/>
      <c r="V244" s="277"/>
      <c r="W244" s="243"/>
      <c r="X244" s="243"/>
      <c r="Y244" s="243"/>
    </row>
    <row r="245" spans="1:30" ht="15" customHeight="1">
      <c r="A245" s="238">
        <f t="shared" si="26"/>
        <v>244</v>
      </c>
      <c r="B245" s="7"/>
      <c r="C245" s="7"/>
      <c r="D245" s="8"/>
      <c r="E245" s="8">
        <v>45276</v>
      </c>
      <c r="F245" s="38"/>
      <c r="G245" s="10">
        <v>0</v>
      </c>
      <c r="H245" s="10"/>
      <c r="I245" s="10">
        <f t="shared" si="40"/>
        <v>0</v>
      </c>
      <c r="J245" s="8"/>
      <c r="K245" s="7" t="str">
        <f t="shared" si="38"/>
        <v/>
      </c>
      <c r="L245" s="11" t="str">
        <f t="shared" si="39"/>
        <v/>
      </c>
      <c r="M245" s="10">
        <v>15</v>
      </c>
      <c r="N245" s="10"/>
      <c r="O245" s="10" t="str">
        <f t="shared" si="42"/>
        <v/>
      </c>
      <c r="P245" s="10"/>
      <c r="Q245" s="10" t="str">
        <f t="shared" si="35"/>
        <v/>
      </c>
      <c r="R245" s="10"/>
      <c r="S245" s="10" t="str">
        <f t="shared" si="36"/>
        <v/>
      </c>
      <c r="T245" s="10"/>
      <c r="U245" s="371"/>
      <c r="V245" s="277"/>
      <c r="W245" s="243"/>
      <c r="X245" s="243"/>
      <c r="Y245" s="243"/>
    </row>
    <row r="246" spans="1:30" ht="29.25" customHeight="1">
      <c r="B246" s="35"/>
      <c r="C246" s="35"/>
      <c r="D246" s="35"/>
      <c r="E246" s="35" t="s">
        <v>0</v>
      </c>
      <c r="F246" s="35" t="s">
        <v>105</v>
      </c>
      <c r="G246" s="37" t="s">
        <v>1</v>
      </c>
      <c r="H246" s="37" t="s">
        <v>2</v>
      </c>
      <c r="I246" s="37" t="s">
        <v>3</v>
      </c>
      <c r="J246" s="38" t="s">
        <v>4</v>
      </c>
      <c r="K246" s="7"/>
      <c r="L246" s="38" t="s">
        <v>6</v>
      </c>
      <c r="M246" s="37" t="s">
        <v>7</v>
      </c>
      <c r="N246" s="37" t="s">
        <v>8</v>
      </c>
      <c r="O246" s="37" t="s">
        <v>9</v>
      </c>
      <c r="P246" s="37" t="s">
        <v>10</v>
      </c>
      <c r="Q246" s="37" t="s">
        <v>109</v>
      </c>
      <c r="R246" s="37" t="s">
        <v>12</v>
      </c>
      <c r="S246" s="37" t="s">
        <v>13</v>
      </c>
      <c r="T246" s="37" t="s">
        <v>14</v>
      </c>
      <c r="V246" s="39"/>
    </row>
    <row r="247" spans="1:30" ht="22.5" customHeight="1">
      <c r="A247" s="45"/>
      <c r="B247" s="45"/>
      <c r="C247" s="237"/>
      <c r="D247" s="45"/>
      <c r="E247" s="237"/>
      <c r="F247" s="382" t="s">
        <v>110</v>
      </c>
      <c r="G247" s="383"/>
      <c r="H247" s="35" t="s">
        <v>33</v>
      </c>
      <c r="I247" s="35" t="s">
        <v>34</v>
      </c>
      <c r="J247" s="48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236"/>
      <c r="W247" s="45"/>
      <c r="X247" s="45"/>
      <c r="Y247" s="45"/>
      <c r="Z247" s="45"/>
      <c r="AA247" s="45"/>
      <c r="AB247" s="45"/>
      <c r="AC247" s="45"/>
      <c r="AD247" s="45"/>
    </row>
    <row r="248" spans="1:30" ht="22.5" customHeight="1">
      <c r="A248" s="45"/>
      <c r="B248" s="45"/>
      <c r="C248" s="237"/>
      <c r="D248" s="45"/>
      <c r="E248" s="44"/>
      <c r="F248" s="384">
        <f>SUM(G2:G245)</f>
        <v>3086</v>
      </c>
      <c r="G248" s="383"/>
      <c r="H248" s="10">
        <f>SUM(H2:H245)</f>
        <v>1297</v>
      </c>
      <c r="I248" s="10">
        <f>SUM(F248:H248)</f>
        <v>4383</v>
      </c>
      <c r="J248" s="48"/>
      <c r="K248" s="45"/>
      <c r="L248" s="45"/>
      <c r="M248" s="37" t="s">
        <v>36</v>
      </c>
      <c r="N248" s="44"/>
      <c r="O248" s="288" t="s">
        <v>37</v>
      </c>
      <c r="P248" s="288" t="s">
        <v>10</v>
      </c>
      <c r="Q248" s="288" t="s">
        <v>111</v>
      </c>
      <c r="R248" s="288" t="s">
        <v>12</v>
      </c>
      <c r="S248" s="288" t="s">
        <v>39</v>
      </c>
      <c r="T248" s="45"/>
      <c r="U248" s="45"/>
      <c r="V248" s="236"/>
      <c r="W248" s="45"/>
      <c r="X248" s="45"/>
      <c r="Y248" s="45"/>
      <c r="Z248" s="45"/>
      <c r="AA248" s="45"/>
      <c r="AB248" s="45"/>
      <c r="AC248" s="45"/>
      <c r="AD248" s="45"/>
    </row>
    <row r="249" spans="1:30" ht="15.75" customHeight="1">
      <c r="A249" s="417" t="s">
        <v>40</v>
      </c>
      <c r="B249" s="418"/>
      <c r="C249" s="418"/>
      <c r="D249" s="419"/>
      <c r="E249" s="24">
        <f>SUMIFS(O1:O245,J1:J245,"&lt;&gt;")</f>
        <v>12147.85</v>
      </c>
      <c r="F249" s="44"/>
      <c r="G249" s="385"/>
      <c r="H249" s="386"/>
      <c r="I249" s="386"/>
      <c r="J249" s="386"/>
      <c r="K249" s="45"/>
      <c r="L249" s="45"/>
      <c r="M249" s="10">
        <f>SUM(M2:M245)</f>
        <v>13816.85</v>
      </c>
      <c r="N249" s="10" t="s">
        <v>41</v>
      </c>
      <c r="O249" s="10">
        <f>SUM(O2:O245)</f>
        <v>12147.85</v>
      </c>
      <c r="P249" s="10">
        <f>SUM(P2:P245)</f>
        <v>814.69000000000131</v>
      </c>
      <c r="Q249" s="10">
        <f>SUM(Q2:Q245)</f>
        <v>11333.15999999998</v>
      </c>
      <c r="R249" s="10">
        <f>SUM(R2:R245)</f>
        <v>531.75000000000034</v>
      </c>
      <c r="S249" s="10">
        <f>SUM(S2:S245)</f>
        <v>7407.9099999999908</v>
      </c>
      <c r="T249" s="45"/>
      <c r="U249" s="45"/>
      <c r="V249" s="236"/>
      <c r="W249" s="45"/>
      <c r="X249" s="45"/>
      <c r="Y249" s="45"/>
      <c r="Z249" s="45"/>
      <c r="AA249" s="45"/>
      <c r="AB249" s="45"/>
      <c r="AC249" s="45"/>
      <c r="AD249" s="45"/>
    </row>
    <row r="250" spans="1:30" ht="15.75" customHeight="1">
      <c r="A250" s="420" t="s">
        <v>42</v>
      </c>
      <c r="B250" s="421"/>
      <c r="C250" s="421"/>
      <c r="D250" s="422"/>
      <c r="E250" s="289">
        <f>SUMIFS(Q1:Q245,J1:J245,"&lt;&gt;")</f>
        <v>11333.15999999998</v>
      </c>
      <c r="F250" s="44"/>
      <c r="G250" s="236"/>
      <c r="K250" s="45"/>
      <c r="L250" s="45"/>
      <c r="M250" s="290"/>
      <c r="N250" s="10" t="s">
        <v>43</v>
      </c>
      <c r="O250" s="55">
        <v>1</v>
      </c>
      <c r="P250" s="55">
        <f>SUM(P249/O249)</f>
        <v>6.7064542285260459E-2</v>
      </c>
      <c r="Q250" s="55">
        <f>SUM(Q249/O249)</f>
        <v>0.93293545771473796</v>
      </c>
      <c r="R250" s="55">
        <f>SUM(R249/O249)</f>
        <v>4.3773177969764224E-2</v>
      </c>
      <c r="S250" s="55">
        <f>SUM(S249/O249)</f>
        <v>0.60981243594545465</v>
      </c>
      <c r="T250" s="45"/>
      <c r="U250" s="45"/>
      <c r="V250" s="236"/>
      <c r="W250" s="45"/>
      <c r="X250" s="45"/>
      <c r="Y250" s="45"/>
      <c r="Z250" s="45"/>
      <c r="AA250" s="45"/>
      <c r="AB250" s="45"/>
      <c r="AC250" s="45"/>
      <c r="AD250" s="45"/>
    </row>
    <row r="251" spans="1:30" ht="15.75" customHeight="1">
      <c r="A251" s="423" t="s">
        <v>44</v>
      </c>
      <c r="B251" s="424"/>
      <c r="C251" s="424"/>
      <c r="D251" s="425"/>
      <c r="E251" s="291">
        <f>SUMIFS(I1:I245,J1:J245,"&lt;&gt;")</f>
        <v>3393.5</v>
      </c>
      <c r="F251" s="387" t="s">
        <v>112</v>
      </c>
      <c r="G251" s="388"/>
      <c r="H251" s="44"/>
      <c r="I251" s="44"/>
      <c r="J251" s="43"/>
      <c r="K251" s="45"/>
      <c r="L251" s="45"/>
      <c r="M251" s="236"/>
      <c r="T251" s="45"/>
      <c r="U251" s="45"/>
      <c r="V251" s="236"/>
      <c r="W251" s="45"/>
      <c r="X251" s="45"/>
      <c r="Y251" s="45"/>
      <c r="Z251" s="45"/>
      <c r="AA251" s="45"/>
      <c r="AB251" s="45"/>
      <c r="AC251" s="45"/>
      <c r="AD251" s="45"/>
    </row>
    <row r="252" spans="1:30" ht="15.75" customHeight="1">
      <c r="A252" s="423" t="s">
        <v>45</v>
      </c>
      <c r="B252" s="424"/>
      <c r="C252" s="424"/>
      <c r="D252" s="425"/>
      <c r="E252" s="291">
        <f>SUM(P1:P245)</f>
        <v>814.69000000000131</v>
      </c>
      <c r="F252" s="389">
        <f>SUM(E251:E253)</f>
        <v>4739.9400000000014</v>
      </c>
      <c r="G252" s="390"/>
      <c r="H252" s="60">
        <f>SUM(F252/E249)</f>
        <v>0.39018756405454474</v>
      </c>
      <c r="I252" s="44"/>
      <c r="J252" s="43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236"/>
      <c r="W252" s="45"/>
      <c r="X252" s="45"/>
      <c r="Y252" s="45"/>
      <c r="Z252" s="45"/>
      <c r="AA252" s="45"/>
      <c r="AB252" s="45"/>
      <c r="AC252" s="45"/>
      <c r="AD252" s="45"/>
    </row>
    <row r="253" spans="1:30" ht="15.75" customHeight="1">
      <c r="A253" s="423" t="s">
        <v>48</v>
      </c>
      <c r="B253" s="424"/>
      <c r="C253" s="424"/>
      <c r="D253" s="425"/>
      <c r="E253" s="291">
        <f>SUM(R249)</f>
        <v>531.75000000000034</v>
      </c>
      <c r="F253" s="292"/>
      <c r="G253" s="293"/>
      <c r="H253" s="45"/>
      <c r="I253" s="44"/>
      <c r="J253" s="48"/>
      <c r="K253" s="45"/>
      <c r="L253" s="45"/>
      <c r="M253" s="391"/>
      <c r="N253" s="386"/>
      <c r="O253" s="45"/>
      <c r="P253" s="45"/>
      <c r="Q253" s="64" t="s">
        <v>49</v>
      </c>
      <c r="R253" s="204"/>
      <c r="S253" s="65"/>
      <c r="T253" s="65"/>
      <c r="U253" s="65"/>
      <c r="V253" s="236"/>
      <c r="W253" s="45"/>
      <c r="X253" s="45"/>
      <c r="Y253" s="45"/>
      <c r="Z253" s="45"/>
      <c r="AA253" s="45"/>
      <c r="AB253" s="45"/>
      <c r="AC253" s="45"/>
      <c r="AD253" s="45"/>
    </row>
    <row r="254" spans="1:30" ht="15.75" customHeight="1">
      <c r="A254" s="379" t="s">
        <v>50</v>
      </c>
      <c r="B254" s="380"/>
      <c r="C254" s="380"/>
      <c r="D254" s="381"/>
      <c r="E254" s="294">
        <f>SUM(E249-F252)</f>
        <v>7407.9099999999989</v>
      </c>
      <c r="F254" s="60">
        <f>SUM(E254/E249)</f>
        <v>0.60981243594545531</v>
      </c>
      <c r="G254" s="236"/>
      <c r="H254" s="236"/>
      <c r="I254" s="236"/>
      <c r="J254" s="69"/>
      <c r="K254" s="45"/>
      <c r="L254" s="45"/>
      <c r="M254" s="45"/>
      <c r="N254" s="45"/>
      <c r="O254" s="391"/>
      <c r="P254" s="386"/>
      <c r="Q254" s="70" t="s">
        <v>52</v>
      </c>
      <c r="R254" s="71"/>
      <c r="S254" s="71"/>
      <c r="T254" s="71"/>
      <c r="U254" s="71"/>
      <c r="V254" s="236"/>
      <c r="W254" s="45"/>
      <c r="X254" s="45"/>
      <c r="Y254" s="45"/>
      <c r="Z254" s="45"/>
      <c r="AA254" s="45"/>
      <c r="AB254" s="45"/>
      <c r="AC254" s="45"/>
      <c r="AD254" s="45"/>
    </row>
    <row r="255" spans="1:30" ht="15.75" customHeight="1">
      <c r="A255" s="72"/>
      <c r="B255" s="47"/>
      <c r="C255" s="72"/>
      <c r="D255" s="72"/>
      <c r="E255" s="45"/>
      <c r="F255" s="45"/>
      <c r="G255" s="45"/>
      <c r="H255" s="45"/>
      <c r="I255" s="45"/>
      <c r="J255" s="48"/>
      <c r="K255" s="45"/>
      <c r="L255" s="45"/>
      <c r="M255" s="45"/>
      <c r="N255" s="45"/>
      <c r="O255" s="45"/>
      <c r="P255" s="45"/>
      <c r="Q255" s="75" t="s">
        <v>54</v>
      </c>
      <c r="R255" s="75"/>
      <c r="S255" s="75"/>
      <c r="T255" s="75"/>
      <c r="U255" s="75"/>
      <c r="V255" s="236"/>
      <c r="W255" s="45"/>
      <c r="X255" s="45"/>
      <c r="Y255" s="237"/>
      <c r="Z255" s="45"/>
      <c r="AA255" s="45"/>
      <c r="AB255" s="45"/>
      <c r="AC255" s="45"/>
      <c r="AD255" s="45"/>
    </row>
    <row r="256" spans="1:30" ht="15.75" customHeight="1">
      <c r="A256" s="72"/>
      <c r="B256" s="72"/>
      <c r="C256" s="392" t="s">
        <v>113</v>
      </c>
      <c r="D256" s="393"/>
      <c r="E256" s="55">
        <f>SUM(E249-F252)/F252</f>
        <v>1.5628699941349462</v>
      </c>
      <c r="F256" s="394" t="s">
        <v>114</v>
      </c>
      <c r="G256" s="386"/>
      <c r="H256" s="386"/>
      <c r="I256" s="386"/>
      <c r="J256" s="386"/>
      <c r="K256" s="236"/>
      <c r="L256" s="45"/>
      <c r="M256" s="45"/>
      <c r="N256" s="45"/>
      <c r="O256" s="45"/>
      <c r="P256" s="45"/>
      <c r="Q256" s="77" t="s">
        <v>55</v>
      </c>
      <c r="R256" s="77"/>
      <c r="S256" s="77"/>
      <c r="T256" s="77"/>
      <c r="U256" s="78"/>
      <c r="V256" s="236"/>
      <c r="W256" s="45"/>
      <c r="X256" s="14"/>
      <c r="Y256" s="14"/>
      <c r="Z256" s="14"/>
      <c r="AA256" s="45"/>
      <c r="AB256" s="45"/>
      <c r="AC256" s="45"/>
      <c r="AD256" s="45"/>
    </row>
    <row r="257" spans="1:30" ht="15.75" customHeight="1">
      <c r="A257" s="72"/>
      <c r="B257" s="72"/>
      <c r="C257" s="395" t="s">
        <v>115</v>
      </c>
      <c r="D257" s="396"/>
      <c r="E257" s="295">
        <f>SUM(E249-F252)/E249</f>
        <v>0.60981243594545531</v>
      </c>
      <c r="F257" s="394" t="s">
        <v>116</v>
      </c>
      <c r="G257" s="386"/>
      <c r="H257" s="386"/>
      <c r="I257" s="386"/>
      <c r="J257" s="386"/>
      <c r="K257" s="45"/>
      <c r="L257" s="45"/>
      <c r="M257" s="45"/>
      <c r="N257" s="45"/>
      <c r="O257" s="45"/>
      <c r="P257" s="45"/>
      <c r="Q257" s="378" t="s">
        <v>56</v>
      </c>
      <c r="R257" s="378"/>
      <c r="S257" s="378"/>
      <c r="T257" s="378"/>
      <c r="U257" s="378"/>
      <c r="V257" s="236"/>
      <c r="W257" s="45"/>
      <c r="X257" s="14"/>
      <c r="Y257" s="296"/>
      <c r="Z257" s="296"/>
      <c r="AA257" s="45"/>
      <c r="AB257" s="45"/>
      <c r="AC257" s="45"/>
      <c r="AD257" s="45"/>
    </row>
    <row r="258" spans="1:30" ht="20.25" customHeight="1">
      <c r="A258" s="440" t="s">
        <v>57</v>
      </c>
      <c r="B258" s="441"/>
      <c r="C258" s="441"/>
      <c r="D258" s="442"/>
      <c r="E258" s="297">
        <f>SUM(F248)-SUMIFS(G1:G245,J1:J245,"&lt;&gt;")</f>
        <v>669.5</v>
      </c>
      <c r="F258" s="436"/>
      <c r="G258" s="386"/>
      <c r="H258" s="237"/>
      <c r="I258" s="437"/>
      <c r="J258" s="438"/>
      <c r="K258" s="48"/>
      <c r="L258" s="45"/>
      <c r="M258" s="81" t="s">
        <v>58</v>
      </c>
      <c r="N258" s="81" t="s">
        <v>59</v>
      </c>
      <c r="O258" s="81" t="s">
        <v>60</v>
      </c>
      <c r="P258" s="81" t="s">
        <v>61</v>
      </c>
      <c r="Q258" s="81" t="s">
        <v>62</v>
      </c>
      <c r="R258" s="81" t="s">
        <v>63</v>
      </c>
      <c r="S258" s="81" t="s">
        <v>64</v>
      </c>
      <c r="T258" s="81" t="s">
        <v>65</v>
      </c>
      <c r="U258" s="81" t="s">
        <v>66</v>
      </c>
      <c r="V258" s="81" t="s">
        <v>67</v>
      </c>
      <c r="W258" s="81" t="s">
        <v>68</v>
      </c>
      <c r="X258" s="81" t="s">
        <v>69</v>
      </c>
      <c r="Y258" s="82" t="s">
        <v>41</v>
      </c>
      <c r="Z258" s="7" t="s">
        <v>117</v>
      </c>
      <c r="AA258" s="83" t="s">
        <v>70</v>
      </c>
      <c r="AB258" s="45"/>
      <c r="AC258" s="45"/>
      <c r="AD258" s="45"/>
    </row>
    <row r="259" spans="1:30" ht="15.75" customHeight="1">
      <c r="A259" s="443" t="s">
        <v>71</v>
      </c>
      <c r="B259" s="444"/>
      <c r="C259" s="444"/>
      <c r="D259" s="445"/>
      <c r="E259" s="298">
        <f>SUM(H248)-SUMIFS(H1:H245,J1:J245,"&lt;&gt;")</f>
        <v>300</v>
      </c>
      <c r="F259" s="299"/>
      <c r="G259" s="439" t="s">
        <v>72</v>
      </c>
      <c r="H259" s="408"/>
      <c r="I259" s="408"/>
      <c r="J259" s="408"/>
      <c r="K259" s="408"/>
      <c r="L259" s="409"/>
      <c r="M259" s="300">
        <f>SUMPRODUCT(($T$2:$T$245="EBAY")*($J$2:$J$245&gt;0)*(MONTH($J$2:$J$245)=COLUMNS($A:A)),($O$2:$O$245))</f>
        <v>0</v>
      </c>
      <c r="N259" s="300">
        <f>SUMPRODUCT(($T$2:$T$245="EBAY")*($J$2:$J$245&gt;0)*(MONTH($J$2:$J$245)=COLUMNS($A:B)),($O$2:$O$245))</f>
        <v>0</v>
      </c>
      <c r="O259" s="300">
        <f>SUMPRODUCT(($T$2:$T$245="EBAY")*($J$2:$J$245&gt;0)*(MONTH($J$2:$J$245)=COLUMNS($A:C)),($O$2:$O$245))</f>
        <v>105</v>
      </c>
      <c r="P259" s="300">
        <f>SUMPRODUCT(($T$2:$T$245="EBAY")*($J$2:$J$245&gt;0)*(MONTH($J$2:$J$245)=COLUMNS($A:D)),($O$2:$O$245))</f>
        <v>156</v>
      </c>
      <c r="Q259" s="300">
        <f>SUMPRODUCT(($T$2:$T$245="EBAY")*($J$2:$J$245&gt;0)*(MONTH($J$2:$J$245)=COLUMNS($A:E)),($O$2:$O$245))</f>
        <v>565</v>
      </c>
      <c r="R259" s="300">
        <f>SUMPRODUCT(($T$2:$T$245="EBAY")*($J$2:$J$245&gt;0)*(MONTH($J$2:$J$245)=COLUMNS($A:F)),($O$2:$O$245))</f>
        <v>943</v>
      </c>
      <c r="S259" s="300">
        <f>SUMPRODUCT(($T$2:$T$245="EBAY")*($J$2:$J$245&gt;0)*(MONTH($J$2:$J$245)=COLUMNS($A:G)),($O$2:$O$245))</f>
        <v>469.85</v>
      </c>
      <c r="T259" s="300">
        <f t="array" ref="T259">SUMPRODUCT(($T$2:$T$245="EBAY")*($J$2:$J$245&gt;0)*(MONTH($J$2:$J$245)=COLUMNS($A:H)),($O$2:$O$245))</f>
        <v>933</v>
      </c>
      <c r="U259" s="300">
        <f t="array" ref="U259">SUMPRODUCT(($T$2:$T$245="EBAY")*($J$2:$J$245&gt;0)*(MONTH($J$2:$J$245)=COLUMNS($A:I)),($O$2:$O$245))</f>
        <v>848</v>
      </c>
      <c r="V259" s="300">
        <f t="array" ref="V259">SUMPRODUCT(($T$2:$T$245="EBAY")*($J$2:$J$245&gt;0)*(MONTH($J$2:$J$245)=COLUMNS($A:J)),($O$2:$O$245))</f>
        <v>1710</v>
      </c>
      <c r="W259" s="300">
        <f t="array" ref="W259">SUMPRODUCT(($T$2:$T$245="EBAY")*($J$2:$J$245&gt;0)*(MONTH($J$2:$J$245)=COLUMNS($A:K)),($O$2:$O$245))</f>
        <v>635</v>
      </c>
      <c r="X259" s="300">
        <f t="array" ref="X259">SUMPRODUCT(($T$2:$T$245="EBAY")*($J$2:$J$245&gt;0)*(MONTH($J$2:$J$245)=COLUMNS($A:L)),($O$2:$O$245))</f>
        <v>1425</v>
      </c>
      <c r="Y259" s="301">
        <f>SUM(M259:X259)</f>
        <v>7789.85</v>
      </c>
      <c r="Z259" s="45"/>
      <c r="AA259" s="237">
        <f>SUM(3000-(Y259+Y261))</f>
        <v>-5604.5400000000009</v>
      </c>
      <c r="AB259" s="45"/>
      <c r="AC259" s="45"/>
      <c r="AD259" s="45"/>
    </row>
    <row r="260" spans="1:30" ht="15.75" customHeight="1">
      <c r="A260" s="443" t="s">
        <v>73</v>
      </c>
      <c r="B260" s="444"/>
      <c r="C260" s="444"/>
      <c r="D260" s="445"/>
      <c r="E260" s="298">
        <f>SUM(M249)-SUMIFS(M1:M245,J1:J245,"&lt;&gt;")</f>
        <v>2945</v>
      </c>
      <c r="F260" s="302">
        <v>1</v>
      </c>
      <c r="G260" s="404" t="s">
        <v>74</v>
      </c>
      <c r="H260" s="405"/>
      <c r="I260" s="405"/>
      <c r="J260" s="405"/>
      <c r="K260" s="405"/>
      <c r="L260" s="406"/>
      <c r="M260" s="303">
        <f t="array" ref="M260">SUMPRODUCT(($T$2:$T$245="EBAY")*($J$2:$J$245&gt;0)*(MONTH($J$2:$J$245)=COLUMNS($A:A)),($Q$2:$Q$245))</f>
        <v>0</v>
      </c>
      <c r="N260" s="303">
        <f t="array" ref="N260">SUMPRODUCT(($T$2:$T$245="EBAY")*($J$2:$J$245&gt;0)*(MONTH($J$2:$J$245)=COLUMNS($A:B)),($Q$2:$Q$245))</f>
        <v>0</v>
      </c>
      <c r="O260" s="303">
        <f t="array" ref="O260">SUMPRODUCT(($T$2:$T$245="EBAY")*($J$2:$J$245&gt;0)*(MONTH($J$2:$J$245)=COLUMNS($A:C)),($Q$2:$Q$245))</f>
        <v>93.8</v>
      </c>
      <c r="P260" s="303">
        <f t="array" ref="P260">SUMPRODUCT(($T$2:$T$245="EBAY")*($J$2:$J$245&gt;0)*(MONTH($J$2:$J$245)=COLUMNS($A:D)),($Q$2:$Q$245))</f>
        <v>139</v>
      </c>
      <c r="Q260" s="303">
        <f t="array" ref="Q260">SUMPRODUCT(($T$2:$T$245="EBAY")*($J$2:$J$245&gt;0)*(MONTH($J$2:$J$245)=COLUMNS($A:E)),($Q$2:$Q$245))</f>
        <v>516.04999999999995</v>
      </c>
      <c r="R260" s="303">
        <f t="array" ref="R260">SUMPRODUCT(($T$2:$T$245="EBAY")*($J$2:$J$245&gt;0)*(MONTH($J$2:$J$245)=COLUMNS($A:F)),($Q$2:$Q$245))</f>
        <v>844.29999999999984</v>
      </c>
      <c r="S260" s="303">
        <f t="array" ref="S260">SUMPRODUCT(($T$2:$T$245="EBAY")*($J$2:$J$245&gt;0)*(MONTH($J$2:$J$245)=COLUMNS($A:G)),($Q$2:$Q$245))</f>
        <v>407.55</v>
      </c>
      <c r="T260" s="303">
        <f t="array" ref="T260">SUMPRODUCT(($T$2:$T$245="EBAY")*($J$2:$J$245&gt;0)*(MONTH($J$2:$J$245)=COLUMNS($A:H)),($Q$2:$Q$245))</f>
        <v>835.14999999999986</v>
      </c>
      <c r="U260" s="303">
        <f t="array" ref="U260">SUMPRODUCT(($T$2:$T$245="EBAY")*($J$2:$J$245&gt;0)*(MONTH($J$2:$J$245)=COLUMNS($A:I)),($Q$2:$Q$245))</f>
        <v>758.54999999999984</v>
      </c>
      <c r="V260" s="303">
        <f t="array" ref="V260">SUMPRODUCT(($T$2:$T$245="EBAY")*($J$2:$J$245&gt;0)*(MONTH($J$2:$J$245)=COLUMNS($A:J)),($Q$2:$Q$245))</f>
        <v>1540.3000000000004</v>
      </c>
      <c r="W260" s="303">
        <f t="array" ref="W260">SUMPRODUCT(($T$2:$T$245="EBAY")*($J$2:$J$245&gt;0)*(MONTH($J$2:$J$245)=COLUMNS($A:K)),($Q$2:$Q$245))</f>
        <v>564.50999999999988</v>
      </c>
      <c r="X260" s="303">
        <f t="array" ref="X260">SUMPRODUCT(($T$2:$T$245="EBAY")*($J$2:$J$245&gt;0)*(MONTH($J$2:$J$245)=COLUMNS($A:L)),($Q$2:$Q$245))</f>
        <v>1275.95</v>
      </c>
      <c r="Y260" s="304">
        <f>SUM(M260:X260)</f>
        <v>6975.16</v>
      </c>
      <c r="Z260" s="45"/>
      <c r="AA260" s="237"/>
      <c r="AB260" s="45"/>
      <c r="AC260" s="45"/>
      <c r="AD260" s="45"/>
    </row>
    <row r="261" spans="1:30" ht="15.75" customHeight="1">
      <c r="A261" s="440" t="s">
        <v>132</v>
      </c>
      <c r="B261" s="441"/>
      <c r="C261" s="441"/>
      <c r="D261" s="442"/>
      <c r="E261" s="305">
        <f>SUM(E260-E259-E258)</f>
        <v>1975.5</v>
      </c>
      <c r="F261" s="306">
        <f>SUM(E261/E260)</f>
        <v>0.67079796264855684</v>
      </c>
      <c r="G261" s="439" t="s">
        <v>76</v>
      </c>
      <c r="H261" s="408"/>
      <c r="I261" s="408"/>
      <c r="J261" s="408"/>
      <c r="K261" s="408"/>
      <c r="L261" s="409"/>
      <c r="M261" s="300">
        <f>SUMPRODUCT(($T$2:$T$245="EBAY")*($J$2:$J$245&gt;0)*(MONTH($J$2:$J$245)=COLUMNS($A:A)),($P$2:$P$245))</f>
        <v>0</v>
      </c>
      <c r="N261" s="300">
        <f>SUMPRODUCT(($T$2:$T$245="EBAY")*($J$2:$J$245&gt;0)*(MONTH($J$2:$J$245)=COLUMNS($A:B)),($P$2:$P$245))</f>
        <v>0</v>
      </c>
      <c r="O261" s="300">
        <f>SUMPRODUCT(($T$2:$T$245="EBAY")*($J$2:$J$245&gt;0)*(MONTH($J$2:$J$245)=COLUMNS($A:C)),($P$2:$P$245))</f>
        <v>11.2</v>
      </c>
      <c r="P261" s="300">
        <f>SUMPRODUCT(($T$2:$T$245="EBAY")*($J$2:$J$245&gt;0)*(MONTH($J$2:$J$245)=COLUMNS($A:D)),($P$2:$P$245))</f>
        <v>17</v>
      </c>
      <c r="Q261" s="300">
        <f>SUMPRODUCT(($T$2:$T$245="EBAY")*($J$2:$J$245&gt;0)*(MONTH($J$2:$J$245)=COLUMNS($A:E)),($P$2:$P$245))</f>
        <v>48.95</v>
      </c>
      <c r="R261" s="300">
        <f>SUMPRODUCT(($T$2:$T$245="EBAY")*($J$2:$J$245&gt;0)*(MONTH($J$2:$J$245)=COLUMNS($A:F)),($P$2:$P$245))</f>
        <v>98.699999999999989</v>
      </c>
      <c r="S261" s="300">
        <f>SUMPRODUCT(($T$2:$T$245="EBAY")*($J$2:$J$245&gt;0)*(MONTH($J$2:$J$245)=COLUMNS($A:G)),($P$2:$P$245))</f>
        <v>62.300000000000004</v>
      </c>
      <c r="T261" s="300">
        <f t="array" ref="T261">SUMPRODUCT(($T$2:$T$245="EBAY")*($J$2:$J$245&gt;0)*(MONTH($J$2:$J$245)=COLUMNS($A:H)),($P$2:$P$245))</f>
        <v>97.85</v>
      </c>
      <c r="U261" s="300">
        <f t="array" ref="U261">SUMPRODUCT(($T$2:$T$245="EBAY")*($J$2:$J$245&gt;0)*(MONTH($J$2:$J$245)=COLUMNS($A:I)),($P$2:$P$245))</f>
        <v>89.45</v>
      </c>
      <c r="V261" s="300">
        <f t="array" ref="V261">SUMPRODUCT(($T$2:$T$245="EBAY")*($J$2:$J$245&gt;0)*(MONTH($J$2:$J$245)=COLUMNS($A:J)),($P$2:$P$245))</f>
        <v>169.69999999999993</v>
      </c>
      <c r="W261" s="300">
        <f t="array" ref="W261">SUMPRODUCT(($T$2:$T$245="EBAY")*($J$2:$J$245&gt;0)*(MONTH($J$2:$J$245)=COLUMNS($A:K)),($P$2:$P$245))</f>
        <v>70.489999999999995</v>
      </c>
      <c r="X261" s="300">
        <f t="array" ref="X261">SUMPRODUCT(($T$2:$T$245="EBAY")*($J$2:$J$245&gt;0)*(MONTH($J$2:$J$245)=COLUMNS($A:L)),($P$2:$P$245))</f>
        <v>149.04999999999998</v>
      </c>
      <c r="Y261" s="301">
        <f>SUM(M261:X261)</f>
        <v>814.68999999999983</v>
      </c>
      <c r="Z261" s="45"/>
      <c r="AA261" s="45"/>
      <c r="AB261" s="45"/>
      <c r="AC261" s="45"/>
      <c r="AD261" s="45"/>
    </row>
    <row r="262" spans="1:30" ht="15.75" customHeight="1">
      <c r="A262" s="307"/>
      <c r="B262" s="307"/>
      <c r="C262" s="307"/>
      <c r="D262" s="307"/>
      <c r="E262" s="308"/>
      <c r="G262" s="439" t="s">
        <v>77</v>
      </c>
      <c r="H262" s="408"/>
      <c r="I262" s="408"/>
      <c r="J262" s="408"/>
      <c r="K262" s="408"/>
      <c r="L262" s="409"/>
      <c r="M262" s="300">
        <f>SUMPRODUCT(($T$2:$T$245="EBAY")*($J$2:$J$245&gt;0)*(MONTH($J$2:$J$245)=COLUMNS($A:A)),($R$2:$R$245))</f>
        <v>0</v>
      </c>
      <c r="N262" s="300">
        <f>SUMPRODUCT(($T$2:$T$245="EBAY")*($J$2:$J$245&gt;0)*(MONTH($J$2:$J$245)=COLUMNS($A:B)),($R$2:$R$245))</f>
        <v>0</v>
      </c>
      <c r="O262" s="300">
        <f>SUMPRODUCT(($T$2:$T$245="EBAY")*($J$2:$J$245&gt;0)*(MONTH($J$2:$J$245)=COLUMNS($A:C)),($R$2:$R$245))</f>
        <v>0</v>
      </c>
      <c r="P262" s="300">
        <f>SUMPRODUCT(($T$2:$T$245="EBAY")*($J$2:$J$245&gt;0)*(MONTH($J$2:$J$245)=COLUMNS($A:D)),($R$2:$R$245))</f>
        <v>0</v>
      </c>
      <c r="Q262" s="300">
        <f>SUMPRODUCT(($T$2:$T$245="EBAY")*($J$2:$J$245&gt;0)*(MONTH($J$2:$J$245)=COLUMNS($A:E)),($R$2:$R$245))</f>
        <v>25.440000000000005</v>
      </c>
      <c r="R262" s="300">
        <f>SUMPRODUCT(($T$2:$T$245="EBAY")*($J$2:$J$245&gt;0)*(MONTH($J$2:$J$245)=COLUMNS($A:F)),($R$2:$R$245))</f>
        <v>62.970000000000013</v>
      </c>
      <c r="S262" s="300">
        <f>SUMPRODUCT(($T$2:$T$245="EBAY")*($J$2:$J$245&gt;0)*(MONTH($J$2:$J$245)=COLUMNS($A:G)),($R$2:$R$245))</f>
        <v>31.400000000000006</v>
      </c>
      <c r="T262" s="300">
        <f t="array" ref="T262">SUMPRODUCT(($T$2:$T$245="EBAY")*($J$2:$J$245&gt;0)*(MONTH($J$2:$J$245)=COLUMNS($A:H)),($R$2:$R$245))</f>
        <v>81.089999999999989</v>
      </c>
      <c r="U262" s="300">
        <f t="array" ref="U262">SUMPRODUCT(($T$2:$T$245="EBAY")*($J$2:$J$245&gt;0)*(MONTH($J$2:$J$245)=COLUMNS($A:I)),($R$2:$R$245))</f>
        <v>64.660000000000011</v>
      </c>
      <c r="V262" s="300">
        <f t="array" ref="V262">SUMPRODUCT(($T$2:$T$245="EBAY")*($J$2:$J$245&gt;0)*(MONTH($J$2:$J$245)=COLUMNS($A:J)),($R$2:$R$245))</f>
        <v>73.83</v>
      </c>
      <c r="W262" s="300">
        <f t="array" ref="W262">SUMPRODUCT(($T$2:$T$245="EBAY")*($J$2:$J$245&gt;0)*(MONTH($J$2:$J$245)=COLUMNS($A:K)),($R$2:$R$245))</f>
        <v>46.2</v>
      </c>
      <c r="X262" s="300">
        <f t="array" ref="X262">SUMPRODUCT(($T$2:$T$245="EBAY")*($J$2:$J$245&gt;0)*(MONTH($J$2:$J$245)=COLUMNS($A:L)),($R$2:$R$245))</f>
        <v>107.81</v>
      </c>
      <c r="Y262" s="301">
        <f>SUM(M262:X262)</f>
        <v>493.40000000000003</v>
      </c>
      <c r="Z262" s="45"/>
      <c r="AA262" s="45"/>
      <c r="AB262" s="45"/>
      <c r="AC262" s="45"/>
      <c r="AD262" s="45"/>
    </row>
    <row r="263" spans="1:30" ht="15.75" customHeight="1">
      <c r="A263" s="94"/>
      <c r="B263" s="94"/>
      <c r="C263" s="94"/>
      <c r="D263" s="94"/>
      <c r="E263" s="107"/>
      <c r="F263" s="94"/>
      <c r="G263" s="401" t="s">
        <v>78</v>
      </c>
      <c r="H263" s="402"/>
      <c r="I263" s="402"/>
      <c r="J263" s="402"/>
      <c r="K263" s="402"/>
      <c r="L263" s="403"/>
      <c r="M263" s="309">
        <f>SUMPRODUCT(($T$2:$T$245="EBAY")*($J$2:$J$245&gt;0)*(MONTH($J$2:$J$245)=COLUMNS($A:A)),($S$2:$S$245))</f>
        <v>0</v>
      </c>
      <c r="N263" s="309">
        <f>SUMPRODUCT(($T$2:$T$245="EBAY")*($J$2:$J$245&gt;0)*(MONTH($J$2:$J$245)=COLUMNS($A:B)),($S$2:$S$245))</f>
        <v>0</v>
      </c>
      <c r="O263" s="309">
        <f>SUMPRODUCT(($T$2:$T$245="EBAY")*($J$2:$J$245&gt;0)*(MONTH($J$2:$J$245)=COLUMNS($A:C)),($S$2:$S$245))</f>
        <v>68.8</v>
      </c>
      <c r="P263" s="309">
        <f>SUMPRODUCT(($T$2:$T$245="EBAY")*($J$2:$J$245&gt;0)*(MONTH($J$2:$J$245)=COLUMNS($A:D)),($S$2:$S$245))</f>
        <v>109</v>
      </c>
      <c r="Q263" s="309">
        <f>SUMPRODUCT(($T$2:$T$245="EBAY")*($J$2:$J$245&gt;0)*(MONTH($J$2:$J$245)=COLUMNS($A:E)),($S$2:$S$245))</f>
        <v>393.61</v>
      </c>
      <c r="R263" s="309">
        <f>SUMPRODUCT(($T$2:$T$245="EBAY")*($J$2:$J$245&gt;0)*(MONTH($J$2:$J$245)=COLUMNS($A:F)),($S$2:$S$245))</f>
        <v>591.82999999999993</v>
      </c>
      <c r="S263" s="309">
        <f>SUMPRODUCT(($T$2:$T$245="EBAY")*($J$2:$J$245&gt;0)*(MONTH($J$2:$J$245)=COLUMNS($A:G)),($S$2:$S$245))</f>
        <v>256.14999999999998</v>
      </c>
      <c r="T263" s="309">
        <f t="array" ref="T263">SUMPRODUCT(($T$2:$T$245="EBAY")*($J$2:$J$245&gt;0)*(MONTH($J$2:$J$245)=COLUMNS($A:H)),($S$2:$S$245))</f>
        <v>505.05999999999995</v>
      </c>
      <c r="U263" s="309">
        <f t="array" ref="U263">SUMPRODUCT(($T$2:$T$245="EBAY")*($J$2:$J$245&gt;0)*(MONTH($J$2:$J$245)=COLUMNS($A:I)),($S$2:$S$245))</f>
        <v>521.8900000000001</v>
      </c>
      <c r="V263" s="309">
        <f t="array" ref="V263">SUMPRODUCT(($T$2:$T$245="EBAY")*($J$2:$J$245&gt;0)*(MONTH($J$2:$J$245)=COLUMNS($A:J)),($S$2:$S$245))</f>
        <v>985.96999999999969</v>
      </c>
      <c r="W263" s="309">
        <f t="array" ref="W263">SUMPRODUCT(($T$2:$T$245="EBAY")*($J$2:$J$245&gt;0)*(MONTH($J$2:$J$245)=COLUMNS($A:K)),($S$2:$S$245))</f>
        <v>310.80999999999995</v>
      </c>
      <c r="X263" s="309">
        <f t="array" ref="X263">SUMPRODUCT(($T$2:$T$245="EBAY")*($J$2:$J$245&gt;0)*(MONTH($J$2:$J$245)=COLUMNS($A:L)),($S$2:$S$245))</f>
        <v>790.64</v>
      </c>
      <c r="Y263" s="309">
        <f>SUM(M263:X263)</f>
        <v>4533.76</v>
      </c>
      <c r="Z263" s="310">
        <f>SUM(Y263/Y270)</f>
        <v>0.61284335711031901</v>
      </c>
      <c r="AA263" s="94"/>
      <c r="AB263" s="94"/>
      <c r="AC263" s="94"/>
      <c r="AD263" s="94"/>
    </row>
    <row r="264" spans="1:30" ht="6" customHeight="1">
      <c r="A264" s="45"/>
      <c r="B264" s="45"/>
      <c r="C264" s="45"/>
      <c r="D264" s="45"/>
      <c r="E264" s="237"/>
      <c r="F264" s="45"/>
      <c r="G264" s="311"/>
      <c r="H264" s="99"/>
      <c r="I264" s="99"/>
      <c r="J264" s="100"/>
      <c r="K264" s="100"/>
      <c r="L264" s="101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45"/>
      <c r="AA264" s="45"/>
      <c r="AB264" s="45"/>
      <c r="AC264" s="45"/>
      <c r="AD264" s="45"/>
    </row>
    <row r="265" spans="1:30" ht="15.75" customHeight="1">
      <c r="A265" s="45"/>
      <c r="B265" s="45"/>
      <c r="C265" s="45"/>
      <c r="D265" s="45"/>
      <c r="E265" s="237"/>
      <c r="F265" s="45"/>
      <c r="G265" s="404" t="s">
        <v>79</v>
      </c>
      <c r="H265" s="405"/>
      <c r="I265" s="405"/>
      <c r="J265" s="405"/>
      <c r="K265" s="405"/>
      <c r="L265" s="406"/>
      <c r="M265" s="303">
        <f t="array" ref="M265">SUMPRODUCT(($T$2:$T$245="LBC1")*($J$2:$J$245&gt;0)*(MONTH($J$2:$J$245)=COLUMNS($A:A)),($Q$2:$Q$245))</f>
        <v>60</v>
      </c>
      <c r="N265" s="303">
        <f t="array" ref="N265">SUMPRODUCT(($T$2:$T$245="LBC1")*($J$2:$J$245&gt;0)*(MONTH($J$2:$J$245)=COLUMNS($A:B)),($Q$2:$Q$245))</f>
        <v>0</v>
      </c>
      <c r="O265" s="303">
        <f t="array" ref="O265">SUMPRODUCT(($T$2:$T$245="LBC1")*($J$2:$J$245&gt;0)*(MONTH($J$2:$J$245)=COLUMNS($A:C)),($Q$2:$Q$245))</f>
        <v>40</v>
      </c>
      <c r="P265" s="303">
        <f t="array" ref="P265">SUMPRODUCT(($T$2:$T$245="LBC1")*($J$2:$J$245&gt;0)*(MONTH($J$2:$J$245)=COLUMNS($A:D)),($Q$2:$Q$245))</f>
        <v>120</v>
      </c>
      <c r="Q265" s="303">
        <f t="array" ref="Q265">SUMPRODUCT(($T$2:$T$245="LBC1")*($J$2:$J$245&gt;0)*(MONTH($J$2:$J$245)=COLUMNS($A:E)),($Q$2:$Q$245))</f>
        <v>435</v>
      </c>
      <c r="R265" s="303">
        <f t="array" ref="R265">SUMPRODUCT(($T$2:$T$245="LBC1")*($J$2:$J$245&gt;0)*(MONTH($J$2:$J$245)=COLUMNS($A:F)),($Q$2:$Q$245))</f>
        <v>345</v>
      </c>
      <c r="S265" s="303">
        <f t="array" ref="S265">SUMPRODUCT(($T$2:$T$245="LBC1")*($J$2:$J$245&gt;0)*(MONTH($J$2:$J$245)=COLUMNS($A:G)),($Q$2:$Q$245))</f>
        <v>405</v>
      </c>
      <c r="T265" s="303">
        <f t="array" ref="T265">SUMPRODUCT(($T$2:$T$245="LBC1")*($J$2:$J$245&gt;0)*(MONTH($J$2:$J$245)=COLUMNS($A:H)),($Q$2:$Q$245))</f>
        <v>395</v>
      </c>
      <c r="U265" s="303">
        <f t="array" ref="U265">SUMPRODUCT(($T$2:$T$245="LBC1")*($J$2:$J$245&gt;0)*(MONTH($J$2:$J$245)=COLUMNS($A:I)),($Q$2:$Q$245))</f>
        <v>755</v>
      </c>
      <c r="V265" s="303">
        <f t="array" ref="V265">SUMPRODUCT(($T$2:$T$245="LBC1")*($J$2:$J$245&gt;0)*(MONTH($J$2:$J$245)=COLUMNS($A:J)),($Q$2:$Q$245))</f>
        <v>408</v>
      </c>
      <c r="W265" s="303">
        <f t="array" ref="W265">SUMPRODUCT(($T$2:$T$245="LBC1")*($J$2:$J$245&gt;0)*(MONTH($J$2:$J$245)=COLUMNS($A:K)),($Q$2:$Q$245))</f>
        <v>610</v>
      </c>
      <c r="X265" s="303">
        <f t="array" ref="X265">SUMPRODUCT(($T$2:$T$245="LBC1")*($J$2:$J$245&gt;0)*(MONTH($J$2:$J$245)=COLUMNS($A:L)),($Q$2:$Q$245))</f>
        <v>520</v>
      </c>
      <c r="Y265" s="10"/>
      <c r="Z265" s="240">
        <f>SUM(Z266:Z268)</f>
        <v>2864.15</v>
      </c>
      <c r="AA265" s="45"/>
      <c r="AB265" s="45"/>
      <c r="AC265" s="45"/>
      <c r="AD265" s="45"/>
    </row>
    <row r="266" spans="1:30" ht="15.75" customHeight="1">
      <c r="A266" s="45"/>
      <c r="B266" s="45"/>
      <c r="C266" s="45"/>
      <c r="D266" s="45"/>
      <c r="E266" s="45"/>
      <c r="F266" s="45"/>
      <c r="G266" s="407" t="s">
        <v>80</v>
      </c>
      <c r="H266" s="408"/>
      <c r="I266" s="408"/>
      <c r="J266" s="408"/>
      <c r="K266" s="408"/>
      <c r="L266" s="409"/>
      <c r="M266" s="86">
        <f t="array" ref="M266">SUMPRODUCT(($T$2:$T$245="LBC1")*($J$2:$J$245&gt;0)*(MONTH($J$2:$J$245)=COLUMNS($A:A)),($S$2:$S$245))</f>
        <v>36</v>
      </c>
      <c r="N266" s="86">
        <f t="array" ref="N266">SUMPRODUCT(($T$2:$T$245="LBC1")*($J$2:$J$245&gt;0)*(MONTH($J$2:$J$245)=COLUMNS($A:B)),($S$2:$S$245))</f>
        <v>0</v>
      </c>
      <c r="O266" s="86">
        <f t="array" ref="O266">SUMPRODUCT(($T$2:$T$245="LBC1")*($J$2:$J$245&gt;0)*(MONTH($J$2:$J$245)=COLUMNS($A:C)),($S$2:$S$245))</f>
        <v>15</v>
      </c>
      <c r="P266" s="86">
        <f t="array" ref="P266">SUMPRODUCT(($T$2:$T$245="LBC1")*($J$2:$J$245&gt;0)*(MONTH($J$2:$J$245)=COLUMNS($A:D)),($S$2:$S$245))</f>
        <v>90</v>
      </c>
      <c r="Q266" s="86">
        <f t="array" ref="Q266">SUMPRODUCT(($T$2:$T$245="LBC1")*($J$2:$J$245&gt;0)*(MONTH($J$2:$J$245)=COLUMNS($A:E)),($S$2:$S$245))</f>
        <v>344.5</v>
      </c>
      <c r="R266" s="86">
        <f t="array" ref="R266">SUMPRODUCT(($T$2:$T$245="LBC1")*($J$2:$J$245&gt;0)*(MONTH($J$2:$J$245)=COLUMNS($A:F)),($S$2:$S$245))</f>
        <v>262</v>
      </c>
      <c r="S266" s="86">
        <f t="array" ref="S266">SUMPRODUCT(($T$2:$T$245="LBC1")*($J$2:$J$245&gt;0)*(MONTH($J$2:$J$245)=COLUMNS($A:G)),($S$2:$S$245))</f>
        <v>307.5</v>
      </c>
      <c r="T266" s="86">
        <f t="array" ref="T266">SUMPRODUCT(($T$2:$T$245="LBC1")*($J$2:$J$245&gt;0)*(MONTH($J$2:$J$245)=COLUMNS($A:H)),($S$2:$S$245))</f>
        <v>225.6</v>
      </c>
      <c r="U266" s="86">
        <f t="array" ref="U266">SUMPRODUCT(($T$2:$T$245="LBC1")*($J$2:$J$245&gt;0)*(MONTH($J$2:$J$245)=COLUMNS($A:I)),($S$2:$S$245))</f>
        <v>528</v>
      </c>
      <c r="V266" s="86">
        <f t="array" ref="V266">SUMPRODUCT(($T$2:$T$245="LBC1")*($J$2:$J$245&gt;0)*(MONTH($J$2:$J$245)=COLUMNS($A:J)),($S$2:$S$245))</f>
        <v>235</v>
      </c>
      <c r="W266" s="86">
        <f t="array" ref="W266">SUMPRODUCT(($T$2:$T$245="LBC1")*($J$2:$J$245&gt;0)*(MONTH($J$2:$J$245)=COLUMNS($A:K)),($S$2:$S$245))</f>
        <v>383.05</v>
      </c>
      <c r="X266" s="86">
        <f t="array" ref="X266">SUMPRODUCT(($T$2:$T$245="LBC1")*($J$2:$J$245&gt;0)*(MONTH($J$2:$J$245)=COLUMNS($A:L)),($S$2:$S$245))</f>
        <v>220</v>
      </c>
      <c r="Y266" s="86">
        <f>SUM(M266:X266)</f>
        <v>2646.65</v>
      </c>
      <c r="Z266" s="354">
        <f>SUM(M266:X266)</f>
        <v>2646.65</v>
      </c>
      <c r="AA266" s="236">
        <f t="shared" ref="AA266" si="43">SUM(3000-Y266)</f>
        <v>353.34999999999991</v>
      </c>
      <c r="AB266" s="45"/>
      <c r="AC266" s="45"/>
      <c r="AD266" s="45"/>
    </row>
    <row r="267" spans="1:30" ht="15.75" customHeight="1">
      <c r="A267" s="45"/>
      <c r="B267" s="45"/>
      <c r="C267" s="45"/>
      <c r="D267" s="45"/>
      <c r="E267" s="45"/>
      <c r="F267" s="45"/>
      <c r="G267" s="404" t="s">
        <v>81</v>
      </c>
      <c r="H267" s="405"/>
      <c r="I267" s="405"/>
      <c r="J267" s="405"/>
      <c r="K267" s="405"/>
      <c r="L267" s="406"/>
      <c r="M267" s="303">
        <f t="array" ref="M267">SUMPRODUCT(($T$2:$T$245="LBC2")*($J$2:$J$245&gt;0)*(MONTH($J$2:$J$245)=COLUMNS($A:A)),($Q$2:$Q$245))</f>
        <v>0</v>
      </c>
      <c r="N267" s="303">
        <f t="array" ref="N267">SUMPRODUCT(($T$2:$T$245="LBC2")*($J$2:$J$245&gt;0)*(MONTH($J$2:$J$245)=COLUMNS($A:B)),($Q$2:$Q$245))</f>
        <v>0</v>
      </c>
      <c r="O267" s="303">
        <f t="array" ref="O267">SUMPRODUCT(($T$2:$T$245="LBC2")*($J$2:$J$245&gt;0)*(MONTH($J$2:$J$245)=COLUMNS($A:C)),($Q$2:$Q$245))</f>
        <v>0</v>
      </c>
      <c r="P267" s="303">
        <f t="array" ref="P267">SUMPRODUCT(($T$2:$T$245="LBC2")*($J$2:$J$245&gt;0)*(MONTH($J$2:$J$245)=COLUMNS($A:D)),($Q$2:$Q$245))</f>
        <v>0</v>
      </c>
      <c r="Q267" s="303">
        <f t="array" ref="Q267">SUMPRODUCT(($T$2:$T$245="LBC2")*($J$2:$J$245&gt;0)*(MONTH($J$2:$J$245)=COLUMNS($A:E)),($Q$2:$Q$245))</f>
        <v>0</v>
      </c>
      <c r="R267" s="303">
        <f t="array" ref="R267">SUMPRODUCT(($T$2:$T$245="LBC2")*($J$2:$J$245&gt;0)*(MONTH($J$2:$J$245)=COLUMNS($A:F)),($Q$2:$Q$245))</f>
        <v>230</v>
      </c>
      <c r="S267" s="303">
        <f t="array" ref="S267">SUMPRODUCT(($T$2:$T$245="LBC2")*($J$2:$J$245&gt;0)*(MONTH($J$2:$J$245)=COLUMNS($A:G)),($Q$2:$Q$245))</f>
        <v>25</v>
      </c>
      <c r="T267" s="303">
        <f t="array" ref="T267">SUMPRODUCT(($T$2:$T$245="LBC2")*($J$2:$J$245&gt;0)*(MONTH($J$2:$J$245)=COLUMNS($A:H)),($Q$2:$Q$245))</f>
        <v>0</v>
      </c>
      <c r="U267" s="303">
        <f t="array" ref="U267">SUMPRODUCT(($T$2:$T$245="LBC2")*($J$2:$J$245&gt;0)*(MONTH($J$2:$J$245)=COLUMNS($A:I)),($Q$2:$Q$245))</f>
        <v>0</v>
      </c>
      <c r="V267" s="303">
        <f t="array" ref="V267">SUMPRODUCT(($T$2:$T$245="LBC2")*($J$2:$J$245&gt;0)*(MONTH($J$2:$J$245)=COLUMNS($A:J)),($Q$2:$Q$245))</f>
        <v>0</v>
      </c>
      <c r="W267" s="303">
        <f t="array" ref="W267">SUMPRODUCT(($T$2:$T$245="LBC2")*($J$2:$J$245&gt;0)*(MONTH($J$2:$J$245)=COLUMNS($A:K)),($Q$2:$Q$245))</f>
        <v>0</v>
      </c>
      <c r="X267" s="303">
        <f t="array" ref="X267">SUMPRODUCT(($T$2:$T$245="LBC2")*($J$2:$J$245&gt;0)*(MONTH($J$2:$J$245)=COLUMNS($A:L)),($Q$2:$Q$245))</f>
        <v>0</v>
      </c>
      <c r="Y267" s="86"/>
      <c r="Z267" s="312"/>
      <c r="AA267" s="236"/>
      <c r="AB267" s="45"/>
      <c r="AC267" s="45"/>
      <c r="AD267" s="45"/>
    </row>
    <row r="268" spans="1:30" ht="15.75" customHeight="1">
      <c r="A268" s="45"/>
      <c r="B268" s="45"/>
      <c r="C268" s="45"/>
      <c r="D268" s="45"/>
      <c r="E268" s="45"/>
      <c r="F268" s="45"/>
      <c r="G268" s="410" t="s">
        <v>82</v>
      </c>
      <c r="H268" s="411"/>
      <c r="I268" s="411"/>
      <c r="J268" s="411"/>
      <c r="K268" s="411"/>
      <c r="L268" s="393"/>
      <c r="M268" s="86">
        <f t="array" ref="M268">SUMPRODUCT(($T$2:$T$245="LBC2")*($J$2:$J$245&gt;0)*(MONTH($J$2:$J$245)=COLUMNS($A:A)),($S$2:$S$245))</f>
        <v>0</v>
      </c>
      <c r="N268" s="86">
        <f t="array" ref="N268">SUMPRODUCT(($T$2:$T$245="LBC2")*($J$2:$J$245&gt;0)*(MONTH($J$2:$J$245)=COLUMNS($A:B)),($S$2:$S$245))</f>
        <v>0</v>
      </c>
      <c r="O268" s="86">
        <f t="array" ref="O268">SUMPRODUCT(($T$2:$T$245="LBC2")*($J$2:$J$245&gt;0)*(MONTH($J$2:$J$245)=COLUMNS($A:C)),($S$2:$S$245))</f>
        <v>0</v>
      </c>
      <c r="P268" s="86">
        <f t="array" ref="P268">SUMPRODUCT(($T$2:$T$245="LBC2")*($J$2:$J$245&gt;0)*(MONTH($J$2:$J$245)=COLUMNS($A:D)),($S$2:$S$245))</f>
        <v>0</v>
      </c>
      <c r="Q268" s="86">
        <f t="array" ref="Q268">SUMPRODUCT(($T$2:$T$245="LBC2")*($J$2:$J$245&gt;0)*(MONTH($J$2:$J$245)=COLUMNS($A:E)),($S$2:$S$245))</f>
        <v>0</v>
      </c>
      <c r="R268" s="86">
        <f t="array" ref="R268">SUMPRODUCT(($T$2:$T$245="LBC2")*($J$2:$J$245&gt;0)*(MONTH($J$2:$J$245)=COLUMNS($A:F)),($S$2:$S$245))</f>
        <v>197.5</v>
      </c>
      <c r="S268" s="86">
        <f t="array" ref="S268">SUMPRODUCT(($T$2:$T$245="LBC2")*($J$2:$J$245&gt;0)*(MONTH($J$2:$J$245)=COLUMNS($A:G)),($S$2:$S$245))</f>
        <v>20</v>
      </c>
      <c r="T268" s="86">
        <f t="array" ref="T268">SUMPRODUCT(($T$2:$T$245="LBC2")*($J$2:$J$245&gt;0)*(MONTH($J$2:$J$245)=COLUMNS($A:H)),($S$2:$S$245))</f>
        <v>0</v>
      </c>
      <c r="U268" s="86">
        <f t="array" ref="U268">SUMPRODUCT(($T$2:$T$245="LBC2")*($J$2:$J$245&gt;0)*(MONTH($J$2:$J$245)=COLUMNS($A:I)),($S$2:$S$245))</f>
        <v>0</v>
      </c>
      <c r="V268" s="86">
        <f t="array" ref="V268">SUMPRODUCT(($T$2:$T$245="LBC2")*($J$2:$J$245&gt;0)*(MONTH($J$2:$J$245)=COLUMNS($A:J)),($S$2:$S$245))</f>
        <v>0</v>
      </c>
      <c r="W268" s="86">
        <f t="array" ref="W268">SUMPRODUCT(($T$2:$T$245="LBC2")*($J$2:$J$245&gt;0)*(MONTH($J$2:$J$245)=COLUMNS($A:K)),($S$2:$S$245))</f>
        <v>0</v>
      </c>
      <c r="X268" s="86">
        <f t="array" ref="X268">SUMPRODUCT(($T$2:$T$245="LBC2")*($J$2:$J$245&gt;0)*(MONTH($J$2:$J$245)=COLUMNS($A:L)),($S$2:$S$245))</f>
        <v>0</v>
      </c>
      <c r="Y268" s="86">
        <f>SUM(M268:X268)</f>
        <v>217.5</v>
      </c>
      <c r="Z268" s="354">
        <f>SUM(M268:X268)</f>
        <v>217.5</v>
      </c>
      <c r="AA268" s="236">
        <f t="shared" ref="AA268" si="44">SUM(3000-Y268)</f>
        <v>2782.5</v>
      </c>
      <c r="AB268" s="45"/>
      <c r="AC268" s="45"/>
      <c r="AD268" s="45"/>
    </row>
    <row r="269" spans="1:30" ht="15.75" customHeight="1">
      <c r="A269" s="94"/>
      <c r="B269" s="94"/>
      <c r="C269" s="94"/>
      <c r="D269" s="94"/>
      <c r="E269" s="94"/>
      <c r="F269" s="94"/>
      <c r="G269" s="401" t="s">
        <v>83</v>
      </c>
      <c r="H269" s="402"/>
      <c r="I269" s="402"/>
      <c r="J269" s="402"/>
      <c r="K269" s="402"/>
      <c r="L269" s="403"/>
      <c r="M269" s="309">
        <f>SUM(M266,M268)</f>
        <v>36</v>
      </c>
      <c r="N269" s="309">
        <f t="shared" ref="N269:X269" si="45">SUM(N266,N268)</f>
        <v>0</v>
      </c>
      <c r="O269" s="309">
        <f t="shared" si="45"/>
        <v>15</v>
      </c>
      <c r="P269" s="309">
        <f t="shared" si="45"/>
        <v>90</v>
      </c>
      <c r="Q269" s="309">
        <f t="shared" si="45"/>
        <v>344.5</v>
      </c>
      <c r="R269" s="309">
        <f t="shared" si="45"/>
        <v>459.5</v>
      </c>
      <c r="S269" s="309">
        <f t="shared" si="45"/>
        <v>327.5</v>
      </c>
      <c r="T269" s="309">
        <f t="shared" si="45"/>
        <v>225.6</v>
      </c>
      <c r="U269" s="309">
        <f t="shared" si="45"/>
        <v>528</v>
      </c>
      <c r="V269" s="309">
        <f t="shared" si="45"/>
        <v>235</v>
      </c>
      <c r="W269" s="309">
        <f t="shared" si="45"/>
        <v>383.05</v>
      </c>
      <c r="X269" s="309">
        <f t="shared" si="45"/>
        <v>220</v>
      </c>
      <c r="Y269" s="309">
        <f>SUM(Y266,Y268)</f>
        <v>2864.15</v>
      </c>
      <c r="Z269" s="310">
        <f>SUM(Y269/Y270)</f>
        <v>0.38715664288968105</v>
      </c>
      <c r="AA269" s="107"/>
      <c r="AB269" s="94"/>
      <c r="AC269" s="94"/>
      <c r="AD269" s="94"/>
    </row>
    <row r="270" spans="1:30" s="316" customFormat="1" ht="15.75" customHeight="1">
      <c r="A270" s="313"/>
      <c r="B270" s="313"/>
      <c r="C270" s="313"/>
      <c r="D270" s="313"/>
      <c r="E270" s="313"/>
      <c r="F270" s="313"/>
      <c r="G270" s="426" t="s">
        <v>84</v>
      </c>
      <c r="H270" s="427"/>
      <c r="I270" s="427"/>
      <c r="J270" s="427"/>
      <c r="K270" s="427"/>
      <c r="L270" s="428"/>
      <c r="M270" s="314">
        <f>SUM(M263+M266+M268)</f>
        <v>36</v>
      </c>
      <c r="N270" s="314">
        <f t="shared" ref="N270:W270" si="46">SUM(N263+N266+N268)</f>
        <v>0</v>
      </c>
      <c r="O270" s="314">
        <f t="shared" si="46"/>
        <v>83.8</v>
      </c>
      <c r="P270" s="314">
        <f>SUM(P263+P266+P268)</f>
        <v>199</v>
      </c>
      <c r="Q270" s="314">
        <f t="shared" si="46"/>
        <v>738.11</v>
      </c>
      <c r="R270" s="314">
        <f t="shared" si="46"/>
        <v>1051.33</v>
      </c>
      <c r="S270" s="314">
        <f t="shared" si="46"/>
        <v>583.65</v>
      </c>
      <c r="T270" s="314">
        <f t="shared" si="46"/>
        <v>730.66</v>
      </c>
      <c r="U270" s="314">
        <f t="shared" si="46"/>
        <v>1049.8900000000001</v>
      </c>
      <c r="V270" s="314">
        <f t="shared" si="46"/>
        <v>1220.9699999999998</v>
      </c>
      <c r="W270" s="314">
        <f t="shared" si="46"/>
        <v>693.8599999999999</v>
      </c>
      <c r="X270" s="314">
        <f>SUM(X263+X266+X268)</f>
        <v>1010.64</v>
      </c>
      <c r="Y270" s="314">
        <f>SUM(Y263:Y268)</f>
        <v>7397.91</v>
      </c>
      <c r="Z270" s="313"/>
      <c r="AA270" s="315">
        <f>SUM(M269:X269)</f>
        <v>2864.15</v>
      </c>
      <c r="AB270" s="313"/>
      <c r="AC270" s="313"/>
      <c r="AD270" s="313"/>
    </row>
    <row r="271" spans="1:30" ht="9.6" customHeight="1">
      <c r="A271" s="45"/>
      <c r="B271" s="45"/>
      <c r="C271" s="45"/>
      <c r="D271" s="45"/>
      <c r="E271" s="45"/>
      <c r="F271" s="45"/>
      <c r="G271" s="317"/>
      <c r="H271" s="318"/>
      <c r="I271" s="318"/>
      <c r="J271" s="319"/>
      <c r="K271" s="319"/>
      <c r="L271" s="320" t="s">
        <v>85</v>
      </c>
      <c r="M271" s="321">
        <f>SUM(M270/Y270)</f>
        <v>4.8662392486526597E-3</v>
      </c>
      <c r="N271" s="321">
        <f>SUM(N270/Y270)</f>
        <v>0</v>
      </c>
      <c r="O271" s="321">
        <f>SUM(O270/Y270)</f>
        <v>1.1327523584363692E-2</v>
      </c>
      <c r="P271" s="321">
        <f>SUM(P270/Y270)</f>
        <v>2.6899489180052204E-2</v>
      </c>
      <c r="Q271" s="321">
        <f>SUM(Q270/Y270)</f>
        <v>9.9772773661750414E-2</v>
      </c>
      <c r="R271" s="321">
        <f>SUM(R270/Y270)</f>
        <v>0.14211175859127781</v>
      </c>
      <c r="S271" s="321">
        <f>SUM(S270/Y270)</f>
        <v>7.8893903818781252E-2</v>
      </c>
      <c r="T271" s="321">
        <f>SUM(T270/Y270)</f>
        <v>9.8765732483904231E-2</v>
      </c>
      <c r="U271" s="321">
        <f>SUM(U270/Y270)</f>
        <v>0.14191710902133173</v>
      </c>
      <c r="V271" s="321">
        <f>SUM(V270/Y270)</f>
        <v>0.16504255931742881</v>
      </c>
      <c r="W271" s="321">
        <f>SUM(W270/Y270)</f>
        <v>9.3791354585281511E-2</v>
      </c>
      <c r="X271" s="321">
        <f>SUM(X270/Y270)</f>
        <v>0.13661155650717569</v>
      </c>
      <c r="Y271" s="321">
        <f>SUM(Y270/Y270)</f>
        <v>1</v>
      </c>
      <c r="Z271" s="237"/>
      <c r="AA271" s="237"/>
      <c r="AB271" s="45"/>
      <c r="AC271" s="45"/>
      <c r="AD271" s="45"/>
    </row>
    <row r="272" spans="1:30" ht="8.4499999999999993" customHeight="1">
      <c r="A272" s="45"/>
      <c r="B272" s="45"/>
      <c r="C272" s="45"/>
      <c r="D272" s="45"/>
      <c r="E272" s="237"/>
      <c r="F272" s="45"/>
      <c r="G272" s="311"/>
      <c r="H272" s="99"/>
      <c r="I272" s="99"/>
      <c r="J272" s="100"/>
      <c r="K272" s="100"/>
      <c r="L272" s="101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45"/>
      <c r="AA272" s="45"/>
      <c r="AB272" s="45"/>
      <c r="AC272" s="45"/>
      <c r="AD272" s="45"/>
    </row>
    <row r="273" spans="1:30" ht="8.4499999999999993" customHeight="1">
      <c r="A273" s="45"/>
      <c r="B273" s="45"/>
      <c r="C273" s="45"/>
      <c r="D273" s="45"/>
      <c r="E273" s="237"/>
      <c r="F273" s="45"/>
      <c r="G273" s="113"/>
      <c r="H273" s="113"/>
      <c r="I273" s="113"/>
      <c r="J273" s="114"/>
      <c r="K273" s="114"/>
      <c r="L273" s="113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45"/>
      <c r="AA273" s="45"/>
      <c r="AB273" s="45"/>
      <c r="AC273" s="45"/>
      <c r="AD273" s="45"/>
    </row>
    <row r="274" spans="1:30" ht="15.75" customHeight="1">
      <c r="A274" s="45"/>
      <c r="B274" s="45"/>
      <c r="C274" s="45"/>
      <c r="D274" s="45"/>
      <c r="E274" s="45"/>
      <c r="F274" s="45"/>
      <c r="G274" s="429" t="s">
        <v>86</v>
      </c>
      <c r="H274" s="429"/>
      <c r="I274" s="429"/>
      <c r="J274" s="429"/>
      <c r="K274" s="429"/>
      <c r="L274" s="429"/>
      <c r="M274" s="322">
        <f t="shared" ref="M274:X274" si="47">SUM(M260+M265+M267)</f>
        <v>60</v>
      </c>
      <c r="N274" s="322">
        <f t="shared" si="47"/>
        <v>0</v>
      </c>
      <c r="O274" s="322">
        <f t="shared" si="47"/>
        <v>133.80000000000001</v>
      </c>
      <c r="P274" s="322">
        <f t="shared" si="47"/>
        <v>259</v>
      </c>
      <c r="Q274" s="322">
        <f t="shared" si="47"/>
        <v>951.05</v>
      </c>
      <c r="R274" s="322">
        <f t="shared" si="47"/>
        <v>1419.2999999999997</v>
      </c>
      <c r="S274" s="322">
        <f t="shared" si="47"/>
        <v>837.55</v>
      </c>
      <c r="T274" s="322">
        <f t="shared" si="47"/>
        <v>1230.1499999999999</v>
      </c>
      <c r="U274" s="322">
        <f t="shared" si="47"/>
        <v>1513.5499999999997</v>
      </c>
      <c r="V274" s="322">
        <f t="shared" si="47"/>
        <v>1948.3000000000004</v>
      </c>
      <c r="W274" s="322">
        <f t="shared" si="47"/>
        <v>1174.5099999999998</v>
      </c>
      <c r="X274" s="322">
        <f t="shared" si="47"/>
        <v>1795.95</v>
      </c>
      <c r="Y274" s="322">
        <f>SUM(M274:X274)</f>
        <v>11323.160000000002</v>
      </c>
      <c r="Z274" s="45"/>
      <c r="AA274" s="45"/>
      <c r="AB274" s="45"/>
      <c r="AC274" s="45"/>
      <c r="AD274" s="45"/>
    </row>
    <row r="275" spans="1:30" ht="12" customHeight="1">
      <c r="A275" s="45"/>
      <c r="B275" s="45"/>
      <c r="C275" s="45"/>
      <c r="D275" s="45"/>
      <c r="E275" s="45"/>
      <c r="F275" s="45"/>
      <c r="G275" s="430" t="s">
        <v>87</v>
      </c>
      <c r="H275" s="431"/>
      <c r="I275" s="431"/>
      <c r="J275" s="431"/>
      <c r="K275" s="431"/>
      <c r="L275" s="432"/>
      <c r="M275" s="323">
        <f t="array" aca="1" ref="M275" ca="1">IFERROR(SUM(_xlfn._xlws.FILTER($G$2:$G$245,TEXT($E$2:$E$245,"mmmm")=M$258)),0)</f>
        <v>0</v>
      </c>
      <c r="N275" s="323">
        <f t="array" aca="1" ref="N275" ca="1">IFERROR(SUM(_xlfn._xlws.FILTER($G$2:$G$245,TEXT($E$2:$E$245,"mmmm")=N$258)),0)</f>
        <v>0</v>
      </c>
      <c r="O275" s="323">
        <f t="array" aca="1" ref="O275" ca="1">IFERROR(SUM(_xlfn._xlws.FILTER($G$2:$G$245,TEXT($E$2:$E$245,"mmmm")=O$258)),0)</f>
        <v>0</v>
      </c>
      <c r="P275" s="323">
        <f t="array" aca="1" ref="P275" ca="1">IFERROR(SUM(_xlfn._xlws.FILTER($G$2:$G$245,TEXT($E$2:$E$245,"mmmm")=P$258)),0)</f>
        <v>0</v>
      </c>
      <c r="Q275" s="323">
        <f t="array" aca="1" ref="Q275" ca="1">IFERROR(SUM(_xlfn._xlws.FILTER($G$2:$G$245,TEXT($E$2:$E$245,"mmmm")=Q$258)),0)</f>
        <v>0</v>
      </c>
      <c r="R275" s="323">
        <f t="array" aca="1" ref="R275" ca="1">IFERROR(SUM(_xlfn._xlws.FILTER($G$2:$G$245,TEXT($E$2:$E$245,"mmmm")=R$258)),0)</f>
        <v>0</v>
      </c>
      <c r="S275" s="323">
        <f t="array" aca="1" ref="S275" ca="1">IFERROR(SUM(_xlfn._xlws.FILTER($G$2:$G$245,TEXT($E$2:$E$245,"mmmm")=S$258)),0)</f>
        <v>0</v>
      </c>
      <c r="T275" s="323">
        <f t="array" aca="1" ref="T275" ca="1">IFERROR(SUM(_xlfn._xlws.FILTER($G$2:$G$245,TEXT($E$2:$E$245,"mmmm")=T$258)),0)</f>
        <v>0</v>
      </c>
      <c r="U275" s="323">
        <f t="array" aca="1" ref="U275" ca="1">IFERROR(SUM(_xlfn._xlws.FILTER($G$2:$G$245,TEXT($E$2:$E$245,"mmmm")=U$258)),0)</f>
        <v>0</v>
      </c>
      <c r="V275" s="323">
        <f t="array" aca="1" ref="V275" ca="1">IFERROR(SUM(_xlfn._xlws.FILTER($G$2:$G$245,TEXT($E$2:$E$245,"mmmm")=V$258)),0)</f>
        <v>0</v>
      </c>
      <c r="W275" s="323">
        <f t="array" aca="1" ref="W275" ca="1">IFERROR(SUM(_xlfn._xlws.FILTER($G$2:$G$245,TEXT($E$2:$E$245,"mmmm")=W$258)),0)</f>
        <v>0</v>
      </c>
      <c r="X275" s="323">
        <f t="array" aca="1" ref="X275" ca="1">IFERROR(SUM(_xlfn._xlws.FILTER($G$2:$G$245,TEXT($E$2:$E$245,"mmmm")=X$258)),0)</f>
        <v>0</v>
      </c>
      <c r="Y275" s="397">
        <f ca="1">SUM(M275:X275)</f>
        <v>0</v>
      </c>
      <c r="Z275" s="45"/>
      <c r="AA275" s="45"/>
      <c r="AB275" s="45"/>
      <c r="AC275" s="45"/>
      <c r="AD275" s="45"/>
    </row>
    <row r="276" spans="1:30" s="325" customFormat="1" ht="9.6" customHeight="1">
      <c r="A276" s="14"/>
      <c r="B276" s="14"/>
      <c r="C276" s="14"/>
      <c r="D276" s="14"/>
      <c r="E276" s="14"/>
      <c r="F276" s="14"/>
      <c r="G276" s="433"/>
      <c r="H276" s="434"/>
      <c r="I276" s="434"/>
      <c r="J276" s="434"/>
      <c r="K276" s="434"/>
      <c r="L276" s="435"/>
      <c r="M276" s="324" t="e">
        <f ca="1">SUM(M275/Y275)</f>
        <v>#DIV/0!</v>
      </c>
      <c r="N276" s="324" t="e">
        <f ca="1">SUM(N275/Y275)</f>
        <v>#DIV/0!</v>
      </c>
      <c r="O276" s="324" t="e">
        <f ca="1">SUM(O275/Y275)</f>
        <v>#DIV/0!</v>
      </c>
      <c r="P276" s="324" t="e">
        <f ca="1">SUM(P275/Y275)</f>
        <v>#DIV/0!</v>
      </c>
      <c r="Q276" s="324" t="e">
        <f ca="1">SUM(Q275/Y275)</f>
        <v>#DIV/0!</v>
      </c>
      <c r="R276" s="324" t="e">
        <f ca="1">SUM(R275/Y275)</f>
        <v>#DIV/0!</v>
      </c>
      <c r="S276" s="324" t="e">
        <f ca="1">SUM(S275/Y275)</f>
        <v>#DIV/0!</v>
      </c>
      <c r="T276" s="324" t="e">
        <f ca="1">SUM(T275/Y275)</f>
        <v>#DIV/0!</v>
      </c>
      <c r="U276" s="324" t="e">
        <f ca="1">SUM(U275/Y275)</f>
        <v>#DIV/0!</v>
      </c>
      <c r="V276" s="324" t="e">
        <f ca="1">SUM(V275/Y275)</f>
        <v>#DIV/0!</v>
      </c>
      <c r="W276" s="324" t="e">
        <f ca="1">SUM(W275/Y275)</f>
        <v>#DIV/0!</v>
      </c>
      <c r="X276" s="324" t="e">
        <f ca="1">SUM(X275/Y275)</f>
        <v>#DIV/0!</v>
      </c>
      <c r="Y276" s="398"/>
      <c r="Z276" s="14"/>
      <c r="AA276" s="14"/>
      <c r="AB276" s="14"/>
      <c r="AC276" s="14"/>
      <c r="AD276" s="14"/>
    </row>
    <row r="277" spans="1:30" ht="15.75" customHeight="1">
      <c r="A277" s="45"/>
      <c r="B277" s="45"/>
      <c r="C277" s="45"/>
      <c r="D277" s="45"/>
      <c r="E277" s="45"/>
      <c r="F277" s="45"/>
      <c r="G277" s="399" t="s">
        <v>118</v>
      </c>
      <c r="H277" s="399"/>
      <c r="I277" s="399"/>
      <c r="J277" s="399"/>
      <c r="K277" s="399"/>
      <c r="L277" s="399"/>
      <c r="M277" s="326">
        <f t="array" aca="1" ref="M277" ca="1">IFERROR(SUM(_xlfn._xlws.FILTER($H$2:$H$245,TEXT($E$2:$E$245,"mmmm")=M$258)),0)</f>
        <v>0</v>
      </c>
      <c r="N277" s="326">
        <f t="array" aca="1" ref="N277" ca="1">IFERROR(SUM(_xlfn._xlws.FILTER($H$2:$H$245,TEXT($E$2:$E$245,"mmmm")=N$258)),0)</f>
        <v>0</v>
      </c>
      <c r="O277" s="326">
        <f t="array" aca="1" ref="O277" ca="1">IFERROR(SUM(_xlfn._xlws.FILTER($H$2:$H$245,TEXT($E$2:$E$245,"mmmm")=O$258)),0)</f>
        <v>0</v>
      </c>
      <c r="P277" s="326">
        <f t="array" aca="1" ref="P277" ca="1">IFERROR(SUM(_xlfn._xlws.FILTER($H$2:$H$245,TEXT($E$2:$E$245,"mmmm")=P$258)),0)</f>
        <v>0</v>
      </c>
      <c r="Q277" s="326">
        <f t="array" aca="1" ref="Q277" ca="1">IFERROR(SUM(_xlfn._xlws.FILTER($H$2:$H$245,TEXT($E$2:$E$245,"mmmm")=Q$258)),0)</f>
        <v>0</v>
      </c>
      <c r="R277" s="326">
        <f t="array" aca="1" ref="R277" ca="1">IFERROR(SUM(_xlfn._xlws.FILTER($H$2:$H$245,TEXT($E$2:$E$245,"mmmm")=R$258)),0)</f>
        <v>0</v>
      </c>
      <c r="S277" s="326">
        <f t="array" aca="1" ref="S277" ca="1">IFERROR(SUM(_xlfn._xlws.FILTER($H$2:$H$245,TEXT($E$2:$E$245,"mmmm")=S$258)),0)</f>
        <v>0</v>
      </c>
      <c r="T277" s="326">
        <f t="array" aca="1" ref="T277" ca="1">IFERROR(SUM(_xlfn._xlws.FILTER($H$2:$H$245,TEXT($E$2:$E$245,"mmmm")=T$258)),0)</f>
        <v>0</v>
      </c>
      <c r="U277" s="326">
        <f t="array" aca="1" ref="U277" ca="1">IFERROR(SUM(_xlfn._xlws.FILTER($H$2:$H$245,TEXT($E$2:$E$245,"mmmm")=U$258)),0)</f>
        <v>0</v>
      </c>
      <c r="V277" s="326">
        <f t="array" aca="1" ref="V277" ca="1">IFERROR(SUM(_xlfn._xlws.FILTER($H$2:$H$245,TEXT($E$2:$E$245,"mmmm")=V$258)),0)</f>
        <v>0</v>
      </c>
      <c r="W277" s="326">
        <f t="array" aca="1" ref="W277" ca="1">IFERROR(SUM(_xlfn._xlws.FILTER($H$2:$H$245,TEXT($E$2:$E$245,"mmmm")=W$258)),0)</f>
        <v>0</v>
      </c>
      <c r="X277" s="326">
        <f t="array" aca="1" ref="X277" ca="1">IFERROR(SUM(_xlfn._xlws.FILTER($H$2:$H$245,TEXT($E$2:$E$245,"mmmm")=X$258)),0)</f>
        <v>0</v>
      </c>
      <c r="Y277" s="326">
        <f ca="1">SUM(M277:X277)</f>
        <v>0</v>
      </c>
      <c r="Z277" s="45"/>
      <c r="AA277" s="45"/>
      <c r="AB277" s="45"/>
      <c r="AC277" s="45"/>
      <c r="AD277" s="45"/>
    </row>
    <row r="278" spans="1:30" ht="15.75" customHeight="1">
      <c r="A278" s="45"/>
      <c r="B278" s="45"/>
      <c r="C278" s="45"/>
      <c r="D278" s="45"/>
      <c r="E278" s="45"/>
      <c r="F278" s="45"/>
      <c r="G278" s="400" t="s">
        <v>89</v>
      </c>
      <c r="H278" s="400"/>
      <c r="I278" s="400"/>
      <c r="J278" s="400"/>
      <c r="K278" s="400"/>
      <c r="L278" s="400"/>
      <c r="M278" s="327">
        <f ca="1">SUM(M274-M275-M277)</f>
        <v>60</v>
      </c>
      <c r="N278" s="327">
        <f t="shared" ref="N278:X278" ca="1" si="48">SUM(N274-N275-N277)</f>
        <v>0</v>
      </c>
      <c r="O278" s="327">
        <f t="shared" ca="1" si="48"/>
        <v>133.80000000000001</v>
      </c>
      <c r="P278" s="327">
        <f t="shared" ca="1" si="48"/>
        <v>259</v>
      </c>
      <c r="Q278" s="327">
        <f t="shared" ca="1" si="48"/>
        <v>951.05</v>
      </c>
      <c r="R278" s="327">
        <f t="shared" ca="1" si="48"/>
        <v>1419.2999999999997</v>
      </c>
      <c r="S278" s="327">
        <f t="shared" ca="1" si="48"/>
        <v>837.55</v>
      </c>
      <c r="T278" s="327">
        <f t="shared" ca="1" si="48"/>
        <v>1230.1499999999999</v>
      </c>
      <c r="U278" s="327">
        <f t="shared" ca="1" si="48"/>
        <v>1513.5499999999997</v>
      </c>
      <c r="V278" s="327">
        <f t="shared" ca="1" si="48"/>
        <v>1948.3000000000004</v>
      </c>
      <c r="W278" s="327">
        <f t="shared" ca="1" si="48"/>
        <v>1174.5099999999998</v>
      </c>
      <c r="X278" s="327">
        <f t="shared" ca="1" si="48"/>
        <v>1795.95</v>
      </c>
      <c r="Y278" s="327"/>
      <c r="Z278" s="45"/>
      <c r="AA278" s="45"/>
      <c r="AB278" s="45"/>
      <c r="AC278" s="45"/>
      <c r="AD278" s="45"/>
    </row>
    <row r="279" spans="1:30" ht="15.75" customHeight="1">
      <c r="A279" s="45"/>
      <c r="B279" s="45"/>
      <c r="C279" s="45"/>
      <c r="D279" s="45"/>
      <c r="E279" s="45"/>
      <c r="F279" s="45"/>
      <c r="G279" s="108"/>
      <c r="H279" s="45"/>
      <c r="I279" s="45"/>
      <c r="J279" s="328"/>
      <c r="K279" s="328"/>
      <c r="L279" s="299"/>
      <c r="M279" s="329"/>
      <c r="N279" s="128"/>
      <c r="O279" s="128"/>
      <c r="P279" s="128"/>
      <c r="Q279" s="128"/>
      <c r="R279" s="128"/>
      <c r="S279" s="128"/>
      <c r="T279" s="128"/>
      <c r="U279" s="128"/>
      <c r="V279" s="128"/>
      <c r="W279" s="128"/>
      <c r="X279" s="128"/>
      <c r="Y279" s="128"/>
      <c r="Z279" s="45"/>
      <c r="AA279" s="45"/>
      <c r="AB279" s="45"/>
      <c r="AC279" s="45"/>
      <c r="AD279" s="45"/>
    </row>
    <row r="280" spans="1:30" ht="15.75" customHeight="1">
      <c r="A280" s="45"/>
      <c r="B280" s="45"/>
      <c r="C280" s="45"/>
      <c r="D280" s="45"/>
      <c r="E280" s="45"/>
      <c r="F280" s="45"/>
      <c r="G280" s="108"/>
      <c r="H280" s="45"/>
      <c r="I280" s="45"/>
      <c r="J280" s="48"/>
      <c r="K280" s="48"/>
      <c r="L280" s="45"/>
      <c r="M280" s="81" t="s">
        <v>119</v>
      </c>
      <c r="N280" s="81" t="s">
        <v>120</v>
      </c>
      <c r="O280" s="81" t="s">
        <v>121</v>
      </c>
      <c r="P280" s="81" t="s">
        <v>122</v>
      </c>
      <c r="Q280" s="81" t="s">
        <v>123</v>
      </c>
      <c r="R280" s="81" t="s">
        <v>124</v>
      </c>
      <c r="S280" s="81" t="s">
        <v>125</v>
      </c>
      <c r="T280" s="81" t="s">
        <v>126</v>
      </c>
      <c r="U280" s="330" t="s">
        <v>127</v>
      </c>
      <c r="V280" s="331" t="s">
        <v>128</v>
      </c>
      <c r="W280" s="330" t="s">
        <v>129</v>
      </c>
      <c r="X280" s="330" t="s">
        <v>130</v>
      </c>
      <c r="Y280" s="129" t="s">
        <v>41</v>
      </c>
      <c r="Z280" s="14" t="s">
        <v>43</v>
      </c>
      <c r="AA280" s="45"/>
      <c r="AB280" s="45"/>
      <c r="AC280" s="45"/>
      <c r="AD280" s="45"/>
    </row>
    <row r="281" spans="1:30" ht="15.75" customHeight="1">
      <c r="A281" s="45"/>
      <c r="B281" s="45"/>
      <c r="C281" s="45"/>
      <c r="D281" s="45"/>
      <c r="E281" s="45"/>
      <c r="F281" s="45"/>
      <c r="G281" s="45"/>
      <c r="H281" s="45"/>
      <c r="I281" s="45"/>
      <c r="J281" s="446" t="s">
        <v>90</v>
      </c>
      <c r="K281" s="413"/>
      <c r="L281" s="383"/>
      <c r="M281" s="332">
        <f ca="1">COUNTIFS($T:$T,"LBC1",$K:$K,1)</f>
        <v>2</v>
      </c>
      <c r="N281" s="332">
        <f ca="1">COUNTIFS($T:$T,"LBC1",$K:$K,2)</f>
        <v>0</v>
      </c>
      <c r="O281" s="332">
        <f ca="1">COUNTIFS($T:$T,"LBC1",$K:$K,3)</f>
        <v>1</v>
      </c>
      <c r="P281" s="332">
        <f ca="1">COUNTIFS($T:$T,"LBC1",$K:$K,4)</f>
        <v>2</v>
      </c>
      <c r="Q281" s="332">
        <f ca="1">COUNTIFS($T:$T,"LBC1",$K:$K,5)</f>
        <v>8</v>
      </c>
      <c r="R281" s="332">
        <f ca="1">COUNTIFS($T:$T,"LBC1",$K:$K,6)</f>
        <v>5</v>
      </c>
      <c r="S281" s="332">
        <f ca="1">COUNTIFS($T:$T,"LBC1",$K:$K,7)</f>
        <v>8</v>
      </c>
      <c r="T281" s="332">
        <f ca="1">COUNTIFS($T:$T,"LBC1",$K:$K,8)</f>
        <v>9</v>
      </c>
      <c r="U281" s="332">
        <f ca="1">COUNTIFS($T:$T,"LBC1",$K:$K,9)</f>
        <v>17</v>
      </c>
      <c r="V281" s="333">
        <f ca="1">COUNTIFS($T:$T,"LBC1",$K:$K,10)</f>
        <v>8</v>
      </c>
      <c r="W281" s="332">
        <f ca="1">COUNTIFS($T:$T,"LBC1",$K:$K,11)</f>
        <v>7</v>
      </c>
      <c r="X281" s="332">
        <f ca="1">COUNTIFS($T:$T,"LBC1",$K:$K,12)</f>
        <v>6</v>
      </c>
      <c r="Y281" s="332">
        <f ca="1">SUM(M281:X281)</f>
        <v>73</v>
      </c>
      <c r="Z281" s="14"/>
      <c r="AA281" s="45"/>
      <c r="AB281" s="45"/>
      <c r="AC281" s="45"/>
      <c r="AD281" s="45"/>
    </row>
    <row r="282" spans="1:30" ht="15.75" customHeight="1">
      <c r="A282" s="45"/>
      <c r="B282" s="45"/>
      <c r="C282" s="45"/>
      <c r="D282" s="45"/>
      <c r="E282" s="45"/>
      <c r="F282" s="45"/>
      <c r="G282" s="45"/>
      <c r="H282" s="45"/>
      <c r="I282" s="45"/>
      <c r="J282" s="412" t="s">
        <v>91</v>
      </c>
      <c r="K282" s="413"/>
      <c r="L282" s="383"/>
      <c r="M282" s="334">
        <f ca="1">COUNTIFS($T:$T,"LBC2",$K:$K,1)</f>
        <v>0</v>
      </c>
      <c r="N282" s="334">
        <f ca="1">COUNTIFS($T:$T,"LBC2",$K:$K,2)</f>
        <v>0</v>
      </c>
      <c r="O282" s="334">
        <f ca="1">COUNTIFS($T:$T,"LBC2",$K:$K,3)</f>
        <v>0</v>
      </c>
      <c r="P282" s="334">
        <f ca="1">COUNTIFS($T:$T,"LBC2",$K:$K,4)</f>
        <v>0</v>
      </c>
      <c r="Q282" s="334">
        <f ca="1">COUNTIFS($T:$T,"LBC2",$K:$K,5)</f>
        <v>0</v>
      </c>
      <c r="R282" s="334">
        <f ca="1">COUNTIFS($T:$T,"LBC2",$K:$K,6)</f>
        <v>5</v>
      </c>
      <c r="S282" s="334">
        <f ca="1">COUNTIFS($T:$T,"LBC2",$K:$K,7)</f>
        <v>1</v>
      </c>
      <c r="T282" s="334">
        <f ca="1">COUNTIFS($T:$T,"LBC2",$K:$K,8)</f>
        <v>0</v>
      </c>
      <c r="U282" s="334">
        <f ca="1">COUNTIFS($T:$T,"LBC2",$K:$K,9)</f>
        <v>0</v>
      </c>
      <c r="V282" s="335">
        <f ca="1">COUNTIFS($T:$T,"LBC2",$K:$K,10)</f>
        <v>0</v>
      </c>
      <c r="W282" s="334">
        <f ca="1">COUNTIFS($T:$T,"LBC2",$K:$K,11)</f>
        <v>0</v>
      </c>
      <c r="X282" s="334">
        <f ca="1">COUNTIFS($T:$T,"LBC2",$K:$K,12)</f>
        <v>0</v>
      </c>
      <c r="Y282" s="334">
        <f ca="1">SUM(M282:X282)</f>
        <v>6</v>
      </c>
      <c r="Z282" s="14"/>
      <c r="AA282" s="45"/>
      <c r="AB282" s="45"/>
      <c r="AC282" s="45"/>
      <c r="AD282" s="45"/>
    </row>
    <row r="283" spans="1:30" ht="15.75" customHeight="1">
      <c r="A283" s="45"/>
      <c r="B283" s="45"/>
      <c r="C283" s="45"/>
      <c r="D283" s="45"/>
      <c r="E283" s="45"/>
      <c r="F283" s="45"/>
      <c r="G283" s="45"/>
      <c r="H283" s="45"/>
      <c r="I283" s="45"/>
      <c r="J283" s="414" t="s">
        <v>131</v>
      </c>
      <c r="K283" s="413"/>
      <c r="L283" s="383"/>
      <c r="M283" s="336">
        <f t="shared" ref="M283:Y283" ca="1" si="49">SUM(M281:M282)</f>
        <v>2</v>
      </c>
      <c r="N283" s="336">
        <f t="shared" ca="1" si="49"/>
        <v>0</v>
      </c>
      <c r="O283" s="336">
        <f t="shared" ca="1" si="49"/>
        <v>1</v>
      </c>
      <c r="P283" s="336">
        <f t="shared" ca="1" si="49"/>
        <v>2</v>
      </c>
      <c r="Q283" s="336">
        <f t="shared" ca="1" si="49"/>
        <v>8</v>
      </c>
      <c r="R283" s="336">
        <f t="shared" ca="1" si="49"/>
        <v>10</v>
      </c>
      <c r="S283" s="336">
        <f t="shared" ca="1" si="49"/>
        <v>9</v>
      </c>
      <c r="T283" s="336">
        <f t="shared" ca="1" si="49"/>
        <v>9</v>
      </c>
      <c r="U283" s="336">
        <f t="shared" ca="1" si="49"/>
        <v>17</v>
      </c>
      <c r="V283" s="337">
        <f t="shared" ca="1" si="49"/>
        <v>8</v>
      </c>
      <c r="W283" s="336">
        <f t="shared" ca="1" si="49"/>
        <v>7</v>
      </c>
      <c r="X283" s="336">
        <f t="shared" ca="1" si="49"/>
        <v>6</v>
      </c>
      <c r="Y283" s="336">
        <f t="shared" ca="1" si="49"/>
        <v>79</v>
      </c>
      <c r="Z283" s="128">
        <f ca="1">SUM(Y283/Y285)</f>
        <v>0.41578947368421054</v>
      </c>
      <c r="AA283" s="45"/>
      <c r="AB283" s="45"/>
      <c r="AC283" s="45"/>
      <c r="AD283" s="45"/>
    </row>
    <row r="284" spans="1:30" ht="15.75" customHeight="1">
      <c r="A284" s="45"/>
      <c r="B284" s="45"/>
      <c r="C284" s="45"/>
      <c r="D284" s="45"/>
      <c r="E284" s="45"/>
      <c r="F284" s="45"/>
      <c r="G284" s="45"/>
      <c r="H284" s="45"/>
      <c r="I284" s="45"/>
      <c r="J284" s="415" t="s">
        <v>92</v>
      </c>
      <c r="K284" s="413"/>
      <c r="L284" s="383"/>
      <c r="M284" s="338">
        <f ca="1">COUNTIFS($T:$T,"EBAY",$K:$K,1)</f>
        <v>0</v>
      </c>
      <c r="N284" s="338">
        <f ca="1">COUNTIFS($T:$T,"EBAY",$K:$K,2)</f>
        <v>0</v>
      </c>
      <c r="O284" s="338">
        <f ca="1">COUNTIFS($T:$T,"EBAY",$K:$K,3)</f>
        <v>2</v>
      </c>
      <c r="P284" s="338">
        <f ca="1">COUNTIFS($T:$T,"EBAY",$K:$K,4)</f>
        <v>4</v>
      </c>
      <c r="Q284" s="338">
        <f ca="1">COUNTIFS($T:$T,"EBAY",$K:$K,5)</f>
        <v>8</v>
      </c>
      <c r="R284" s="338">
        <f ca="1">COUNTIFS($T:$T,"EBAY",$K:$K,6)</f>
        <v>15</v>
      </c>
      <c r="S284" s="338">
        <f ca="1">COUNTIFS($T:$T,"EBAY",$K:$K,7)</f>
        <v>12</v>
      </c>
      <c r="T284" s="338">
        <f ca="1">COUNTIFS($T:$T,"EBAY",$K:$K,8)</f>
        <v>13</v>
      </c>
      <c r="U284" s="338">
        <f ca="1">COUNTIFS($T:$T,"EBAY",$K:$K,9)</f>
        <v>13</v>
      </c>
      <c r="V284" s="339">
        <f ca="1">COUNTIFS($T:$T,"EBAY",$K:$K,10)</f>
        <v>22</v>
      </c>
      <c r="W284" s="338">
        <f ca="1">COUNTIFS($T:$T,"EBAY",$K:$K,11)</f>
        <v>9</v>
      </c>
      <c r="X284" s="338">
        <f ca="1">COUNTIFS($T:$T,"EBAY",$K:$K,12)</f>
        <v>13</v>
      </c>
      <c r="Y284" s="338">
        <f ca="1">SUM(M284:X284)</f>
        <v>111</v>
      </c>
      <c r="Z284" s="128">
        <f ca="1">SUM(Y284/Y285)</f>
        <v>0.58421052631578951</v>
      </c>
      <c r="AA284" s="45"/>
      <c r="AB284" s="45"/>
      <c r="AC284" s="45"/>
      <c r="AD284" s="45"/>
    </row>
    <row r="285" spans="1:30" ht="15.75" customHeight="1">
      <c r="A285" s="45"/>
      <c r="B285" s="45"/>
      <c r="C285" s="45"/>
      <c r="D285" s="45"/>
      <c r="E285" s="45"/>
      <c r="F285" s="45"/>
      <c r="G285" s="45"/>
      <c r="H285" s="45"/>
      <c r="I285" s="45"/>
      <c r="J285" s="416" t="s">
        <v>93</v>
      </c>
      <c r="K285" s="413"/>
      <c r="L285" s="383"/>
      <c r="M285" s="134">
        <f t="shared" ref="M285:X285" ca="1" si="50">SUM(M283:M284)</f>
        <v>2</v>
      </c>
      <c r="N285" s="134">
        <f t="shared" ca="1" si="50"/>
        <v>0</v>
      </c>
      <c r="O285" s="134">
        <f t="shared" ca="1" si="50"/>
        <v>3</v>
      </c>
      <c r="P285" s="134">
        <f t="shared" ca="1" si="50"/>
        <v>6</v>
      </c>
      <c r="Q285" s="134">
        <f t="shared" ca="1" si="50"/>
        <v>16</v>
      </c>
      <c r="R285" s="134">
        <f t="shared" ca="1" si="50"/>
        <v>25</v>
      </c>
      <c r="S285" s="134">
        <f t="shared" ca="1" si="50"/>
        <v>21</v>
      </c>
      <c r="T285" s="134">
        <f t="shared" ca="1" si="50"/>
        <v>22</v>
      </c>
      <c r="U285" s="134">
        <f t="shared" ca="1" si="50"/>
        <v>30</v>
      </c>
      <c r="V285" s="135">
        <f t="shared" ca="1" si="50"/>
        <v>30</v>
      </c>
      <c r="W285" s="134">
        <f t="shared" ca="1" si="50"/>
        <v>16</v>
      </c>
      <c r="X285" s="134">
        <f t="shared" ca="1" si="50"/>
        <v>19</v>
      </c>
      <c r="Y285" s="134">
        <f ca="1">SUM(Y283+Y284)</f>
        <v>190</v>
      </c>
      <c r="Z285" s="14"/>
      <c r="AA285" s="45"/>
      <c r="AB285" s="45"/>
      <c r="AC285" s="45"/>
      <c r="AD285" s="45"/>
    </row>
    <row r="286" spans="1:30" s="340" customFormat="1" ht="15.75" customHeight="1">
      <c r="J286" s="138"/>
      <c r="K286" s="138"/>
      <c r="L286" s="341" t="s">
        <v>85</v>
      </c>
      <c r="M286" s="342">
        <f ca="1">SUM(M285/Y285)</f>
        <v>1.0526315789473684E-2</v>
      </c>
      <c r="N286" s="342">
        <f ca="1">SUM(N285/Y285)</f>
        <v>0</v>
      </c>
      <c r="O286" s="342">
        <f ca="1">SUM(O285/Y285)</f>
        <v>1.5789473684210527E-2</v>
      </c>
      <c r="P286" s="342">
        <f ca="1">SUM(P285/Y285)</f>
        <v>3.1578947368421054E-2</v>
      </c>
      <c r="Q286" s="342">
        <f ca="1">SUM(Q285/Y285)</f>
        <v>8.4210526315789472E-2</v>
      </c>
      <c r="R286" s="342">
        <f ca="1">SUM(R285/Y285)</f>
        <v>0.13157894736842105</v>
      </c>
      <c r="S286" s="342">
        <f ca="1">SUM(S285/Y285)</f>
        <v>0.11052631578947368</v>
      </c>
      <c r="T286" s="342">
        <f ca="1">SUM(T285/Y285)</f>
        <v>0.11578947368421053</v>
      </c>
      <c r="U286" s="342">
        <f ca="1">SUM(U285/Y285)</f>
        <v>0.15789473684210525</v>
      </c>
      <c r="V286" s="342">
        <f ca="1">SUM(V285/Y285)</f>
        <v>0.15789473684210525</v>
      </c>
      <c r="W286" s="342">
        <f ca="1">SUM(W285/Y285)</f>
        <v>8.4210526315789472E-2</v>
      </c>
      <c r="X286" s="342">
        <f ca="1">SUM(X285/Y285)</f>
        <v>0.1</v>
      </c>
      <c r="Y286" s="342">
        <f ca="1">SUM(Y285/Y285)</f>
        <v>1</v>
      </c>
    </row>
    <row r="287" spans="1:30" ht="15.75" customHeight="1">
      <c r="J287" s="141"/>
      <c r="K287" s="141"/>
    </row>
    <row r="288" spans="1:30" ht="15.75" customHeight="1">
      <c r="J288" s="141"/>
      <c r="K288" s="141"/>
    </row>
    <row r="289" spans="10:13" ht="15.75" customHeight="1">
      <c r="J289" s="141"/>
      <c r="K289" s="141"/>
    </row>
    <row r="290" spans="10:13" ht="15.75" customHeight="1">
      <c r="J290" s="141"/>
      <c r="K290" s="141"/>
    </row>
    <row r="291" spans="10:13" ht="15.75" customHeight="1">
      <c r="J291" s="141"/>
      <c r="K291" s="141"/>
      <c r="M291" s="344"/>
    </row>
    <row r="292" spans="10:13" ht="15.75" customHeight="1">
      <c r="J292" s="141"/>
      <c r="K292" s="141"/>
    </row>
    <row r="293" spans="10:13" ht="15.75" customHeight="1">
      <c r="J293" s="141"/>
      <c r="K293" s="141"/>
    </row>
    <row r="294" spans="10:13" ht="15.75" customHeight="1">
      <c r="J294" s="141"/>
      <c r="K294" s="141"/>
    </row>
    <row r="295" spans="10:13" ht="15.75" customHeight="1">
      <c r="J295" s="141"/>
      <c r="K295" s="141"/>
    </row>
    <row r="296" spans="10:13" ht="15.75" customHeight="1">
      <c r="J296" s="141"/>
      <c r="K296" s="141"/>
    </row>
    <row r="297" spans="10:13" ht="15.75" customHeight="1">
      <c r="J297" s="141"/>
      <c r="K297" s="141"/>
    </row>
    <row r="298" spans="10:13" ht="15.75" customHeight="1">
      <c r="J298" s="141"/>
      <c r="K298" s="141"/>
    </row>
    <row r="299" spans="10:13" ht="15.75" customHeight="1">
      <c r="J299" s="141"/>
      <c r="K299" s="141"/>
    </row>
    <row r="300" spans="10:13" ht="15.75" customHeight="1">
      <c r="J300" s="141"/>
      <c r="K300" s="141"/>
    </row>
    <row r="301" spans="10:13" ht="15.75" customHeight="1">
      <c r="J301" s="141"/>
      <c r="K301" s="141"/>
    </row>
    <row r="302" spans="10:13" ht="15.75" customHeight="1">
      <c r="J302" s="141"/>
      <c r="K302" s="141"/>
    </row>
    <row r="303" spans="10:13" ht="15.75" customHeight="1">
      <c r="J303" s="141"/>
      <c r="K303" s="141"/>
    </row>
    <row r="304" spans="10:13" ht="15.75" customHeight="1">
      <c r="J304" s="141"/>
      <c r="K304" s="141"/>
    </row>
    <row r="305" spans="10:11" ht="15.75" customHeight="1">
      <c r="J305" s="141"/>
      <c r="K305" s="141"/>
    </row>
    <row r="306" spans="10:11" ht="15.75" customHeight="1">
      <c r="J306" s="141"/>
      <c r="K306" s="141"/>
    </row>
    <row r="307" spans="10:11" ht="15.75" customHeight="1">
      <c r="J307" s="141"/>
      <c r="K307" s="141"/>
    </row>
    <row r="308" spans="10:11" ht="15.75" customHeight="1">
      <c r="J308" s="141"/>
      <c r="K308" s="141"/>
    </row>
    <row r="309" spans="10:11" ht="15.75" customHeight="1">
      <c r="J309" s="141"/>
      <c r="K309" s="141"/>
    </row>
    <row r="310" spans="10:11" ht="15.75" customHeight="1">
      <c r="J310" s="141"/>
      <c r="K310" s="141"/>
    </row>
    <row r="311" spans="10:11" ht="15.75" customHeight="1">
      <c r="J311" s="141"/>
      <c r="K311" s="141"/>
    </row>
    <row r="312" spans="10:11" ht="15.75" customHeight="1">
      <c r="J312" s="141"/>
      <c r="K312" s="141"/>
    </row>
    <row r="313" spans="10:11" ht="15.75" customHeight="1">
      <c r="J313" s="141"/>
      <c r="K313" s="141"/>
    </row>
    <row r="314" spans="10:11" ht="15.75" customHeight="1">
      <c r="J314" s="141"/>
      <c r="K314" s="141"/>
    </row>
    <row r="315" spans="10:11" ht="15.75" customHeight="1">
      <c r="J315" s="141"/>
      <c r="K315" s="141"/>
    </row>
    <row r="316" spans="10:11" ht="15.75" customHeight="1">
      <c r="J316" s="141"/>
      <c r="K316" s="141"/>
    </row>
    <row r="317" spans="10:11" ht="15.75" customHeight="1">
      <c r="J317" s="141"/>
      <c r="K317" s="141"/>
    </row>
    <row r="318" spans="10:11" ht="15.75" customHeight="1">
      <c r="J318" s="141"/>
      <c r="K318" s="141"/>
    </row>
    <row r="319" spans="10:11" ht="15.75" customHeight="1">
      <c r="J319" s="141"/>
      <c r="K319" s="141"/>
    </row>
    <row r="320" spans="10:11" ht="15.75" customHeight="1">
      <c r="J320" s="141"/>
      <c r="K320" s="141"/>
    </row>
    <row r="321" spans="10:11" ht="15.75" customHeight="1">
      <c r="J321" s="141"/>
      <c r="K321" s="141"/>
    </row>
    <row r="322" spans="10:11" ht="15.75" customHeight="1">
      <c r="J322" s="141"/>
      <c r="K322" s="141"/>
    </row>
    <row r="323" spans="10:11" ht="15.75" customHeight="1">
      <c r="J323" s="141"/>
      <c r="K323" s="141"/>
    </row>
    <row r="324" spans="10:11" ht="15.75" customHeight="1">
      <c r="J324" s="141"/>
      <c r="K324" s="141"/>
    </row>
    <row r="325" spans="10:11" ht="15.75" customHeight="1">
      <c r="J325" s="141"/>
      <c r="K325" s="141"/>
    </row>
    <row r="326" spans="10:11" ht="15.75" customHeight="1">
      <c r="J326" s="141"/>
      <c r="K326" s="141"/>
    </row>
    <row r="327" spans="10:11" ht="15.75" customHeight="1">
      <c r="J327" s="141"/>
      <c r="K327" s="141"/>
    </row>
    <row r="328" spans="10:11" ht="15.75" customHeight="1">
      <c r="J328" s="141"/>
      <c r="K328" s="141"/>
    </row>
    <row r="329" spans="10:11" ht="15.75" customHeight="1">
      <c r="J329" s="141"/>
      <c r="K329" s="141"/>
    </row>
    <row r="330" spans="10:11" ht="15.75" customHeight="1">
      <c r="J330" s="141"/>
      <c r="K330" s="141"/>
    </row>
    <row r="331" spans="10:11" ht="15.75" customHeight="1">
      <c r="J331" s="141"/>
      <c r="K331" s="141"/>
    </row>
    <row r="332" spans="10:11" ht="15.75" customHeight="1">
      <c r="J332" s="141"/>
      <c r="K332" s="141"/>
    </row>
    <row r="333" spans="10:11" ht="15.75" customHeight="1">
      <c r="J333" s="141"/>
      <c r="K333" s="141"/>
    </row>
    <row r="334" spans="10:11" ht="15.75" customHeight="1">
      <c r="J334" s="141"/>
      <c r="K334" s="141"/>
    </row>
    <row r="335" spans="10:11" ht="15.75" customHeight="1">
      <c r="J335" s="141"/>
      <c r="K335" s="141"/>
    </row>
    <row r="336" spans="10:11" ht="15.75" customHeight="1">
      <c r="J336" s="141"/>
      <c r="K336" s="141"/>
    </row>
    <row r="337" spans="10:11" ht="15.75" customHeight="1">
      <c r="J337" s="141"/>
      <c r="K337" s="141"/>
    </row>
    <row r="338" spans="10:11" ht="15.75" customHeight="1">
      <c r="J338" s="141"/>
      <c r="K338" s="141"/>
    </row>
    <row r="339" spans="10:11" ht="15.75" customHeight="1">
      <c r="J339" s="141"/>
      <c r="K339" s="141"/>
    </row>
    <row r="340" spans="10:11" ht="15.75" customHeight="1">
      <c r="J340" s="141"/>
      <c r="K340" s="141"/>
    </row>
    <row r="341" spans="10:11" ht="15.75" customHeight="1">
      <c r="J341" s="141"/>
      <c r="K341" s="141"/>
    </row>
    <row r="342" spans="10:11" ht="15.75" customHeight="1">
      <c r="J342" s="141"/>
      <c r="K342" s="141"/>
    </row>
    <row r="343" spans="10:11" ht="15.75" customHeight="1">
      <c r="J343" s="141"/>
      <c r="K343" s="141"/>
    </row>
    <row r="344" spans="10:11" ht="15.75" customHeight="1">
      <c r="J344" s="141"/>
      <c r="K344" s="141"/>
    </row>
    <row r="345" spans="10:11" ht="15.75" customHeight="1">
      <c r="J345" s="141"/>
      <c r="K345" s="141"/>
    </row>
    <row r="346" spans="10:11" ht="15.75" customHeight="1">
      <c r="J346" s="141"/>
      <c r="K346" s="141"/>
    </row>
    <row r="347" spans="10:11" ht="15.75" customHeight="1">
      <c r="J347" s="141"/>
      <c r="K347" s="141"/>
    </row>
    <row r="348" spans="10:11" ht="15.75" customHeight="1">
      <c r="J348" s="141"/>
      <c r="K348" s="141"/>
    </row>
    <row r="349" spans="10:11" ht="15.75" customHeight="1">
      <c r="J349" s="141"/>
      <c r="K349" s="141"/>
    </row>
    <row r="350" spans="10:11" ht="15.75" customHeight="1">
      <c r="J350" s="141"/>
      <c r="K350" s="141"/>
    </row>
    <row r="351" spans="10:11" ht="15.75" customHeight="1">
      <c r="J351" s="141"/>
      <c r="K351" s="141"/>
    </row>
    <row r="352" spans="10:11" ht="15.75" customHeight="1">
      <c r="J352" s="141"/>
      <c r="K352" s="141"/>
    </row>
    <row r="353" spans="10:11" ht="15.75" customHeight="1">
      <c r="J353" s="141"/>
      <c r="K353" s="141"/>
    </row>
    <row r="354" spans="10:11" ht="15.75" customHeight="1">
      <c r="J354" s="141"/>
      <c r="K354" s="141"/>
    </row>
    <row r="355" spans="10:11" ht="15.75" customHeight="1">
      <c r="J355" s="141"/>
      <c r="K355" s="141"/>
    </row>
    <row r="356" spans="10:11" ht="15.75" customHeight="1">
      <c r="J356" s="141"/>
      <c r="K356" s="141"/>
    </row>
    <row r="357" spans="10:11" ht="15.75" customHeight="1">
      <c r="J357" s="141"/>
      <c r="K357" s="141"/>
    </row>
    <row r="358" spans="10:11" ht="15.75" customHeight="1">
      <c r="J358" s="141"/>
      <c r="K358" s="141"/>
    </row>
    <row r="359" spans="10:11" ht="15.75" customHeight="1">
      <c r="J359" s="141"/>
      <c r="K359" s="141"/>
    </row>
    <row r="360" spans="10:11" ht="15.75" customHeight="1">
      <c r="J360" s="141"/>
      <c r="K360" s="141"/>
    </row>
    <row r="361" spans="10:11" ht="15.75" customHeight="1">
      <c r="J361" s="141"/>
      <c r="K361" s="141"/>
    </row>
    <row r="362" spans="10:11" ht="15.75" customHeight="1">
      <c r="J362" s="141"/>
      <c r="K362" s="141"/>
    </row>
    <row r="363" spans="10:11" ht="15.75" customHeight="1">
      <c r="J363" s="141"/>
      <c r="K363" s="141"/>
    </row>
    <row r="364" spans="10:11" ht="15.75" customHeight="1">
      <c r="J364" s="141"/>
      <c r="K364" s="141"/>
    </row>
    <row r="365" spans="10:11" ht="15.75" customHeight="1">
      <c r="J365" s="141"/>
      <c r="K365" s="141"/>
    </row>
    <row r="366" spans="10:11" ht="15.75" customHeight="1">
      <c r="J366" s="141"/>
      <c r="K366" s="141"/>
    </row>
    <row r="367" spans="10:11" ht="15.75" customHeight="1">
      <c r="J367" s="141"/>
      <c r="K367" s="141"/>
    </row>
    <row r="368" spans="10:11" ht="15.75" customHeight="1">
      <c r="J368" s="141"/>
      <c r="K368" s="141"/>
    </row>
    <row r="369" spans="10:11" ht="15.75" customHeight="1">
      <c r="J369" s="141"/>
      <c r="K369" s="141"/>
    </row>
    <row r="370" spans="10:11" ht="15.75" customHeight="1">
      <c r="J370" s="141"/>
      <c r="K370" s="141"/>
    </row>
    <row r="371" spans="10:11" ht="15.75" customHeight="1">
      <c r="J371" s="141"/>
      <c r="K371" s="141"/>
    </row>
    <row r="372" spans="10:11" ht="15.75" customHeight="1">
      <c r="J372" s="141"/>
      <c r="K372" s="141"/>
    </row>
    <row r="373" spans="10:11" ht="15.75" customHeight="1">
      <c r="J373" s="141"/>
      <c r="K373" s="141"/>
    </row>
    <row r="374" spans="10:11" ht="15.75" customHeight="1">
      <c r="J374" s="141"/>
      <c r="K374" s="141"/>
    </row>
    <row r="375" spans="10:11" ht="15.75" customHeight="1">
      <c r="J375" s="141"/>
      <c r="K375" s="141"/>
    </row>
    <row r="376" spans="10:11" ht="15.75" customHeight="1">
      <c r="J376" s="141"/>
      <c r="K376" s="141"/>
    </row>
    <row r="377" spans="10:11" ht="15.75" customHeight="1">
      <c r="J377" s="141"/>
      <c r="K377" s="141"/>
    </row>
    <row r="378" spans="10:11" ht="15.75" customHeight="1">
      <c r="J378" s="141"/>
      <c r="K378" s="141"/>
    </row>
    <row r="379" spans="10:11" ht="15.75" customHeight="1">
      <c r="J379" s="141"/>
      <c r="K379" s="141"/>
    </row>
    <row r="380" spans="10:11" ht="15.75" customHeight="1">
      <c r="J380" s="141"/>
      <c r="K380" s="141"/>
    </row>
    <row r="381" spans="10:11" ht="15.75" customHeight="1">
      <c r="J381" s="141"/>
      <c r="K381" s="141"/>
    </row>
    <row r="382" spans="10:11" ht="15.75" customHeight="1">
      <c r="J382" s="141"/>
      <c r="K382" s="141"/>
    </row>
    <row r="383" spans="10:11" ht="15.75" customHeight="1">
      <c r="J383" s="141"/>
      <c r="K383" s="141"/>
    </row>
    <row r="384" spans="10:11" ht="15.75" customHeight="1">
      <c r="J384" s="141"/>
      <c r="K384" s="141"/>
    </row>
    <row r="385" spans="10:11" ht="15.75" customHeight="1">
      <c r="J385" s="141"/>
      <c r="K385" s="141"/>
    </row>
    <row r="386" spans="10:11" ht="15.75" customHeight="1">
      <c r="J386" s="141"/>
      <c r="K386" s="141"/>
    </row>
    <row r="387" spans="10:11" ht="15.75" customHeight="1">
      <c r="J387" s="141"/>
      <c r="K387" s="141"/>
    </row>
    <row r="388" spans="10:11" ht="15.75" customHeight="1">
      <c r="J388" s="141"/>
      <c r="K388" s="141"/>
    </row>
    <row r="389" spans="10:11" ht="15.75" customHeight="1">
      <c r="J389" s="141"/>
      <c r="K389" s="141"/>
    </row>
    <row r="390" spans="10:11" ht="15.75" customHeight="1">
      <c r="J390" s="141"/>
      <c r="K390" s="141"/>
    </row>
    <row r="391" spans="10:11" ht="15.75" customHeight="1">
      <c r="J391" s="141"/>
      <c r="K391" s="141"/>
    </row>
    <row r="392" spans="10:11" ht="15.75" customHeight="1">
      <c r="J392" s="141"/>
      <c r="K392" s="141"/>
    </row>
    <row r="393" spans="10:11" ht="15.75" customHeight="1">
      <c r="J393" s="141"/>
      <c r="K393" s="141"/>
    </row>
    <row r="394" spans="10:11" ht="15.75" customHeight="1">
      <c r="J394" s="141"/>
      <c r="K394" s="141"/>
    </row>
    <row r="395" spans="10:11" ht="15.75" customHeight="1">
      <c r="J395" s="141"/>
      <c r="K395" s="141"/>
    </row>
    <row r="396" spans="10:11" ht="15.75" customHeight="1">
      <c r="J396" s="141"/>
      <c r="K396" s="141"/>
    </row>
    <row r="397" spans="10:11" ht="15.75" customHeight="1">
      <c r="J397" s="141"/>
      <c r="K397" s="141"/>
    </row>
    <row r="398" spans="10:11" ht="15.75" customHeight="1">
      <c r="J398" s="141"/>
      <c r="K398" s="141"/>
    </row>
    <row r="399" spans="10:11" ht="15.75" customHeight="1">
      <c r="J399" s="141"/>
      <c r="K399" s="141"/>
    </row>
    <row r="400" spans="10:11" ht="15.75" customHeight="1">
      <c r="J400" s="141"/>
      <c r="K400" s="141"/>
    </row>
    <row r="401" spans="10:11" ht="15.75" customHeight="1">
      <c r="J401" s="141"/>
      <c r="K401" s="141"/>
    </row>
    <row r="402" spans="10:11" ht="15.75" customHeight="1">
      <c r="J402" s="141"/>
      <c r="K402" s="141"/>
    </row>
    <row r="403" spans="10:11" ht="15.75" customHeight="1">
      <c r="J403" s="141"/>
      <c r="K403" s="141"/>
    </row>
    <row r="404" spans="10:11" ht="15.75" customHeight="1">
      <c r="J404" s="141"/>
      <c r="K404" s="141"/>
    </row>
    <row r="405" spans="10:11" ht="15.75" customHeight="1">
      <c r="J405" s="141"/>
      <c r="K405" s="141"/>
    </row>
    <row r="406" spans="10:11" ht="15.75" customHeight="1">
      <c r="J406" s="141"/>
      <c r="K406" s="141"/>
    </row>
    <row r="407" spans="10:11" ht="15.75" customHeight="1">
      <c r="J407" s="141"/>
      <c r="K407" s="141"/>
    </row>
    <row r="408" spans="10:11" ht="15.75" customHeight="1">
      <c r="J408" s="141"/>
      <c r="K408" s="141"/>
    </row>
    <row r="409" spans="10:11" ht="15.75" customHeight="1">
      <c r="J409" s="141"/>
      <c r="K409" s="141"/>
    </row>
    <row r="410" spans="10:11" ht="15.75" customHeight="1">
      <c r="J410" s="141"/>
      <c r="K410" s="141"/>
    </row>
    <row r="411" spans="10:11" ht="15.75" customHeight="1">
      <c r="J411" s="141"/>
      <c r="K411" s="141"/>
    </row>
    <row r="412" spans="10:11" ht="15.75" customHeight="1">
      <c r="J412" s="141"/>
      <c r="K412" s="141"/>
    </row>
    <row r="413" spans="10:11" ht="15.75" customHeight="1">
      <c r="J413" s="141"/>
      <c r="K413" s="141"/>
    </row>
    <row r="414" spans="10:11" ht="15.75" customHeight="1">
      <c r="J414" s="141"/>
      <c r="K414" s="141"/>
    </row>
    <row r="415" spans="10:11" ht="15.75" customHeight="1">
      <c r="J415" s="141"/>
      <c r="K415" s="141"/>
    </row>
    <row r="416" spans="10:11" ht="15.75" customHeight="1">
      <c r="J416" s="141"/>
      <c r="K416" s="141"/>
    </row>
    <row r="417" spans="10:11" ht="15.75" customHeight="1">
      <c r="J417" s="141"/>
      <c r="K417" s="141"/>
    </row>
    <row r="418" spans="10:11" ht="15.75" customHeight="1">
      <c r="J418" s="141"/>
      <c r="K418" s="141"/>
    </row>
    <row r="419" spans="10:11" ht="15.75" customHeight="1">
      <c r="J419" s="141"/>
      <c r="K419" s="141"/>
    </row>
    <row r="420" spans="10:11" ht="15.75" customHeight="1">
      <c r="J420" s="141"/>
      <c r="K420" s="141"/>
    </row>
    <row r="421" spans="10:11" ht="15.75" customHeight="1">
      <c r="J421" s="141"/>
      <c r="K421" s="141"/>
    </row>
    <row r="422" spans="10:11" ht="15.75" customHeight="1">
      <c r="J422" s="141"/>
      <c r="K422" s="141"/>
    </row>
    <row r="423" spans="10:11" ht="15.75" customHeight="1">
      <c r="J423" s="141"/>
      <c r="K423" s="141"/>
    </row>
    <row r="424" spans="10:11" ht="15.75" customHeight="1">
      <c r="J424" s="141"/>
      <c r="K424" s="141"/>
    </row>
    <row r="425" spans="10:11" ht="15.75" customHeight="1">
      <c r="J425" s="141"/>
      <c r="K425" s="141"/>
    </row>
    <row r="426" spans="10:11" ht="15.75" customHeight="1">
      <c r="J426" s="141"/>
      <c r="K426" s="141"/>
    </row>
    <row r="427" spans="10:11" ht="15.75" customHeight="1">
      <c r="J427" s="141"/>
      <c r="K427" s="141"/>
    </row>
    <row r="428" spans="10:11" ht="15.75" customHeight="1">
      <c r="J428" s="141"/>
      <c r="K428" s="141"/>
    </row>
    <row r="429" spans="10:11" ht="15.75" customHeight="1">
      <c r="J429" s="141"/>
      <c r="K429" s="141"/>
    </row>
    <row r="430" spans="10:11" ht="15.75" customHeight="1">
      <c r="J430" s="141"/>
      <c r="K430" s="141"/>
    </row>
    <row r="431" spans="10:11" ht="15.75" customHeight="1">
      <c r="J431" s="141"/>
      <c r="K431" s="141"/>
    </row>
    <row r="432" spans="10:11" ht="15.75" customHeight="1">
      <c r="J432" s="141"/>
      <c r="K432" s="141"/>
    </row>
    <row r="433" spans="10:11" ht="15.75" customHeight="1">
      <c r="J433" s="141"/>
      <c r="K433" s="141"/>
    </row>
    <row r="434" spans="10:11" ht="15.75" customHeight="1">
      <c r="J434" s="141"/>
      <c r="K434" s="141"/>
    </row>
    <row r="435" spans="10:11" ht="15.75" customHeight="1">
      <c r="J435" s="141"/>
      <c r="K435" s="141"/>
    </row>
    <row r="436" spans="10:11" ht="15.75" customHeight="1">
      <c r="J436" s="141"/>
      <c r="K436" s="141"/>
    </row>
    <row r="437" spans="10:11" ht="15.75" customHeight="1">
      <c r="J437" s="141"/>
      <c r="K437" s="141"/>
    </row>
    <row r="438" spans="10:11" ht="15.75" customHeight="1">
      <c r="J438" s="141"/>
      <c r="K438" s="141"/>
    </row>
    <row r="439" spans="10:11" ht="15.75" customHeight="1">
      <c r="J439" s="141"/>
      <c r="K439" s="141"/>
    </row>
    <row r="440" spans="10:11" ht="15.75" customHeight="1">
      <c r="J440" s="141"/>
      <c r="K440" s="141"/>
    </row>
    <row r="441" spans="10:11" ht="15.75" customHeight="1">
      <c r="J441" s="141"/>
      <c r="K441" s="141"/>
    </row>
    <row r="442" spans="10:11" ht="15.75" customHeight="1">
      <c r="J442" s="141"/>
      <c r="K442" s="141"/>
    </row>
    <row r="443" spans="10:11" ht="15.75" customHeight="1">
      <c r="J443" s="141"/>
      <c r="K443" s="141"/>
    </row>
    <row r="444" spans="10:11" ht="15.75" customHeight="1">
      <c r="J444" s="141"/>
      <c r="K444" s="141"/>
    </row>
    <row r="445" spans="10:11" ht="15.75" customHeight="1">
      <c r="J445" s="141"/>
      <c r="K445" s="141"/>
    </row>
    <row r="446" spans="10:11" ht="15.75" customHeight="1">
      <c r="J446" s="141"/>
      <c r="K446" s="141"/>
    </row>
    <row r="447" spans="10:11" ht="15.75" customHeight="1">
      <c r="J447" s="141"/>
      <c r="K447" s="141"/>
    </row>
    <row r="448" spans="10:11" ht="15.75" customHeight="1">
      <c r="J448" s="141"/>
      <c r="K448" s="141"/>
    </row>
    <row r="449" spans="10:11" ht="15.75" customHeight="1">
      <c r="J449" s="141"/>
      <c r="K449" s="141"/>
    </row>
    <row r="450" spans="10:11" ht="15.75" customHeight="1">
      <c r="J450" s="141"/>
      <c r="K450" s="141"/>
    </row>
    <row r="451" spans="10:11" ht="15.75" customHeight="1">
      <c r="J451" s="141"/>
      <c r="K451" s="141"/>
    </row>
    <row r="452" spans="10:11" ht="15.75" customHeight="1">
      <c r="J452" s="141"/>
      <c r="K452" s="141"/>
    </row>
    <row r="453" spans="10:11" ht="15.75" customHeight="1">
      <c r="J453" s="141"/>
      <c r="K453" s="141"/>
    </row>
    <row r="454" spans="10:11" ht="15.75" customHeight="1">
      <c r="J454" s="141"/>
      <c r="K454" s="141"/>
    </row>
    <row r="455" spans="10:11" ht="15.75" customHeight="1">
      <c r="J455" s="141"/>
      <c r="K455" s="141"/>
    </row>
    <row r="456" spans="10:11" ht="15.75" customHeight="1">
      <c r="J456" s="141"/>
      <c r="K456" s="141"/>
    </row>
    <row r="457" spans="10:11" ht="15.75" customHeight="1">
      <c r="J457" s="141"/>
      <c r="K457" s="141"/>
    </row>
    <row r="458" spans="10:11" ht="15.75" customHeight="1">
      <c r="J458" s="141"/>
      <c r="K458" s="141"/>
    </row>
    <row r="459" spans="10:11" ht="15.75" customHeight="1">
      <c r="J459" s="141"/>
      <c r="K459" s="141"/>
    </row>
    <row r="460" spans="10:11" ht="15.75" customHeight="1">
      <c r="J460" s="141"/>
      <c r="K460" s="141"/>
    </row>
    <row r="461" spans="10:11" ht="15.75" customHeight="1">
      <c r="J461" s="141"/>
      <c r="K461" s="141"/>
    </row>
    <row r="462" spans="10:11" ht="15.75" customHeight="1">
      <c r="J462" s="141"/>
      <c r="K462" s="141"/>
    </row>
    <row r="463" spans="10:11" ht="15.75" customHeight="1">
      <c r="J463" s="141"/>
      <c r="K463" s="141"/>
    </row>
    <row r="464" spans="10:11" ht="15.75" customHeight="1">
      <c r="J464" s="141"/>
      <c r="K464" s="141"/>
    </row>
    <row r="465" spans="10:11" ht="15.75" customHeight="1">
      <c r="J465" s="141"/>
      <c r="K465" s="141"/>
    </row>
    <row r="466" spans="10:11" ht="15.75" customHeight="1">
      <c r="J466" s="141"/>
      <c r="K466" s="141"/>
    </row>
    <row r="467" spans="10:11" ht="15.75" customHeight="1">
      <c r="J467" s="141"/>
      <c r="K467" s="141"/>
    </row>
    <row r="468" spans="10:11" ht="15.75" customHeight="1">
      <c r="J468" s="141"/>
      <c r="K468" s="141"/>
    </row>
    <row r="469" spans="10:11" ht="15.75" customHeight="1">
      <c r="J469" s="141"/>
      <c r="K469" s="141"/>
    </row>
    <row r="470" spans="10:11" ht="15.75" customHeight="1">
      <c r="J470" s="141"/>
      <c r="K470" s="141"/>
    </row>
    <row r="471" spans="10:11" ht="15.75" customHeight="1">
      <c r="J471" s="141"/>
      <c r="K471" s="141"/>
    </row>
    <row r="472" spans="10:11" ht="15.75" customHeight="1">
      <c r="J472" s="141"/>
      <c r="K472" s="141"/>
    </row>
    <row r="473" spans="10:11" ht="15.75" customHeight="1">
      <c r="J473" s="141"/>
      <c r="K473" s="141"/>
    </row>
    <row r="474" spans="10:11" ht="15.75" customHeight="1">
      <c r="J474" s="141"/>
      <c r="K474" s="141"/>
    </row>
    <row r="475" spans="10:11" ht="15.75" customHeight="1">
      <c r="J475" s="141"/>
      <c r="K475" s="141"/>
    </row>
    <row r="476" spans="10:11" ht="15.75" customHeight="1">
      <c r="J476" s="141"/>
      <c r="K476" s="141"/>
    </row>
    <row r="477" spans="10:11" ht="15.75" customHeight="1">
      <c r="J477" s="141"/>
      <c r="K477" s="141"/>
    </row>
    <row r="478" spans="10:11" ht="15.75" customHeight="1">
      <c r="J478" s="141"/>
      <c r="K478" s="141"/>
    </row>
    <row r="479" spans="10:11" ht="15.75" customHeight="1">
      <c r="J479" s="141"/>
      <c r="K479" s="141"/>
    </row>
    <row r="480" spans="10:11" ht="15.75" customHeight="1">
      <c r="J480" s="141"/>
      <c r="K480" s="141"/>
    </row>
    <row r="481" spans="10:11" ht="15.75" customHeight="1">
      <c r="J481" s="141"/>
      <c r="K481" s="141"/>
    </row>
    <row r="482" spans="10:11" ht="15.75" customHeight="1">
      <c r="J482" s="141"/>
      <c r="K482" s="141"/>
    </row>
    <row r="483" spans="10:11" ht="15.75" customHeight="1">
      <c r="J483" s="141"/>
      <c r="K483" s="141"/>
    </row>
    <row r="484" spans="10:11" ht="15.75" customHeight="1">
      <c r="J484" s="141"/>
      <c r="K484" s="141"/>
    </row>
    <row r="485" spans="10:11" ht="15.75" customHeight="1">
      <c r="J485" s="141"/>
      <c r="K485" s="141"/>
    </row>
    <row r="486" spans="10:11" ht="15.75" customHeight="1">
      <c r="J486" s="141"/>
      <c r="K486" s="141"/>
    </row>
    <row r="487" spans="10:11" ht="15.75" customHeight="1">
      <c r="J487" s="141"/>
      <c r="K487" s="141"/>
    </row>
    <row r="488" spans="10:11" ht="15.75" customHeight="1">
      <c r="J488" s="141"/>
      <c r="K488" s="141"/>
    </row>
    <row r="489" spans="10:11" ht="15.75" customHeight="1">
      <c r="J489" s="141"/>
      <c r="K489" s="141"/>
    </row>
    <row r="490" spans="10:11" ht="15.75" customHeight="1">
      <c r="J490" s="141"/>
      <c r="K490" s="141"/>
    </row>
    <row r="491" spans="10:11" ht="15.75" customHeight="1">
      <c r="J491" s="141"/>
      <c r="K491" s="141"/>
    </row>
    <row r="492" spans="10:11" ht="15.75" customHeight="1">
      <c r="J492" s="141"/>
      <c r="K492" s="141"/>
    </row>
    <row r="493" spans="10:11" ht="15.75" customHeight="1">
      <c r="J493" s="141"/>
      <c r="K493" s="141"/>
    </row>
    <row r="494" spans="10:11" ht="15.75" customHeight="1">
      <c r="J494" s="141"/>
      <c r="K494" s="141"/>
    </row>
    <row r="495" spans="10:11" ht="15.75" customHeight="1">
      <c r="J495" s="141"/>
      <c r="K495" s="141"/>
    </row>
    <row r="496" spans="10:11" ht="15.75" customHeight="1">
      <c r="J496" s="141"/>
      <c r="K496" s="141"/>
    </row>
    <row r="497" spans="10:11" ht="15.75" customHeight="1">
      <c r="J497" s="141"/>
      <c r="K497" s="141"/>
    </row>
    <row r="498" spans="10:11" ht="15.75" customHeight="1">
      <c r="J498" s="141"/>
      <c r="K498" s="141"/>
    </row>
    <row r="499" spans="10:11" ht="15.75" customHeight="1">
      <c r="J499" s="141"/>
      <c r="K499" s="141"/>
    </row>
    <row r="500" spans="10:11" ht="15.75" customHeight="1">
      <c r="J500" s="141"/>
      <c r="K500" s="141"/>
    </row>
    <row r="501" spans="10:11" ht="15.75" customHeight="1">
      <c r="J501" s="141"/>
      <c r="K501" s="141"/>
    </row>
    <row r="502" spans="10:11" ht="15.75" customHeight="1">
      <c r="J502" s="141"/>
      <c r="K502" s="141"/>
    </row>
    <row r="503" spans="10:11" ht="15.75" customHeight="1">
      <c r="J503" s="141"/>
      <c r="K503" s="141"/>
    </row>
    <row r="504" spans="10:11" ht="15.75" customHeight="1">
      <c r="J504" s="141"/>
      <c r="K504" s="141"/>
    </row>
    <row r="505" spans="10:11" ht="15.75" customHeight="1">
      <c r="J505" s="141"/>
      <c r="K505" s="141"/>
    </row>
    <row r="506" spans="10:11" ht="15.75" customHeight="1">
      <c r="J506" s="141"/>
      <c r="K506" s="141"/>
    </row>
    <row r="507" spans="10:11" ht="15.75" customHeight="1">
      <c r="J507" s="141"/>
      <c r="K507" s="141"/>
    </row>
    <row r="508" spans="10:11" ht="15.75" customHeight="1">
      <c r="J508" s="141"/>
      <c r="K508" s="141"/>
    </row>
    <row r="509" spans="10:11" ht="15.75" customHeight="1">
      <c r="J509" s="141"/>
      <c r="K509" s="141"/>
    </row>
    <row r="510" spans="10:11" ht="15.75" customHeight="1">
      <c r="J510" s="141"/>
      <c r="K510" s="141"/>
    </row>
    <row r="511" spans="10:11" ht="15.75" customHeight="1">
      <c r="J511" s="141"/>
      <c r="K511" s="141"/>
    </row>
    <row r="512" spans="10:11" ht="15.75" customHeight="1">
      <c r="J512" s="141"/>
      <c r="K512" s="141"/>
    </row>
    <row r="513" spans="10:11" ht="15.75" customHeight="1">
      <c r="J513" s="141"/>
      <c r="K513" s="141"/>
    </row>
    <row r="514" spans="10:11" ht="15.75" customHeight="1">
      <c r="J514" s="141"/>
      <c r="K514" s="141"/>
    </row>
    <row r="515" spans="10:11" ht="15.75" customHeight="1">
      <c r="J515" s="141"/>
      <c r="K515" s="141"/>
    </row>
    <row r="516" spans="10:11" ht="15.75" customHeight="1">
      <c r="J516" s="141"/>
      <c r="K516" s="141"/>
    </row>
    <row r="517" spans="10:11" ht="15.75" customHeight="1">
      <c r="J517" s="141"/>
      <c r="K517" s="141"/>
    </row>
    <row r="518" spans="10:11" ht="15.75" customHeight="1">
      <c r="J518" s="141"/>
      <c r="K518" s="141"/>
    </row>
    <row r="519" spans="10:11" ht="15.75" customHeight="1">
      <c r="J519" s="141"/>
      <c r="K519" s="141"/>
    </row>
    <row r="520" spans="10:11" ht="15.75" customHeight="1">
      <c r="J520" s="141"/>
      <c r="K520" s="141"/>
    </row>
    <row r="521" spans="10:11" ht="15.75" customHeight="1">
      <c r="J521" s="141"/>
      <c r="K521" s="141"/>
    </row>
    <row r="522" spans="10:11" ht="15.75" customHeight="1">
      <c r="J522" s="141"/>
      <c r="K522" s="141"/>
    </row>
    <row r="523" spans="10:11" ht="15.75" customHeight="1">
      <c r="J523" s="141"/>
      <c r="K523" s="141"/>
    </row>
    <row r="524" spans="10:11" ht="15.75" customHeight="1">
      <c r="J524" s="141"/>
      <c r="K524" s="141"/>
    </row>
    <row r="525" spans="10:11" ht="15.75" customHeight="1">
      <c r="J525" s="141"/>
      <c r="K525" s="141"/>
    </row>
    <row r="526" spans="10:11" ht="15.75" customHeight="1">
      <c r="J526" s="141"/>
      <c r="K526" s="141"/>
    </row>
    <row r="527" spans="10:11" ht="15.75" customHeight="1">
      <c r="J527" s="141"/>
      <c r="K527" s="141"/>
    </row>
    <row r="528" spans="10:11" ht="15.75" customHeight="1">
      <c r="J528" s="141"/>
      <c r="K528" s="141"/>
    </row>
    <row r="529" spans="10:11" ht="15.75" customHeight="1">
      <c r="J529" s="141"/>
      <c r="K529" s="141"/>
    </row>
    <row r="530" spans="10:11" ht="15.75" customHeight="1">
      <c r="J530" s="141"/>
      <c r="K530" s="141"/>
    </row>
    <row r="531" spans="10:11" ht="15.75" customHeight="1">
      <c r="J531" s="141"/>
      <c r="K531" s="141"/>
    </row>
    <row r="532" spans="10:11" ht="15.75" customHeight="1">
      <c r="J532" s="141"/>
      <c r="K532" s="141"/>
    </row>
    <row r="533" spans="10:11" ht="15.75" customHeight="1">
      <c r="J533" s="141"/>
      <c r="K533" s="141"/>
    </row>
    <row r="534" spans="10:11" ht="15.75" customHeight="1">
      <c r="J534" s="141"/>
      <c r="K534" s="141"/>
    </row>
    <row r="535" spans="10:11" ht="15.75" customHeight="1">
      <c r="J535" s="141"/>
      <c r="K535" s="141"/>
    </row>
    <row r="536" spans="10:11" ht="15.75" customHeight="1">
      <c r="J536" s="141"/>
      <c r="K536" s="141"/>
    </row>
    <row r="537" spans="10:11" ht="15.75" customHeight="1">
      <c r="J537" s="141"/>
      <c r="K537" s="141"/>
    </row>
    <row r="538" spans="10:11" ht="15.75" customHeight="1">
      <c r="J538" s="141"/>
      <c r="K538" s="141"/>
    </row>
    <row r="539" spans="10:11" ht="15.75" customHeight="1">
      <c r="J539" s="141"/>
      <c r="K539" s="141"/>
    </row>
    <row r="540" spans="10:11" ht="15.75" customHeight="1">
      <c r="J540" s="141"/>
      <c r="K540" s="141"/>
    </row>
    <row r="541" spans="10:11" ht="15.75" customHeight="1">
      <c r="J541" s="141"/>
      <c r="K541" s="141"/>
    </row>
    <row r="542" spans="10:11" ht="15.75" customHeight="1">
      <c r="J542" s="141"/>
      <c r="K542" s="141"/>
    </row>
    <row r="543" spans="10:11" ht="15.75" customHeight="1">
      <c r="J543" s="141"/>
      <c r="K543" s="141"/>
    </row>
    <row r="544" spans="10:11" ht="15.75" customHeight="1">
      <c r="J544" s="141"/>
      <c r="K544" s="141"/>
    </row>
    <row r="545" spans="10:11" ht="15.75" customHeight="1">
      <c r="J545" s="141"/>
      <c r="K545" s="141"/>
    </row>
    <row r="546" spans="10:11" ht="15.75" customHeight="1">
      <c r="J546" s="141"/>
      <c r="K546" s="141"/>
    </row>
    <row r="547" spans="10:11" ht="15.75" customHeight="1">
      <c r="J547" s="141"/>
      <c r="K547" s="141"/>
    </row>
    <row r="548" spans="10:11" ht="15.75" customHeight="1">
      <c r="J548" s="141"/>
      <c r="K548" s="141"/>
    </row>
    <row r="549" spans="10:11" ht="15.75" customHeight="1">
      <c r="J549" s="141"/>
      <c r="K549" s="141"/>
    </row>
    <row r="550" spans="10:11" ht="15.75" customHeight="1">
      <c r="J550" s="141"/>
      <c r="K550" s="141"/>
    </row>
    <row r="551" spans="10:11" ht="15.75" customHeight="1">
      <c r="J551" s="141"/>
      <c r="K551" s="141"/>
    </row>
    <row r="552" spans="10:11" ht="15.75" customHeight="1">
      <c r="J552" s="141"/>
      <c r="K552" s="141"/>
    </row>
    <row r="553" spans="10:11" ht="15.75" customHeight="1">
      <c r="J553" s="141"/>
      <c r="K553" s="141"/>
    </row>
    <row r="554" spans="10:11" ht="15.75" customHeight="1">
      <c r="J554" s="141"/>
      <c r="K554" s="141"/>
    </row>
    <row r="555" spans="10:11" ht="15.75" customHeight="1">
      <c r="J555" s="141"/>
      <c r="K555" s="141"/>
    </row>
    <row r="556" spans="10:11" ht="15.75" customHeight="1">
      <c r="J556" s="141"/>
      <c r="K556" s="141"/>
    </row>
    <row r="557" spans="10:11" ht="15.75" customHeight="1">
      <c r="J557" s="141"/>
      <c r="K557" s="141"/>
    </row>
    <row r="558" spans="10:11" ht="15.75" customHeight="1">
      <c r="J558" s="141"/>
      <c r="K558" s="141"/>
    </row>
    <row r="559" spans="10:11" ht="15.75" customHeight="1">
      <c r="J559" s="141"/>
      <c r="K559" s="141"/>
    </row>
    <row r="560" spans="10:11" ht="15.75" customHeight="1">
      <c r="J560" s="141"/>
      <c r="K560" s="141"/>
    </row>
    <row r="561" spans="10:11" ht="15.75" customHeight="1">
      <c r="J561" s="141"/>
      <c r="K561" s="141"/>
    </row>
    <row r="562" spans="10:11" ht="15.75" customHeight="1">
      <c r="J562" s="141"/>
      <c r="K562" s="141"/>
    </row>
    <row r="563" spans="10:11" ht="15.75" customHeight="1">
      <c r="J563" s="141"/>
      <c r="K563" s="141"/>
    </row>
    <row r="564" spans="10:11" ht="15.75" customHeight="1">
      <c r="J564" s="141"/>
      <c r="K564" s="141"/>
    </row>
    <row r="565" spans="10:11" ht="15.75" customHeight="1">
      <c r="J565" s="141"/>
      <c r="K565" s="141"/>
    </row>
    <row r="566" spans="10:11" ht="15.75" customHeight="1">
      <c r="J566" s="141"/>
      <c r="K566" s="141"/>
    </row>
    <row r="567" spans="10:11" ht="15.75" customHeight="1">
      <c r="J567" s="141"/>
      <c r="K567" s="141"/>
    </row>
    <row r="568" spans="10:11" ht="15.75" customHeight="1">
      <c r="J568" s="141"/>
      <c r="K568" s="141"/>
    </row>
    <row r="569" spans="10:11" ht="15.75" customHeight="1">
      <c r="J569" s="141"/>
      <c r="K569" s="141"/>
    </row>
    <row r="570" spans="10:11" ht="15.75" customHeight="1">
      <c r="J570" s="141"/>
      <c r="K570" s="141"/>
    </row>
    <row r="571" spans="10:11" ht="15.75" customHeight="1">
      <c r="J571" s="141"/>
      <c r="K571" s="141"/>
    </row>
    <row r="572" spans="10:11" ht="15.75" customHeight="1">
      <c r="J572" s="141"/>
      <c r="K572" s="141"/>
    </row>
    <row r="573" spans="10:11" ht="15.75" customHeight="1">
      <c r="J573" s="141"/>
      <c r="K573" s="141"/>
    </row>
    <row r="574" spans="10:11" ht="15.75" customHeight="1">
      <c r="J574" s="141"/>
      <c r="K574" s="141"/>
    </row>
    <row r="575" spans="10:11" ht="15.75" customHeight="1">
      <c r="J575" s="141"/>
      <c r="K575" s="141"/>
    </row>
    <row r="576" spans="10:11" ht="15.75" customHeight="1">
      <c r="J576" s="141"/>
      <c r="K576" s="141"/>
    </row>
    <row r="577" spans="10:11" ht="15.75" customHeight="1">
      <c r="J577" s="141"/>
      <c r="K577" s="141"/>
    </row>
    <row r="578" spans="10:11" ht="15.75" customHeight="1">
      <c r="J578" s="141"/>
      <c r="K578" s="141"/>
    </row>
    <row r="579" spans="10:11" ht="15.75" customHeight="1">
      <c r="J579" s="141"/>
      <c r="K579" s="141"/>
    </row>
    <row r="580" spans="10:11" ht="15.75" customHeight="1">
      <c r="J580" s="141"/>
      <c r="K580" s="141"/>
    </row>
    <row r="581" spans="10:11" ht="15.75" customHeight="1">
      <c r="J581" s="141"/>
      <c r="K581" s="141"/>
    </row>
    <row r="582" spans="10:11" ht="15.75" customHeight="1">
      <c r="J582" s="141"/>
      <c r="K582" s="141"/>
    </row>
    <row r="583" spans="10:11" ht="15.75" customHeight="1">
      <c r="J583" s="141"/>
      <c r="K583" s="141"/>
    </row>
    <row r="584" spans="10:11" ht="15.75" customHeight="1">
      <c r="J584" s="141"/>
      <c r="K584" s="141"/>
    </row>
    <row r="585" spans="10:11" ht="15.75" customHeight="1">
      <c r="J585" s="141"/>
      <c r="K585" s="141"/>
    </row>
    <row r="586" spans="10:11" ht="15.75" customHeight="1">
      <c r="J586" s="141"/>
      <c r="K586" s="141"/>
    </row>
    <row r="587" spans="10:11" ht="15.75" customHeight="1">
      <c r="J587" s="141"/>
      <c r="K587" s="141"/>
    </row>
    <row r="588" spans="10:11" ht="15.75" customHeight="1">
      <c r="J588" s="141"/>
      <c r="K588" s="141"/>
    </row>
    <row r="589" spans="10:11" ht="15.75" customHeight="1">
      <c r="J589" s="141"/>
      <c r="K589" s="141"/>
    </row>
    <row r="590" spans="10:11" ht="15.75" customHeight="1">
      <c r="J590" s="141"/>
      <c r="K590" s="141"/>
    </row>
    <row r="591" spans="10:11" ht="15.75" customHeight="1">
      <c r="J591" s="141"/>
      <c r="K591" s="141"/>
    </row>
    <row r="592" spans="10:11" ht="15.75" customHeight="1">
      <c r="J592" s="141"/>
      <c r="K592" s="141"/>
    </row>
    <row r="593" spans="10:11" ht="15.75" customHeight="1">
      <c r="J593" s="141"/>
      <c r="K593" s="141"/>
    </row>
    <row r="594" spans="10:11" ht="15.75" customHeight="1">
      <c r="J594" s="141"/>
      <c r="K594" s="141"/>
    </row>
    <row r="595" spans="10:11" ht="15.75" customHeight="1">
      <c r="J595" s="141"/>
      <c r="K595" s="141"/>
    </row>
    <row r="596" spans="10:11" ht="15.75" customHeight="1">
      <c r="J596" s="141"/>
      <c r="K596" s="141"/>
    </row>
    <row r="597" spans="10:11" ht="15.75" customHeight="1">
      <c r="J597" s="141"/>
      <c r="K597" s="141"/>
    </row>
    <row r="598" spans="10:11" ht="15.75" customHeight="1">
      <c r="J598" s="141"/>
      <c r="K598" s="141"/>
    </row>
    <row r="599" spans="10:11" ht="15.75" customHeight="1">
      <c r="J599" s="141"/>
      <c r="K599" s="141"/>
    </row>
    <row r="600" spans="10:11" ht="15.75" customHeight="1">
      <c r="J600" s="141"/>
      <c r="K600" s="141"/>
    </row>
    <row r="601" spans="10:11" ht="15.75" customHeight="1">
      <c r="J601" s="141"/>
      <c r="K601" s="141"/>
    </row>
    <row r="602" spans="10:11" ht="15.75" customHeight="1">
      <c r="J602" s="141"/>
      <c r="K602" s="141"/>
    </row>
    <row r="603" spans="10:11" ht="15.75" customHeight="1">
      <c r="J603" s="141"/>
      <c r="K603" s="141"/>
    </row>
    <row r="604" spans="10:11" ht="15.75" customHeight="1">
      <c r="J604" s="141"/>
      <c r="K604" s="141"/>
    </row>
    <row r="605" spans="10:11" ht="15.75" customHeight="1">
      <c r="J605" s="141"/>
      <c r="K605" s="141"/>
    </row>
    <row r="606" spans="10:11" ht="15.75" customHeight="1">
      <c r="J606" s="141"/>
      <c r="K606" s="141"/>
    </row>
    <row r="607" spans="10:11" ht="15.75" customHeight="1">
      <c r="J607" s="141"/>
      <c r="K607" s="141"/>
    </row>
    <row r="608" spans="10:11" ht="15.75" customHeight="1">
      <c r="J608" s="141"/>
      <c r="K608" s="141"/>
    </row>
    <row r="609" spans="10:11" ht="15.75" customHeight="1">
      <c r="J609" s="141"/>
      <c r="K609" s="141"/>
    </row>
    <row r="610" spans="10:11" ht="15.75" customHeight="1">
      <c r="J610" s="141"/>
      <c r="K610" s="141"/>
    </row>
    <row r="611" spans="10:11" ht="15.75" customHeight="1">
      <c r="J611" s="141"/>
      <c r="K611" s="141"/>
    </row>
    <row r="612" spans="10:11" ht="15.75" customHeight="1">
      <c r="J612" s="141"/>
      <c r="K612" s="141"/>
    </row>
    <row r="613" spans="10:11" ht="15.75" customHeight="1">
      <c r="J613" s="141"/>
      <c r="K613" s="141"/>
    </row>
    <row r="614" spans="10:11" ht="15.75" customHeight="1">
      <c r="J614" s="141"/>
      <c r="K614" s="141"/>
    </row>
    <row r="615" spans="10:11" ht="15.75" customHeight="1">
      <c r="J615" s="141"/>
      <c r="K615" s="141"/>
    </row>
    <row r="616" spans="10:11" ht="15.75" customHeight="1">
      <c r="J616" s="141"/>
      <c r="K616" s="141"/>
    </row>
    <row r="617" spans="10:11" ht="15.75" customHeight="1">
      <c r="J617" s="141"/>
      <c r="K617" s="141"/>
    </row>
    <row r="618" spans="10:11" ht="15.75" customHeight="1">
      <c r="J618" s="141"/>
      <c r="K618" s="141"/>
    </row>
    <row r="619" spans="10:11" ht="15.75" customHeight="1">
      <c r="J619" s="141"/>
      <c r="K619" s="141"/>
    </row>
    <row r="620" spans="10:11" ht="15.75" customHeight="1">
      <c r="J620" s="141"/>
      <c r="K620" s="141"/>
    </row>
    <row r="621" spans="10:11" ht="15.75" customHeight="1">
      <c r="J621" s="141"/>
      <c r="K621" s="141"/>
    </row>
    <row r="622" spans="10:11" ht="15.75" customHeight="1">
      <c r="J622" s="141"/>
      <c r="K622" s="141"/>
    </row>
    <row r="623" spans="10:11" ht="15.75" customHeight="1">
      <c r="J623" s="141"/>
      <c r="K623" s="141"/>
    </row>
    <row r="624" spans="10:11" ht="15.75" customHeight="1">
      <c r="J624" s="141"/>
      <c r="K624" s="141"/>
    </row>
    <row r="625" spans="10:11" ht="15.75" customHeight="1">
      <c r="J625" s="141"/>
      <c r="K625" s="141"/>
    </row>
    <row r="626" spans="10:11" ht="15.75" customHeight="1">
      <c r="J626" s="141"/>
      <c r="K626" s="141"/>
    </row>
    <row r="627" spans="10:11" ht="15.75" customHeight="1">
      <c r="J627" s="141"/>
      <c r="K627" s="141"/>
    </row>
    <row r="628" spans="10:11" ht="15.75" customHeight="1">
      <c r="J628" s="141"/>
      <c r="K628" s="141"/>
    </row>
    <row r="629" spans="10:11" ht="15.75" customHeight="1">
      <c r="J629" s="141"/>
      <c r="K629" s="141"/>
    </row>
    <row r="630" spans="10:11" ht="15.75" customHeight="1">
      <c r="J630" s="141"/>
      <c r="K630" s="141"/>
    </row>
    <row r="631" spans="10:11" ht="15.75" customHeight="1">
      <c r="J631" s="141"/>
      <c r="K631" s="141"/>
    </row>
    <row r="632" spans="10:11" ht="15.75" customHeight="1">
      <c r="J632" s="141"/>
      <c r="K632" s="141"/>
    </row>
    <row r="633" spans="10:11" ht="15.75" customHeight="1">
      <c r="J633" s="141"/>
      <c r="K633" s="141"/>
    </row>
    <row r="634" spans="10:11" ht="15.75" customHeight="1">
      <c r="J634" s="141"/>
      <c r="K634" s="141"/>
    </row>
    <row r="635" spans="10:11" ht="15.75" customHeight="1">
      <c r="J635" s="141"/>
      <c r="K635" s="141"/>
    </row>
    <row r="636" spans="10:11" ht="15.75" customHeight="1">
      <c r="J636" s="141"/>
      <c r="K636" s="141"/>
    </row>
    <row r="637" spans="10:11" ht="15.75" customHeight="1">
      <c r="J637" s="141"/>
      <c r="K637" s="141"/>
    </row>
    <row r="638" spans="10:11" ht="15.75" customHeight="1">
      <c r="J638" s="141"/>
      <c r="K638" s="141"/>
    </row>
    <row r="639" spans="10:11" ht="15.75" customHeight="1">
      <c r="J639" s="141"/>
      <c r="K639" s="141"/>
    </row>
    <row r="640" spans="10:11" ht="15.75" customHeight="1">
      <c r="J640" s="141"/>
      <c r="K640" s="141"/>
    </row>
    <row r="641" spans="10:11" ht="15.75" customHeight="1">
      <c r="J641" s="141"/>
      <c r="K641" s="141"/>
    </row>
    <row r="642" spans="10:11" ht="15.75" customHeight="1">
      <c r="J642" s="141"/>
      <c r="K642" s="141"/>
    </row>
    <row r="643" spans="10:11" ht="15.75" customHeight="1">
      <c r="J643" s="141"/>
      <c r="K643" s="141"/>
    </row>
    <row r="644" spans="10:11" ht="15.75" customHeight="1">
      <c r="J644" s="141"/>
      <c r="K644" s="141"/>
    </row>
    <row r="645" spans="10:11" ht="15.75" customHeight="1">
      <c r="J645" s="141"/>
      <c r="K645" s="141"/>
    </row>
    <row r="646" spans="10:11" ht="15.75" customHeight="1">
      <c r="J646" s="141"/>
      <c r="K646" s="141"/>
    </row>
    <row r="647" spans="10:11" ht="15.75" customHeight="1">
      <c r="J647" s="141"/>
      <c r="K647" s="141"/>
    </row>
    <row r="648" spans="10:11" ht="15.75" customHeight="1">
      <c r="J648" s="141"/>
      <c r="K648" s="141"/>
    </row>
    <row r="649" spans="10:11" ht="15.75" customHeight="1">
      <c r="J649" s="141"/>
      <c r="K649" s="141"/>
    </row>
    <row r="650" spans="10:11" ht="15.75" customHeight="1">
      <c r="J650" s="141"/>
      <c r="K650" s="141"/>
    </row>
    <row r="651" spans="10:11" ht="15.75" customHeight="1">
      <c r="J651" s="141"/>
      <c r="K651" s="141"/>
    </row>
    <row r="652" spans="10:11" ht="15.75" customHeight="1">
      <c r="J652" s="141"/>
      <c r="K652" s="141"/>
    </row>
    <row r="653" spans="10:11" ht="15.75" customHeight="1">
      <c r="J653" s="141"/>
      <c r="K653" s="141"/>
    </row>
    <row r="654" spans="10:11" ht="15.75" customHeight="1">
      <c r="J654" s="141"/>
      <c r="K654" s="141"/>
    </row>
    <row r="655" spans="10:11" ht="15.75" customHeight="1">
      <c r="J655" s="141"/>
      <c r="K655" s="141"/>
    </row>
    <row r="656" spans="10:11" ht="15.75" customHeight="1">
      <c r="J656" s="141"/>
      <c r="K656" s="141"/>
    </row>
    <row r="657" spans="10:11" ht="15.75" customHeight="1">
      <c r="J657" s="141"/>
      <c r="K657" s="141"/>
    </row>
    <row r="658" spans="10:11" ht="15.75" customHeight="1">
      <c r="J658" s="141"/>
      <c r="K658" s="141"/>
    </row>
    <row r="659" spans="10:11" ht="15.75" customHeight="1">
      <c r="J659" s="141"/>
      <c r="K659" s="141"/>
    </row>
    <row r="660" spans="10:11" ht="15.75" customHeight="1">
      <c r="J660" s="141"/>
      <c r="K660" s="141"/>
    </row>
    <row r="661" spans="10:11" ht="15.75" customHeight="1">
      <c r="J661" s="141"/>
      <c r="K661" s="141"/>
    </row>
    <row r="662" spans="10:11" ht="15.75" customHeight="1">
      <c r="J662" s="141"/>
      <c r="K662" s="141"/>
    </row>
    <row r="663" spans="10:11" ht="15.75" customHeight="1">
      <c r="J663" s="141"/>
      <c r="K663" s="141"/>
    </row>
    <row r="664" spans="10:11" ht="15.75" customHeight="1">
      <c r="J664" s="141"/>
      <c r="K664" s="141"/>
    </row>
    <row r="665" spans="10:11" ht="15.75" customHeight="1">
      <c r="J665" s="141"/>
      <c r="K665" s="141"/>
    </row>
    <row r="666" spans="10:11" ht="15.75" customHeight="1">
      <c r="J666" s="141"/>
      <c r="K666" s="141"/>
    </row>
    <row r="667" spans="10:11" ht="15.75" customHeight="1">
      <c r="J667" s="141"/>
      <c r="K667" s="141"/>
    </row>
    <row r="668" spans="10:11" ht="15.75" customHeight="1">
      <c r="J668" s="141"/>
      <c r="K668" s="141"/>
    </row>
    <row r="669" spans="10:11" ht="15.75" customHeight="1">
      <c r="J669" s="141"/>
      <c r="K669" s="141"/>
    </row>
    <row r="670" spans="10:11" ht="15.75" customHeight="1">
      <c r="J670" s="141"/>
      <c r="K670" s="141"/>
    </row>
    <row r="671" spans="10:11" ht="15.75" customHeight="1">
      <c r="J671" s="141"/>
      <c r="K671" s="141"/>
    </row>
    <row r="672" spans="10:11" ht="15.75" customHeight="1">
      <c r="J672" s="141"/>
      <c r="K672" s="141"/>
    </row>
    <row r="673" spans="10:11" ht="15.75" customHeight="1">
      <c r="J673" s="141"/>
      <c r="K673" s="141"/>
    </row>
    <row r="674" spans="10:11" ht="15.75" customHeight="1">
      <c r="J674" s="141"/>
      <c r="K674" s="141"/>
    </row>
    <row r="675" spans="10:11" ht="15.75" customHeight="1">
      <c r="J675" s="141"/>
      <c r="K675" s="141"/>
    </row>
    <row r="676" spans="10:11" ht="15.75" customHeight="1">
      <c r="J676" s="141"/>
      <c r="K676" s="141"/>
    </row>
    <row r="677" spans="10:11" ht="15.75" customHeight="1">
      <c r="J677" s="141"/>
      <c r="K677" s="141"/>
    </row>
    <row r="678" spans="10:11" ht="15.75" customHeight="1">
      <c r="J678" s="141"/>
      <c r="K678" s="141"/>
    </row>
    <row r="679" spans="10:11" ht="15.75" customHeight="1">
      <c r="J679" s="141"/>
      <c r="K679" s="141"/>
    </row>
    <row r="680" spans="10:11" ht="15.75" customHeight="1">
      <c r="J680" s="141"/>
      <c r="K680" s="141"/>
    </row>
    <row r="681" spans="10:11" ht="15.75" customHeight="1">
      <c r="J681" s="141"/>
      <c r="K681" s="141"/>
    </row>
    <row r="682" spans="10:11" ht="15.75" customHeight="1">
      <c r="J682" s="141"/>
      <c r="K682" s="141"/>
    </row>
    <row r="683" spans="10:11" ht="15.75" customHeight="1">
      <c r="J683" s="141"/>
      <c r="K683" s="141"/>
    </row>
    <row r="684" spans="10:11" ht="15.75" customHeight="1">
      <c r="J684" s="141"/>
      <c r="K684" s="141"/>
    </row>
    <row r="685" spans="10:11" ht="15.75" customHeight="1">
      <c r="J685" s="141"/>
      <c r="K685" s="141"/>
    </row>
    <row r="686" spans="10:11" ht="15.75" customHeight="1">
      <c r="J686" s="141"/>
      <c r="K686" s="141"/>
    </row>
    <row r="687" spans="10:11" ht="15.75" customHeight="1">
      <c r="J687" s="141"/>
      <c r="K687" s="141"/>
    </row>
    <row r="688" spans="10:11" ht="15.75" customHeight="1">
      <c r="J688" s="141"/>
      <c r="K688" s="141"/>
    </row>
    <row r="689" spans="10:11" ht="15.75" customHeight="1">
      <c r="J689" s="141"/>
      <c r="K689" s="141"/>
    </row>
    <row r="690" spans="10:11" ht="15.75" customHeight="1">
      <c r="J690" s="141"/>
      <c r="K690" s="141"/>
    </row>
    <row r="691" spans="10:11" ht="15.75" customHeight="1">
      <c r="J691" s="141"/>
      <c r="K691" s="141"/>
    </row>
    <row r="692" spans="10:11" ht="15.75" customHeight="1">
      <c r="J692" s="141"/>
      <c r="K692" s="141"/>
    </row>
    <row r="693" spans="10:11" ht="15.75" customHeight="1">
      <c r="J693" s="141"/>
      <c r="K693" s="141"/>
    </row>
    <row r="694" spans="10:11" ht="15.75" customHeight="1">
      <c r="J694" s="141"/>
      <c r="K694" s="141"/>
    </row>
    <row r="695" spans="10:11" ht="15.75" customHeight="1">
      <c r="J695" s="141"/>
      <c r="K695" s="141"/>
    </row>
    <row r="696" spans="10:11" ht="15.75" customHeight="1">
      <c r="J696" s="141"/>
      <c r="K696" s="141"/>
    </row>
    <row r="697" spans="10:11" ht="15.75" customHeight="1">
      <c r="J697" s="141"/>
      <c r="K697" s="141"/>
    </row>
    <row r="698" spans="10:11" ht="15.75" customHeight="1">
      <c r="J698" s="141"/>
      <c r="K698" s="141"/>
    </row>
    <row r="699" spans="10:11" ht="15.75" customHeight="1">
      <c r="J699" s="141"/>
      <c r="K699" s="141"/>
    </row>
    <row r="700" spans="10:11" ht="15.75" customHeight="1">
      <c r="J700" s="141"/>
      <c r="K700" s="141"/>
    </row>
    <row r="701" spans="10:11" ht="15.75" customHeight="1">
      <c r="J701" s="141"/>
      <c r="K701" s="141"/>
    </row>
    <row r="702" spans="10:11" ht="15.75" customHeight="1">
      <c r="J702" s="141"/>
      <c r="K702" s="141"/>
    </row>
    <row r="703" spans="10:11" ht="15.75" customHeight="1">
      <c r="J703" s="141"/>
      <c r="K703" s="141"/>
    </row>
    <row r="704" spans="10:11" ht="15.75" customHeight="1">
      <c r="J704" s="141"/>
      <c r="K704" s="141"/>
    </row>
    <row r="705" spans="10:11" ht="15.75" customHeight="1">
      <c r="J705" s="141"/>
      <c r="K705" s="141"/>
    </row>
    <row r="706" spans="10:11" ht="15.75" customHeight="1">
      <c r="J706" s="141"/>
      <c r="K706" s="141"/>
    </row>
    <row r="707" spans="10:11" ht="15.75" customHeight="1">
      <c r="J707" s="141"/>
      <c r="K707" s="141"/>
    </row>
    <row r="708" spans="10:11" ht="15.75" customHeight="1">
      <c r="J708" s="141"/>
      <c r="K708" s="141"/>
    </row>
    <row r="709" spans="10:11" ht="15.75" customHeight="1">
      <c r="J709" s="141"/>
      <c r="K709" s="141"/>
    </row>
    <row r="710" spans="10:11" ht="15.75" customHeight="1">
      <c r="J710" s="141"/>
      <c r="K710" s="141"/>
    </row>
    <row r="711" spans="10:11" ht="15.75" customHeight="1">
      <c r="J711" s="141"/>
      <c r="K711" s="141"/>
    </row>
    <row r="712" spans="10:11" ht="15.75" customHeight="1">
      <c r="J712" s="141"/>
      <c r="K712" s="141"/>
    </row>
    <row r="713" spans="10:11" ht="15.75" customHeight="1">
      <c r="J713" s="141"/>
      <c r="K713" s="141"/>
    </row>
    <row r="714" spans="10:11" ht="15.75" customHeight="1">
      <c r="J714" s="141"/>
      <c r="K714" s="141"/>
    </row>
    <row r="715" spans="10:11" ht="15.75" customHeight="1">
      <c r="J715" s="141"/>
      <c r="K715" s="141"/>
    </row>
    <row r="716" spans="10:11" ht="15.75" customHeight="1">
      <c r="J716" s="141"/>
      <c r="K716" s="141"/>
    </row>
    <row r="717" spans="10:11" ht="15.75" customHeight="1">
      <c r="J717" s="141"/>
      <c r="K717" s="141"/>
    </row>
    <row r="718" spans="10:11" ht="15.75" customHeight="1">
      <c r="J718" s="141"/>
      <c r="K718" s="141"/>
    </row>
    <row r="719" spans="10:11" ht="15.75" customHeight="1">
      <c r="J719" s="141"/>
      <c r="K719" s="141"/>
    </row>
    <row r="720" spans="10:11" ht="15.75" customHeight="1">
      <c r="J720" s="141"/>
      <c r="K720" s="141"/>
    </row>
    <row r="721" spans="10:11" ht="15.75" customHeight="1">
      <c r="J721" s="141"/>
      <c r="K721" s="141"/>
    </row>
    <row r="722" spans="10:11" ht="15.75" customHeight="1">
      <c r="J722" s="141"/>
      <c r="K722" s="141"/>
    </row>
    <row r="723" spans="10:11" ht="15.75" customHeight="1">
      <c r="J723" s="141"/>
      <c r="K723" s="141"/>
    </row>
    <row r="724" spans="10:11" ht="15.75" customHeight="1">
      <c r="J724" s="141"/>
      <c r="K724" s="141"/>
    </row>
    <row r="725" spans="10:11" ht="15.75" customHeight="1">
      <c r="J725" s="141"/>
      <c r="K725" s="141"/>
    </row>
    <row r="726" spans="10:11" ht="15.75" customHeight="1">
      <c r="J726" s="141"/>
      <c r="K726" s="141"/>
    </row>
    <row r="727" spans="10:11" ht="15.75" customHeight="1">
      <c r="J727" s="141"/>
      <c r="K727" s="141"/>
    </row>
    <row r="728" spans="10:11" ht="15.75" customHeight="1">
      <c r="J728" s="141"/>
      <c r="K728" s="141"/>
    </row>
    <row r="729" spans="10:11" ht="15.75" customHeight="1">
      <c r="J729" s="141"/>
      <c r="K729" s="141"/>
    </row>
    <row r="730" spans="10:11" ht="15.75" customHeight="1">
      <c r="J730" s="141"/>
      <c r="K730" s="141"/>
    </row>
    <row r="731" spans="10:11" ht="15.75" customHeight="1">
      <c r="J731" s="141"/>
      <c r="K731" s="141"/>
    </row>
    <row r="732" spans="10:11" ht="15.75" customHeight="1">
      <c r="J732" s="141"/>
      <c r="K732" s="141"/>
    </row>
    <row r="733" spans="10:11" ht="15.75" customHeight="1">
      <c r="J733" s="141"/>
      <c r="K733" s="141"/>
    </row>
    <row r="734" spans="10:11" ht="15.75" customHeight="1">
      <c r="J734" s="141"/>
      <c r="K734" s="141"/>
    </row>
    <row r="735" spans="10:11" ht="15.75" customHeight="1">
      <c r="J735" s="141"/>
      <c r="K735" s="141"/>
    </row>
    <row r="736" spans="10:11" ht="15.75" customHeight="1">
      <c r="J736" s="141"/>
      <c r="K736" s="141"/>
    </row>
    <row r="737" spans="10:11" ht="15.75" customHeight="1">
      <c r="J737" s="141"/>
      <c r="K737" s="141"/>
    </row>
    <row r="738" spans="10:11" ht="15.75" customHeight="1">
      <c r="J738" s="141"/>
      <c r="K738" s="141"/>
    </row>
    <row r="739" spans="10:11" ht="15.75" customHeight="1">
      <c r="J739" s="141"/>
      <c r="K739" s="141"/>
    </row>
    <row r="740" spans="10:11" ht="15.75" customHeight="1">
      <c r="J740" s="141"/>
      <c r="K740" s="141"/>
    </row>
    <row r="741" spans="10:11" ht="15.75" customHeight="1">
      <c r="J741" s="141"/>
      <c r="K741" s="141"/>
    </row>
    <row r="742" spans="10:11" ht="15.75" customHeight="1">
      <c r="J742" s="141"/>
      <c r="K742" s="141"/>
    </row>
    <row r="743" spans="10:11" ht="15.75" customHeight="1">
      <c r="J743" s="141"/>
      <c r="K743" s="141"/>
    </row>
    <row r="744" spans="10:11" ht="15.75" customHeight="1">
      <c r="J744" s="141"/>
      <c r="K744" s="141"/>
    </row>
    <row r="745" spans="10:11" ht="15.75" customHeight="1">
      <c r="J745" s="141"/>
      <c r="K745" s="141"/>
    </row>
    <row r="746" spans="10:11" ht="15.75" customHeight="1">
      <c r="J746" s="141"/>
      <c r="K746" s="141"/>
    </row>
    <row r="747" spans="10:11" ht="15.75" customHeight="1">
      <c r="J747" s="141"/>
      <c r="K747" s="141"/>
    </row>
    <row r="748" spans="10:11" ht="15.75" customHeight="1">
      <c r="J748" s="141"/>
      <c r="K748" s="141"/>
    </row>
    <row r="749" spans="10:11" ht="15.75" customHeight="1">
      <c r="J749" s="141"/>
      <c r="K749" s="141"/>
    </row>
    <row r="750" spans="10:11" ht="15.75" customHeight="1">
      <c r="J750" s="141"/>
      <c r="K750" s="141"/>
    </row>
    <row r="751" spans="10:11" ht="15.75" customHeight="1">
      <c r="J751" s="141"/>
      <c r="K751" s="141"/>
    </row>
    <row r="752" spans="10:11" ht="15.75" customHeight="1">
      <c r="J752" s="141"/>
      <c r="K752" s="141"/>
    </row>
    <row r="753" spans="10:11" ht="15.75" customHeight="1">
      <c r="J753" s="141"/>
      <c r="K753" s="141"/>
    </row>
    <row r="754" spans="10:11" ht="15.75" customHeight="1">
      <c r="J754" s="141"/>
      <c r="K754" s="141"/>
    </row>
    <row r="755" spans="10:11" ht="15.75" customHeight="1">
      <c r="J755" s="141"/>
      <c r="K755" s="141"/>
    </row>
    <row r="756" spans="10:11" ht="15.75" customHeight="1">
      <c r="J756" s="141"/>
      <c r="K756" s="141"/>
    </row>
    <row r="757" spans="10:11" ht="15.75" customHeight="1">
      <c r="J757" s="141"/>
      <c r="K757" s="141"/>
    </row>
    <row r="758" spans="10:11" ht="15.75" customHeight="1">
      <c r="J758" s="141"/>
      <c r="K758" s="141"/>
    </row>
    <row r="759" spans="10:11" ht="15.75" customHeight="1">
      <c r="J759" s="141"/>
      <c r="K759" s="141"/>
    </row>
    <row r="760" spans="10:11" ht="15.75" customHeight="1">
      <c r="J760" s="141"/>
      <c r="K760" s="141"/>
    </row>
    <row r="761" spans="10:11" ht="15.75" customHeight="1">
      <c r="J761" s="141"/>
      <c r="K761" s="141"/>
    </row>
    <row r="762" spans="10:11" ht="15.75" customHeight="1">
      <c r="J762" s="141"/>
      <c r="K762" s="141"/>
    </row>
    <row r="763" spans="10:11" ht="15.75" customHeight="1">
      <c r="J763" s="141"/>
      <c r="K763" s="141"/>
    </row>
    <row r="764" spans="10:11" ht="15.75" customHeight="1">
      <c r="J764" s="141"/>
      <c r="K764" s="141"/>
    </row>
    <row r="765" spans="10:11" ht="15.75" customHeight="1">
      <c r="J765" s="141"/>
      <c r="K765" s="141"/>
    </row>
    <row r="766" spans="10:11" ht="15.75" customHeight="1">
      <c r="J766" s="141"/>
      <c r="K766" s="141"/>
    </row>
    <row r="767" spans="10:11" ht="15.75" customHeight="1">
      <c r="J767" s="141"/>
      <c r="K767" s="141"/>
    </row>
    <row r="768" spans="10:11" ht="15.75" customHeight="1">
      <c r="J768" s="141"/>
      <c r="K768" s="141"/>
    </row>
    <row r="769" spans="10:11" ht="15.75" customHeight="1">
      <c r="J769" s="141"/>
      <c r="K769" s="141"/>
    </row>
    <row r="770" spans="10:11" ht="15.75" customHeight="1">
      <c r="J770" s="141"/>
      <c r="K770" s="141"/>
    </row>
    <row r="771" spans="10:11" ht="15.75" customHeight="1">
      <c r="J771" s="141"/>
      <c r="K771" s="141"/>
    </row>
    <row r="772" spans="10:11" ht="15.75" customHeight="1">
      <c r="J772" s="141"/>
      <c r="K772" s="141"/>
    </row>
    <row r="773" spans="10:11" ht="15.75" customHeight="1">
      <c r="J773" s="141"/>
      <c r="K773" s="141"/>
    </row>
    <row r="774" spans="10:11" ht="15.75" customHeight="1">
      <c r="J774" s="141"/>
      <c r="K774" s="141"/>
    </row>
    <row r="775" spans="10:11" ht="15.75" customHeight="1">
      <c r="J775" s="141"/>
      <c r="K775" s="141"/>
    </row>
    <row r="776" spans="10:11" ht="15.75" customHeight="1">
      <c r="J776" s="141"/>
      <c r="K776" s="141"/>
    </row>
    <row r="777" spans="10:11" ht="15.75" customHeight="1">
      <c r="J777" s="141"/>
      <c r="K777" s="141"/>
    </row>
    <row r="778" spans="10:11" ht="15.75" customHeight="1">
      <c r="J778" s="141"/>
      <c r="K778" s="141"/>
    </row>
    <row r="779" spans="10:11" ht="15.75" customHeight="1">
      <c r="J779" s="141"/>
      <c r="K779" s="141"/>
    </row>
    <row r="780" spans="10:11" ht="15.75" customHeight="1">
      <c r="J780" s="141"/>
      <c r="K780" s="141"/>
    </row>
    <row r="781" spans="10:11" ht="15.75" customHeight="1">
      <c r="J781" s="141"/>
      <c r="K781" s="141"/>
    </row>
    <row r="782" spans="10:11" ht="15.75" customHeight="1">
      <c r="J782" s="141"/>
      <c r="K782" s="141"/>
    </row>
    <row r="783" spans="10:11" ht="15.75" customHeight="1">
      <c r="J783" s="141"/>
      <c r="K783" s="141"/>
    </row>
    <row r="784" spans="10:11" ht="15.75" customHeight="1">
      <c r="J784" s="141"/>
      <c r="K784" s="141"/>
    </row>
    <row r="785" spans="10:11" ht="15.75" customHeight="1">
      <c r="J785" s="141"/>
      <c r="K785" s="141"/>
    </row>
    <row r="786" spans="10:11" ht="15.75" customHeight="1">
      <c r="J786" s="141"/>
      <c r="K786" s="141"/>
    </row>
    <row r="787" spans="10:11" ht="15.75" customHeight="1">
      <c r="J787" s="141"/>
      <c r="K787" s="141"/>
    </row>
    <row r="788" spans="10:11" ht="15.75" customHeight="1">
      <c r="J788" s="141"/>
      <c r="K788" s="141"/>
    </row>
    <row r="789" spans="10:11" ht="15.75" customHeight="1">
      <c r="J789" s="141"/>
      <c r="K789" s="141"/>
    </row>
    <row r="790" spans="10:11" ht="15.75" customHeight="1">
      <c r="J790" s="141"/>
      <c r="K790" s="141"/>
    </row>
    <row r="791" spans="10:11" ht="15.75" customHeight="1">
      <c r="J791" s="141"/>
      <c r="K791" s="141"/>
    </row>
    <row r="792" spans="10:11" ht="15.75" customHeight="1">
      <c r="J792" s="141"/>
      <c r="K792" s="141"/>
    </row>
    <row r="793" spans="10:11" ht="15.75" customHeight="1">
      <c r="J793" s="141"/>
      <c r="K793" s="141"/>
    </row>
    <row r="794" spans="10:11" ht="15.75" customHeight="1">
      <c r="J794" s="141"/>
      <c r="K794" s="141"/>
    </row>
    <row r="795" spans="10:11" ht="15.75" customHeight="1">
      <c r="J795" s="141"/>
      <c r="K795" s="141"/>
    </row>
    <row r="796" spans="10:11" ht="15.75" customHeight="1">
      <c r="J796" s="141"/>
      <c r="K796" s="141"/>
    </row>
    <row r="797" spans="10:11" ht="15.75" customHeight="1">
      <c r="J797" s="141"/>
      <c r="K797" s="141"/>
    </row>
    <row r="798" spans="10:11" ht="15.75" customHeight="1">
      <c r="J798" s="141"/>
      <c r="K798" s="141"/>
    </row>
    <row r="799" spans="10:11" ht="15.75" customHeight="1">
      <c r="J799" s="141"/>
      <c r="K799" s="141"/>
    </row>
    <row r="800" spans="10:11" ht="15.75" customHeight="1">
      <c r="J800" s="141"/>
      <c r="K800" s="141"/>
    </row>
    <row r="801" spans="10:11" ht="15.75" customHeight="1">
      <c r="J801" s="141"/>
      <c r="K801" s="141"/>
    </row>
    <row r="802" spans="10:11" ht="15.75" customHeight="1">
      <c r="J802" s="141"/>
      <c r="K802" s="141"/>
    </row>
    <row r="803" spans="10:11" ht="15.75" customHeight="1">
      <c r="J803" s="141"/>
      <c r="K803" s="141"/>
    </row>
    <row r="804" spans="10:11" ht="15.75" customHeight="1">
      <c r="J804" s="141"/>
      <c r="K804" s="141"/>
    </row>
    <row r="805" spans="10:11" ht="15.75" customHeight="1">
      <c r="J805" s="141"/>
      <c r="K805" s="141"/>
    </row>
    <row r="806" spans="10:11" ht="15.75" customHeight="1">
      <c r="J806" s="141"/>
      <c r="K806" s="141"/>
    </row>
    <row r="807" spans="10:11" ht="15.75" customHeight="1">
      <c r="J807" s="141"/>
      <c r="K807" s="141"/>
    </row>
    <row r="808" spans="10:11" ht="15.75" customHeight="1">
      <c r="J808" s="141"/>
      <c r="K808" s="141"/>
    </row>
    <row r="809" spans="10:11" ht="15.75" customHeight="1">
      <c r="J809" s="141"/>
      <c r="K809" s="141"/>
    </row>
    <row r="810" spans="10:11" ht="15.75" customHeight="1">
      <c r="J810" s="141"/>
      <c r="K810" s="141"/>
    </row>
    <row r="811" spans="10:11" ht="15.75" customHeight="1">
      <c r="J811" s="141"/>
      <c r="K811" s="141"/>
    </row>
    <row r="812" spans="10:11" ht="15.75" customHeight="1">
      <c r="J812" s="141"/>
      <c r="K812" s="141"/>
    </row>
    <row r="813" spans="10:11" ht="15.75" customHeight="1">
      <c r="J813" s="141"/>
      <c r="K813" s="141"/>
    </row>
    <row r="814" spans="10:11" ht="15.75" customHeight="1">
      <c r="J814" s="141"/>
      <c r="K814" s="141"/>
    </row>
    <row r="815" spans="10:11" ht="15.75" customHeight="1">
      <c r="J815" s="141"/>
      <c r="K815" s="141"/>
    </row>
    <row r="816" spans="10:11" ht="15.75" customHeight="1">
      <c r="J816" s="141"/>
      <c r="K816" s="141"/>
    </row>
    <row r="817" spans="10:11" ht="15.75" customHeight="1">
      <c r="J817" s="141"/>
      <c r="K817" s="141"/>
    </row>
    <row r="818" spans="10:11" ht="15.75" customHeight="1">
      <c r="J818" s="141"/>
      <c r="K818" s="141"/>
    </row>
    <row r="819" spans="10:11" ht="15.75" customHeight="1">
      <c r="J819" s="141"/>
      <c r="K819" s="141"/>
    </row>
    <row r="820" spans="10:11" ht="15.75" customHeight="1">
      <c r="J820" s="141"/>
      <c r="K820" s="141"/>
    </row>
    <row r="821" spans="10:11" ht="15.75" customHeight="1">
      <c r="J821" s="141"/>
      <c r="K821" s="141"/>
    </row>
    <row r="822" spans="10:11" ht="15.75" customHeight="1">
      <c r="J822" s="141"/>
      <c r="K822" s="141"/>
    </row>
    <row r="823" spans="10:11" ht="15.75" customHeight="1">
      <c r="J823" s="141"/>
      <c r="K823" s="141"/>
    </row>
    <row r="824" spans="10:11" ht="15.75" customHeight="1">
      <c r="J824" s="141"/>
      <c r="K824" s="141"/>
    </row>
    <row r="825" spans="10:11" ht="15.75" customHeight="1">
      <c r="J825" s="141"/>
      <c r="K825" s="141"/>
    </row>
    <row r="826" spans="10:11" ht="15.75" customHeight="1">
      <c r="J826" s="141"/>
      <c r="K826" s="141"/>
    </row>
    <row r="827" spans="10:11" ht="15.75" customHeight="1">
      <c r="J827" s="141"/>
      <c r="K827" s="141"/>
    </row>
    <row r="828" spans="10:11" ht="15.75" customHeight="1">
      <c r="J828" s="141"/>
      <c r="K828" s="141"/>
    </row>
    <row r="829" spans="10:11" ht="15.75" customHeight="1">
      <c r="J829" s="141"/>
      <c r="K829" s="141"/>
    </row>
    <row r="830" spans="10:11" ht="15.75" customHeight="1">
      <c r="J830" s="141"/>
      <c r="K830" s="141"/>
    </row>
    <row r="831" spans="10:11" ht="15.75" customHeight="1">
      <c r="J831" s="141"/>
      <c r="K831" s="141"/>
    </row>
    <row r="832" spans="10:11" ht="15.75" customHeight="1">
      <c r="J832" s="141"/>
      <c r="K832" s="141"/>
    </row>
    <row r="833" spans="10:11" ht="15.75" customHeight="1">
      <c r="J833" s="141"/>
      <c r="K833" s="141"/>
    </row>
    <row r="834" spans="10:11" ht="15.75" customHeight="1">
      <c r="J834" s="141"/>
      <c r="K834" s="141"/>
    </row>
    <row r="835" spans="10:11" ht="15.75" customHeight="1">
      <c r="J835" s="141"/>
      <c r="K835" s="141"/>
    </row>
    <row r="836" spans="10:11" ht="15.75" customHeight="1">
      <c r="J836" s="141"/>
      <c r="K836" s="141"/>
    </row>
    <row r="837" spans="10:11" ht="15.75" customHeight="1">
      <c r="J837" s="141"/>
      <c r="K837" s="141"/>
    </row>
    <row r="838" spans="10:11" ht="15.75" customHeight="1">
      <c r="J838" s="141"/>
      <c r="K838" s="141"/>
    </row>
    <row r="839" spans="10:11" ht="15.75" customHeight="1">
      <c r="J839" s="141"/>
      <c r="K839" s="141"/>
    </row>
    <row r="840" spans="10:11" ht="15.75" customHeight="1">
      <c r="J840" s="141"/>
      <c r="K840" s="141"/>
    </row>
    <row r="841" spans="10:11" ht="15.75" customHeight="1">
      <c r="J841" s="141"/>
      <c r="K841" s="141"/>
    </row>
    <row r="842" spans="10:11" ht="15.75" customHeight="1">
      <c r="J842" s="141"/>
      <c r="K842" s="141"/>
    </row>
    <row r="843" spans="10:11" ht="15.75" customHeight="1">
      <c r="J843" s="141"/>
      <c r="K843" s="141"/>
    </row>
    <row r="844" spans="10:11" ht="15.75" customHeight="1">
      <c r="J844" s="141"/>
      <c r="K844" s="141"/>
    </row>
    <row r="845" spans="10:11" ht="15.75" customHeight="1">
      <c r="J845" s="141"/>
      <c r="K845" s="141"/>
    </row>
    <row r="846" spans="10:11" ht="15.75" customHeight="1">
      <c r="J846" s="141"/>
      <c r="K846" s="141"/>
    </row>
    <row r="847" spans="10:11" ht="15.75" customHeight="1">
      <c r="J847" s="141"/>
      <c r="K847" s="141"/>
    </row>
    <row r="848" spans="10:11" ht="15.75" customHeight="1">
      <c r="J848" s="141"/>
      <c r="K848" s="141"/>
    </row>
    <row r="849" spans="10:11" ht="15.75" customHeight="1">
      <c r="J849" s="141"/>
      <c r="K849" s="141"/>
    </row>
    <row r="850" spans="10:11" ht="15.75" customHeight="1">
      <c r="J850" s="141"/>
      <c r="K850" s="141"/>
    </row>
    <row r="851" spans="10:11" ht="15.75" customHeight="1">
      <c r="J851" s="141"/>
      <c r="K851" s="141"/>
    </row>
    <row r="852" spans="10:11" ht="15.75" customHeight="1">
      <c r="J852" s="141"/>
      <c r="K852" s="141"/>
    </row>
    <row r="853" spans="10:11" ht="15.75" customHeight="1">
      <c r="J853" s="141"/>
      <c r="K853" s="141"/>
    </row>
    <row r="854" spans="10:11" ht="15.75" customHeight="1">
      <c r="J854" s="141"/>
      <c r="K854" s="141"/>
    </row>
    <row r="855" spans="10:11" ht="15.75" customHeight="1">
      <c r="J855" s="141"/>
      <c r="K855" s="141"/>
    </row>
    <row r="856" spans="10:11" ht="15.75" customHeight="1">
      <c r="J856" s="141"/>
      <c r="K856" s="141"/>
    </row>
    <row r="857" spans="10:11" ht="15.75" customHeight="1">
      <c r="J857" s="141"/>
      <c r="K857" s="141"/>
    </row>
    <row r="858" spans="10:11" ht="15.75" customHeight="1">
      <c r="J858" s="141"/>
      <c r="K858" s="141"/>
    </row>
    <row r="859" spans="10:11" ht="15.75" customHeight="1">
      <c r="J859" s="141"/>
      <c r="K859" s="141"/>
    </row>
    <row r="860" spans="10:11" ht="15.75" customHeight="1">
      <c r="J860" s="141"/>
      <c r="K860" s="141"/>
    </row>
    <row r="861" spans="10:11" ht="15.75" customHeight="1">
      <c r="J861" s="141"/>
      <c r="K861" s="141"/>
    </row>
    <row r="862" spans="10:11" ht="15.75" customHeight="1">
      <c r="J862" s="141"/>
      <c r="K862" s="141"/>
    </row>
    <row r="863" spans="10:11" ht="15.75" customHeight="1">
      <c r="J863" s="141"/>
      <c r="K863" s="141"/>
    </row>
    <row r="864" spans="10:11" ht="15.75" customHeight="1">
      <c r="J864" s="141"/>
      <c r="K864" s="141"/>
    </row>
    <row r="865" spans="10:11" ht="15.75" customHeight="1">
      <c r="J865" s="141"/>
      <c r="K865" s="141"/>
    </row>
    <row r="866" spans="10:11" ht="15.75" customHeight="1">
      <c r="J866" s="141"/>
      <c r="K866" s="141"/>
    </row>
    <row r="867" spans="10:11" ht="15.75" customHeight="1">
      <c r="J867" s="141"/>
      <c r="K867" s="141"/>
    </row>
    <row r="868" spans="10:11" ht="15.75" customHeight="1">
      <c r="J868" s="141"/>
      <c r="K868" s="141"/>
    </row>
    <row r="869" spans="10:11" ht="15.75" customHeight="1">
      <c r="J869" s="141"/>
      <c r="K869" s="141"/>
    </row>
    <row r="870" spans="10:11" ht="15.75" customHeight="1">
      <c r="J870" s="141"/>
      <c r="K870" s="141"/>
    </row>
    <row r="871" spans="10:11" ht="15.75" customHeight="1">
      <c r="J871" s="141"/>
      <c r="K871" s="141"/>
    </row>
    <row r="872" spans="10:11" ht="15.75" customHeight="1">
      <c r="J872" s="141"/>
      <c r="K872" s="141"/>
    </row>
    <row r="873" spans="10:11" ht="15.75" customHeight="1">
      <c r="J873" s="141"/>
      <c r="K873" s="141"/>
    </row>
    <row r="874" spans="10:11" ht="15.75" customHeight="1">
      <c r="J874" s="141"/>
      <c r="K874" s="141"/>
    </row>
    <row r="875" spans="10:11" ht="15.75" customHeight="1">
      <c r="J875" s="141"/>
      <c r="K875" s="141"/>
    </row>
    <row r="876" spans="10:11" ht="15.75" customHeight="1">
      <c r="J876" s="141"/>
      <c r="K876" s="141"/>
    </row>
    <row r="877" spans="10:11" ht="15.75" customHeight="1">
      <c r="J877" s="141"/>
      <c r="K877" s="141"/>
    </row>
    <row r="878" spans="10:11" ht="15.75" customHeight="1">
      <c r="J878" s="141"/>
      <c r="K878" s="141"/>
    </row>
    <row r="879" spans="10:11" ht="15.75" customHeight="1">
      <c r="J879" s="141"/>
      <c r="K879" s="141"/>
    </row>
    <row r="880" spans="10:11" ht="15.75" customHeight="1">
      <c r="J880" s="141"/>
      <c r="K880" s="141"/>
    </row>
    <row r="881" spans="10:11" ht="15.75" customHeight="1">
      <c r="J881" s="141"/>
      <c r="K881" s="141"/>
    </row>
    <row r="882" spans="10:11" ht="15.75" customHeight="1">
      <c r="J882" s="141"/>
      <c r="K882" s="141"/>
    </row>
    <row r="883" spans="10:11" ht="15.75" customHeight="1">
      <c r="J883" s="141"/>
      <c r="K883" s="141"/>
    </row>
    <row r="884" spans="10:11" ht="15.75" customHeight="1">
      <c r="J884" s="141"/>
      <c r="K884" s="141"/>
    </row>
    <row r="885" spans="10:11" ht="15.75" customHeight="1">
      <c r="J885" s="141"/>
      <c r="K885" s="141"/>
    </row>
    <row r="886" spans="10:11" ht="15.75" customHeight="1">
      <c r="J886" s="141"/>
      <c r="K886" s="141"/>
    </row>
    <row r="887" spans="10:11" ht="15.75" customHeight="1">
      <c r="J887" s="141"/>
      <c r="K887" s="141"/>
    </row>
    <row r="888" spans="10:11" ht="15.75" customHeight="1">
      <c r="J888" s="141"/>
      <c r="K888" s="141"/>
    </row>
    <row r="889" spans="10:11" ht="15.75" customHeight="1">
      <c r="J889" s="141"/>
      <c r="K889" s="141"/>
    </row>
    <row r="890" spans="10:11" ht="15.75" customHeight="1">
      <c r="J890" s="141"/>
      <c r="K890" s="141"/>
    </row>
    <row r="891" spans="10:11" ht="15.75" customHeight="1">
      <c r="J891" s="141"/>
      <c r="K891" s="141"/>
    </row>
    <row r="892" spans="10:11" ht="15.75" customHeight="1">
      <c r="J892" s="141"/>
      <c r="K892" s="141"/>
    </row>
    <row r="893" spans="10:11" ht="15.75" customHeight="1">
      <c r="J893" s="141"/>
      <c r="K893" s="141"/>
    </row>
    <row r="894" spans="10:11" ht="15.75" customHeight="1">
      <c r="J894" s="141"/>
      <c r="K894" s="141"/>
    </row>
    <row r="895" spans="10:11" ht="15.75" customHeight="1">
      <c r="J895" s="141"/>
      <c r="K895" s="141"/>
    </row>
    <row r="896" spans="10:11" ht="15.75" customHeight="1">
      <c r="J896" s="141"/>
      <c r="K896" s="141"/>
    </row>
    <row r="897" spans="10:11" ht="15.75" customHeight="1">
      <c r="J897" s="141"/>
      <c r="K897" s="141"/>
    </row>
    <row r="898" spans="10:11" ht="15.75" customHeight="1">
      <c r="J898" s="141"/>
      <c r="K898" s="141"/>
    </row>
    <row r="899" spans="10:11" ht="15.75" customHeight="1">
      <c r="J899" s="141"/>
      <c r="K899" s="141"/>
    </row>
    <row r="900" spans="10:11" ht="15.75" customHeight="1">
      <c r="J900" s="141"/>
      <c r="K900" s="141"/>
    </row>
    <row r="901" spans="10:11" ht="15.75" customHeight="1">
      <c r="J901" s="141"/>
      <c r="K901" s="141"/>
    </row>
    <row r="902" spans="10:11" ht="15.75" customHeight="1">
      <c r="J902" s="141"/>
      <c r="K902" s="141"/>
    </row>
    <row r="903" spans="10:11" ht="15.75" customHeight="1">
      <c r="J903" s="141"/>
      <c r="K903" s="141"/>
    </row>
    <row r="904" spans="10:11" ht="15.75" customHeight="1">
      <c r="J904" s="141"/>
      <c r="K904" s="141"/>
    </row>
    <row r="905" spans="10:11" ht="15.75" customHeight="1">
      <c r="J905" s="141"/>
      <c r="K905" s="141"/>
    </row>
    <row r="906" spans="10:11" ht="15.75" customHeight="1">
      <c r="J906" s="141"/>
      <c r="K906" s="141"/>
    </row>
    <row r="907" spans="10:11" ht="15.75" customHeight="1">
      <c r="J907" s="141"/>
      <c r="K907" s="141"/>
    </row>
    <row r="908" spans="10:11" ht="15.75" customHeight="1">
      <c r="J908" s="141"/>
      <c r="K908" s="141"/>
    </row>
    <row r="909" spans="10:11" ht="15.75" customHeight="1">
      <c r="J909" s="141"/>
      <c r="K909" s="141"/>
    </row>
    <row r="910" spans="10:11" ht="15.75" customHeight="1">
      <c r="J910" s="141"/>
      <c r="K910" s="141"/>
    </row>
    <row r="911" spans="10:11" ht="15.75" customHeight="1">
      <c r="J911" s="141"/>
      <c r="K911" s="141"/>
    </row>
    <row r="912" spans="10:11" ht="15.75" customHeight="1">
      <c r="J912" s="141"/>
      <c r="K912" s="141"/>
    </row>
    <row r="913" spans="10:11" ht="15.75" customHeight="1">
      <c r="J913" s="141"/>
      <c r="K913" s="141"/>
    </row>
    <row r="914" spans="10:11" ht="15.75" customHeight="1">
      <c r="J914" s="141"/>
      <c r="K914" s="141"/>
    </row>
    <row r="915" spans="10:11" ht="15.75" customHeight="1">
      <c r="J915" s="141"/>
      <c r="K915" s="141"/>
    </row>
    <row r="916" spans="10:11" ht="15.75" customHeight="1">
      <c r="J916" s="141"/>
      <c r="K916" s="141"/>
    </row>
    <row r="917" spans="10:11" ht="15.75" customHeight="1">
      <c r="J917" s="141"/>
      <c r="K917" s="141"/>
    </row>
    <row r="918" spans="10:11" ht="15.75" customHeight="1">
      <c r="J918" s="141"/>
      <c r="K918" s="141"/>
    </row>
    <row r="919" spans="10:11" ht="15.75" customHeight="1">
      <c r="J919" s="141"/>
      <c r="K919" s="141"/>
    </row>
    <row r="920" spans="10:11" ht="15.75" customHeight="1">
      <c r="J920" s="141"/>
      <c r="K920" s="141"/>
    </row>
    <row r="921" spans="10:11" ht="15.75" customHeight="1">
      <c r="J921" s="141"/>
      <c r="K921" s="141"/>
    </row>
    <row r="922" spans="10:11" ht="15.75" customHeight="1">
      <c r="J922" s="141"/>
      <c r="K922" s="141"/>
    </row>
    <row r="923" spans="10:11" ht="15.75" customHeight="1">
      <c r="J923" s="141"/>
      <c r="K923" s="141"/>
    </row>
    <row r="924" spans="10:11" ht="15.75" customHeight="1">
      <c r="J924" s="141"/>
      <c r="K924" s="141"/>
    </row>
    <row r="925" spans="10:11" ht="15.75" customHeight="1">
      <c r="J925" s="141"/>
      <c r="K925" s="141"/>
    </row>
    <row r="926" spans="10:11" ht="15.75" customHeight="1">
      <c r="J926" s="141"/>
      <c r="K926" s="141"/>
    </row>
    <row r="927" spans="10:11" ht="15.75" customHeight="1">
      <c r="J927" s="141"/>
      <c r="K927" s="141"/>
    </row>
    <row r="928" spans="10:11" ht="15.75" customHeight="1">
      <c r="J928" s="141"/>
      <c r="K928" s="141"/>
    </row>
    <row r="929" spans="10:11" ht="15.75" customHeight="1">
      <c r="J929" s="141"/>
      <c r="K929" s="141"/>
    </row>
    <row r="930" spans="10:11" ht="15.75" customHeight="1">
      <c r="J930" s="141"/>
      <c r="K930" s="141"/>
    </row>
    <row r="931" spans="10:11" ht="15.75" customHeight="1">
      <c r="J931" s="141"/>
      <c r="K931" s="141"/>
    </row>
    <row r="932" spans="10:11" ht="15.75" customHeight="1">
      <c r="J932" s="141"/>
      <c r="K932" s="141"/>
    </row>
    <row r="933" spans="10:11" ht="15.75" customHeight="1">
      <c r="J933" s="141"/>
      <c r="K933" s="141"/>
    </row>
    <row r="934" spans="10:11" ht="15.75" customHeight="1">
      <c r="J934" s="141"/>
      <c r="K934" s="141"/>
    </row>
    <row r="935" spans="10:11" ht="15.75" customHeight="1">
      <c r="J935" s="141"/>
      <c r="K935" s="141"/>
    </row>
    <row r="936" spans="10:11" ht="15.75" customHeight="1">
      <c r="J936" s="141"/>
      <c r="K936" s="141"/>
    </row>
    <row r="937" spans="10:11" ht="15.75" customHeight="1">
      <c r="J937" s="141"/>
      <c r="K937" s="141"/>
    </row>
    <row r="938" spans="10:11" ht="15.75" customHeight="1">
      <c r="J938" s="141"/>
      <c r="K938" s="141"/>
    </row>
    <row r="939" spans="10:11" ht="15.75" customHeight="1">
      <c r="J939" s="141"/>
      <c r="K939" s="141"/>
    </row>
    <row r="940" spans="10:11" ht="15.75" customHeight="1">
      <c r="J940" s="141"/>
      <c r="K940" s="141"/>
    </row>
    <row r="941" spans="10:11" ht="15.75" customHeight="1">
      <c r="J941" s="141"/>
      <c r="K941" s="141"/>
    </row>
    <row r="942" spans="10:11" ht="15.75" customHeight="1">
      <c r="J942" s="141"/>
      <c r="K942" s="141"/>
    </row>
    <row r="943" spans="10:11" ht="15.75" customHeight="1">
      <c r="J943" s="141"/>
      <c r="K943" s="141"/>
    </row>
    <row r="944" spans="10:11" ht="15.75" customHeight="1">
      <c r="J944" s="141"/>
      <c r="K944" s="141"/>
    </row>
    <row r="945" spans="10:11" ht="15.75" customHeight="1">
      <c r="J945" s="141"/>
      <c r="K945" s="141"/>
    </row>
    <row r="946" spans="10:11" ht="15.75" customHeight="1">
      <c r="J946" s="141"/>
      <c r="K946" s="141"/>
    </row>
    <row r="947" spans="10:11" ht="15.75" customHeight="1">
      <c r="J947" s="141"/>
      <c r="K947" s="141"/>
    </row>
    <row r="948" spans="10:11" ht="15.75" customHeight="1">
      <c r="J948" s="141"/>
      <c r="K948" s="141"/>
    </row>
    <row r="949" spans="10:11" ht="15.75" customHeight="1">
      <c r="J949" s="141"/>
      <c r="K949" s="141"/>
    </row>
    <row r="950" spans="10:11" ht="15.75" customHeight="1">
      <c r="J950" s="141"/>
      <c r="K950" s="141"/>
    </row>
    <row r="951" spans="10:11" ht="15.75" customHeight="1">
      <c r="J951" s="141"/>
      <c r="K951" s="141"/>
    </row>
    <row r="952" spans="10:11" ht="15.75" customHeight="1">
      <c r="J952" s="141"/>
      <c r="K952" s="141"/>
    </row>
    <row r="953" spans="10:11" ht="15.75" customHeight="1">
      <c r="J953" s="141"/>
      <c r="K953" s="141"/>
    </row>
    <row r="954" spans="10:11" ht="15.75" customHeight="1">
      <c r="J954" s="141"/>
      <c r="K954" s="141"/>
    </row>
    <row r="955" spans="10:11" ht="15.75" customHeight="1">
      <c r="J955" s="141"/>
      <c r="K955" s="141"/>
    </row>
    <row r="956" spans="10:11" ht="15.75" customHeight="1">
      <c r="J956" s="141"/>
      <c r="K956" s="141"/>
    </row>
    <row r="957" spans="10:11" ht="15.75" customHeight="1">
      <c r="J957" s="141"/>
      <c r="K957" s="141"/>
    </row>
    <row r="958" spans="10:11" ht="15.75" customHeight="1">
      <c r="J958" s="141"/>
      <c r="K958" s="141"/>
    </row>
    <row r="959" spans="10:11" ht="15.75" customHeight="1">
      <c r="J959" s="141"/>
      <c r="K959" s="141"/>
    </row>
    <row r="960" spans="10:11" ht="15.75" customHeight="1">
      <c r="J960" s="141"/>
      <c r="K960" s="141"/>
    </row>
    <row r="961" spans="10:11" ht="15.75" customHeight="1">
      <c r="J961" s="141"/>
      <c r="K961" s="141"/>
    </row>
    <row r="962" spans="10:11" ht="15.75" customHeight="1">
      <c r="J962" s="141"/>
      <c r="K962" s="141"/>
    </row>
    <row r="963" spans="10:11" ht="15.75" customHeight="1">
      <c r="J963" s="141"/>
      <c r="K963" s="141"/>
    </row>
    <row r="964" spans="10:11" ht="15.75" customHeight="1">
      <c r="J964" s="141"/>
      <c r="K964" s="141"/>
    </row>
    <row r="965" spans="10:11" ht="15.75" customHeight="1">
      <c r="J965" s="141"/>
      <c r="K965" s="141"/>
    </row>
    <row r="966" spans="10:11" ht="15.75" customHeight="1">
      <c r="J966" s="141"/>
      <c r="K966" s="141"/>
    </row>
    <row r="967" spans="10:11" ht="15.75" customHeight="1">
      <c r="J967" s="141"/>
      <c r="K967" s="141"/>
    </row>
    <row r="968" spans="10:11" ht="15.75" customHeight="1">
      <c r="J968" s="141"/>
      <c r="K968" s="141"/>
    </row>
    <row r="969" spans="10:11" ht="15.75" customHeight="1">
      <c r="J969" s="141"/>
      <c r="K969" s="141"/>
    </row>
    <row r="970" spans="10:11" ht="15.75" customHeight="1">
      <c r="J970" s="141"/>
      <c r="K970" s="141"/>
    </row>
    <row r="971" spans="10:11" ht="15.75" customHeight="1">
      <c r="J971" s="141"/>
      <c r="K971" s="141"/>
    </row>
    <row r="972" spans="10:11" ht="15.75" customHeight="1">
      <c r="J972" s="141"/>
      <c r="K972" s="141"/>
    </row>
    <row r="973" spans="10:11" ht="15.75" customHeight="1">
      <c r="J973" s="141"/>
      <c r="K973" s="141"/>
    </row>
    <row r="974" spans="10:11" ht="15.75" customHeight="1">
      <c r="J974" s="141"/>
      <c r="K974" s="141"/>
    </row>
    <row r="975" spans="10:11" ht="15.75" customHeight="1">
      <c r="J975" s="141"/>
      <c r="K975" s="141"/>
    </row>
    <row r="976" spans="10:11" ht="15.75" customHeight="1">
      <c r="J976" s="141"/>
      <c r="K976" s="141"/>
    </row>
    <row r="977" spans="10:11" ht="15.75" customHeight="1">
      <c r="J977" s="141"/>
      <c r="K977" s="141"/>
    </row>
    <row r="978" spans="10:11" ht="15.75" customHeight="1">
      <c r="J978" s="141"/>
      <c r="K978" s="141"/>
    </row>
    <row r="979" spans="10:11" ht="15.75" customHeight="1">
      <c r="J979" s="141"/>
      <c r="K979" s="141"/>
    </row>
    <row r="980" spans="10:11" ht="15.75" customHeight="1">
      <c r="J980" s="141"/>
      <c r="K980" s="141"/>
    </row>
    <row r="981" spans="10:11" ht="15.75" customHeight="1">
      <c r="J981" s="141"/>
      <c r="K981" s="141"/>
    </row>
    <row r="982" spans="10:11" ht="15.75" customHeight="1">
      <c r="J982" s="141"/>
      <c r="K982" s="141"/>
    </row>
    <row r="983" spans="10:11" ht="15.75" customHeight="1">
      <c r="J983" s="141"/>
      <c r="K983" s="141"/>
    </row>
    <row r="984" spans="10:11" ht="15.75" customHeight="1">
      <c r="J984" s="141"/>
      <c r="K984" s="141"/>
    </row>
    <row r="985" spans="10:11" ht="15.75" customHeight="1">
      <c r="J985" s="141"/>
      <c r="K985" s="141"/>
    </row>
    <row r="986" spans="10:11" ht="15.75" customHeight="1">
      <c r="J986" s="141"/>
      <c r="K986" s="141"/>
    </row>
    <row r="987" spans="10:11" ht="15.75" customHeight="1">
      <c r="J987" s="141"/>
      <c r="K987" s="141"/>
    </row>
    <row r="988" spans="10:11" ht="15.75" customHeight="1">
      <c r="J988" s="141"/>
      <c r="K988" s="141"/>
    </row>
    <row r="989" spans="10:11" ht="15.75" customHeight="1">
      <c r="J989" s="141"/>
      <c r="K989" s="141"/>
    </row>
    <row r="990" spans="10:11" ht="15.75" customHeight="1">
      <c r="J990" s="141"/>
      <c r="K990" s="141"/>
    </row>
    <row r="991" spans="10:11" ht="15.75" customHeight="1">
      <c r="J991" s="141"/>
      <c r="K991" s="141"/>
    </row>
    <row r="992" spans="10:11" ht="15.75" customHeight="1">
      <c r="J992" s="141"/>
      <c r="K992" s="141"/>
    </row>
    <row r="993" spans="10:11" ht="15.75" customHeight="1">
      <c r="J993" s="141"/>
      <c r="K993" s="141"/>
    </row>
    <row r="994" spans="10:11" ht="15.75" customHeight="1">
      <c r="J994" s="141"/>
      <c r="K994" s="141"/>
    </row>
    <row r="995" spans="10:11" ht="15.75" customHeight="1">
      <c r="J995" s="141"/>
      <c r="K995" s="141"/>
    </row>
    <row r="996" spans="10:11" ht="15.75" customHeight="1">
      <c r="J996" s="141"/>
      <c r="K996" s="141"/>
    </row>
    <row r="997" spans="10:11" ht="15.75" customHeight="1">
      <c r="J997" s="141"/>
      <c r="K997" s="141"/>
    </row>
    <row r="998" spans="10:11" ht="15.75" customHeight="1">
      <c r="J998" s="141"/>
      <c r="K998" s="141"/>
    </row>
    <row r="999" spans="10:11" ht="15.75" customHeight="1">
      <c r="J999" s="141"/>
      <c r="K999" s="141"/>
    </row>
    <row r="1000" spans="10:11" ht="15.75" customHeight="1">
      <c r="J1000" s="141"/>
      <c r="K1000" s="141"/>
    </row>
    <row r="1001" spans="10:11" ht="15.75" customHeight="1">
      <c r="J1001" s="141"/>
      <c r="K1001" s="141"/>
    </row>
    <row r="1002" spans="10:11" ht="15.75" customHeight="1">
      <c r="J1002" s="141"/>
      <c r="K1002" s="141"/>
    </row>
    <row r="1003" spans="10:11" ht="15.75" customHeight="1">
      <c r="J1003" s="141"/>
      <c r="K1003" s="141"/>
    </row>
    <row r="1004" spans="10:11" ht="15.75" customHeight="1">
      <c r="J1004" s="141"/>
      <c r="K1004" s="141"/>
    </row>
    <row r="1005" spans="10:11" ht="15.75" customHeight="1">
      <c r="J1005" s="141"/>
      <c r="K1005" s="141"/>
    </row>
    <row r="1006" spans="10:11" ht="15.75" customHeight="1">
      <c r="J1006" s="141"/>
      <c r="K1006" s="141"/>
    </row>
    <row r="1007" spans="10:11" ht="15.75" customHeight="1">
      <c r="J1007" s="141"/>
      <c r="K1007" s="141"/>
    </row>
    <row r="1008" spans="10:11" ht="15.75" customHeight="1">
      <c r="J1008" s="141"/>
      <c r="K1008" s="141"/>
    </row>
    <row r="1009" spans="10:11" ht="15.75" customHeight="1">
      <c r="J1009" s="141"/>
      <c r="K1009" s="141"/>
    </row>
    <row r="1010" spans="10:11" ht="15.75" customHeight="1">
      <c r="J1010" s="141"/>
      <c r="K1010" s="141"/>
    </row>
    <row r="1011" spans="10:11" ht="15.75" customHeight="1">
      <c r="J1011" s="141"/>
      <c r="K1011" s="141"/>
    </row>
    <row r="1012" spans="10:11" ht="15.75" customHeight="1">
      <c r="J1012" s="141"/>
      <c r="K1012" s="141"/>
    </row>
    <row r="1013" spans="10:11" ht="15.75" customHeight="1">
      <c r="J1013" s="141"/>
      <c r="K1013" s="141"/>
    </row>
    <row r="1014" spans="10:11" ht="15.75" customHeight="1">
      <c r="J1014" s="141"/>
      <c r="K1014" s="141"/>
    </row>
    <row r="1015" spans="10:11" ht="15.75" customHeight="1">
      <c r="J1015" s="141"/>
      <c r="K1015" s="141"/>
    </row>
    <row r="1016" spans="10:11" ht="15.75" customHeight="1">
      <c r="J1016" s="141"/>
      <c r="K1016" s="141"/>
    </row>
    <row r="1017" spans="10:11" ht="15.75" customHeight="1">
      <c r="J1017" s="141"/>
      <c r="K1017" s="141"/>
    </row>
    <row r="1018" spans="10:11" ht="15.75" customHeight="1">
      <c r="J1018" s="141"/>
      <c r="K1018" s="141"/>
    </row>
    <row r="1019" spans="10:11" ht="15.75" customHeight="1">
      <c r="J1019" s="141"/>
      <c r="K1019" s="141"/>
    </row>
    <row r="1020" spans="10:11" ht="15.75" customHeight="1">
      <c r="J1020" s="141"/>
      <c r="K1020" s="141"/>
    </row>
    <row r="1021" spans="10:11" ht="15.75" customHeight="1">
      <c r="J1021" s="141"/>
      <c r="K1021" s="141"/>
    </row>
    <row r="1022" spans="10:11" ht="15.75" customHeight="1">
      <c r="J1022" s="141"/>
      <c r="K1022" s="141"/>
    </row>
    <row r="1023" spans="10:11" ht="15.75" customHeight="1">
      <c r="J1023" s="141"/>
      <c r="K1023" s="141"/>
    </row>
    <row r="1024" spans="10:11" ht="15.75" customHeight="1">
      <c r="J1024" s="141"/>
      <c r="K1024" s="141"/>
    </row>
    <row r="1025" spans="10:11" ht="15.75" customHeight="1">
      <c r="J1025" s="141"/>
      <c r="K1025" s="141"/>
    </row>
    <row r="1026" spans="10:11" ht="15.75" customHeight="1">
      <c r="J1026" s="141"/>
      <c r="K1026" s="141"/>
    </row>
    <row r="1027" spans="10:11" ht="15.75" customHeight="1">
      <c r="J1027" s="141"/>
      <c r="K1027" s="141"/>
    </row>
    <row r="1028" spans="10:11" ht="15.75" customHeight="1">
      <c r="J1028" s="141"/>
      <c r="K1028" s="141"/>
    </row>
    <row r="1029" spans="10:11" ht="15.75" customHeight="1">
      <c r="J1029" s="141"/>
      <c r="K1029" s="141"/>
    </row>
    <row r="1030" spans="10:11" ht="15.75" customHeight="1">
      <c r="J1030" s="141"/>
      <c r="K1030" s="141"/>
    </row>
    <row r="1031" spans="10:11" ht="15.75" customHeight="1">
      <c r="J1031" s="141"/>
      <c r="K1031" s="141"/>
    </row>
    <row r="1032" spans="10:11" ht="15.75" customHeight="1">
      <c r="J1032" s="141"/>
      <c r="K1032" s="141"/>
    </row>
    <row r="1033" spans="10:11" ht="15.75" customHeight="1">
      <c r="J1033" s="141"/>
      <c r="K1033" s="141"/>
    </row>
    <row r="1034" spans="10:11" ht="15.75" customHeight="1">
      <c r="J1034" s="141"/>
      <c r="K1034" s="141"/>
    </row>
    <row r="1035" spans="10:11" ht="15.75" customHeight="1">
      <c r="J1035" s="141"/>
      <c r="K1035" s="141"/>
    </row>
    <row r="1036" spans="10:11" ht="15.75" customHeight="1">
      <c r="J1036" s="141"/>
      <c r="K1036" s="141"/>
    </row>
    <row r="1037" spans="10:11" ht="15.75" customHeight="1">
      <c r="J1037" s="141"/>
      <c r="K1037" s="141"/>
    </row>
    <row r="1038" spans="10:11" ht="15.75" customHeight="1">
      <c r="J1038" s="141"/>
      <c r="K1038" s="141"/>
    </row>
    <row r="1039" spans="10:11" ht="15.75" customHeight="1">
      <c r="J1039" s="141"/>
      <c r="K1039" s="141"/>
    </row>
    <row r="1040" spans="10:11" ht="15.75" customHeight="1">
      <c r="J1040" s="141"/>
      <c r="K1040" s="141"/>
    </row>
    <row r="1041" spans="10:11" ht="15.75" customHeight="1">
      <c r="J1041" s="141"/>
      <c r="K1041" s="141"/>
    </row>
    <row r="1042" spans="10:11" ht="15.75" customHeight="1">
      <c r="J1042" s="141"/>
      <c r="K1042" s="141"/>
    </row>
    <row r="1043" spans="10:11" ht="15.75" customHeight="1">
      <c r="J1043" s="141"/>
      <c r="K1043" s="141"/>
    </row>
    <row r="1044" spans="10:11" ht="15.75" customHeight="1">
      <c r="J1044" s="141"/>
      <c r="K1044" s="141"/>
    </row>
    <row r="1045" spans="10:11" ht="15.75" customHeight="1">
      <c r="J1045" s="141"/>
      <c r="K1045" s="141"/>
    </row>
    <row r="1046" spans="10:11" ht="15.75" customHeight="1">
      <c r="J1046" s="141"/>
      <c r="K1046" s="141"/>
    </row>
    <row r="1047" spans="10:11" ht="15.75" customHeight="1">
      <c r="J1047" s="141"/>
      <c r="K1047" s="141"/>
    </row>
    <row r="1048" spans="10:11" ht="15.75" customHeight="1">
      <c r="J1048" s="141"/>
      <c r="K1048" s="141"/>
    </row>
    <row r="1049" spans="10:11" ht="15.75" customHeight="1">
      <c r="J1049" s="141"/>
      <c r="K1049" s="141"/>
    </row>
    <row r="1050" spans="10:11" ht="15.75" customHeight="1">
      <c r="J1050" s="141"/>
      <c r="K1050" s="141"/>
    </row>
    <row r="1051" spans="10:11" ht="15.75" customHeight="1">
      <c r="J1051" s="141"/>
      <c r="K1051" s="141"/>
    </row>
    <row r="1052" spans="10:11" ht="15.75" customHeight="1">
      <c r="J1052" s="141"/>
      <c r="K1052" s="141"/>
    </row>
    <row r="1053" spans="10:11" ht="15.75" customHeight="1">
      <c r="J1053" s="141"/>
      <c r="K1053" s="141"/>
    </row>
    <row r="1054" spans="10:11" ht="15.75" customHeight="1">
      <c r="J1054" s="141"/>
      <c r="K1054" s="141"/>
    </row>
    <row r="1055" spans="10:11" ht="15.75" customHeight="1">
      <c r="J1055" s="141"/>
      <c r="K1055" s="141"/>
    </row>
    <row r="1056" spans="10:11" ht="15.75" customHeight="1">
      <c r="J1056" s="141"/>
      <c r="K1056" s="141"/>
    </row>
    <row r="1057" spans="10:11" ht="15.75" customHeight="1">
      <c r="J1057" s="141"/>
      <c r="K1057" s="141"/>
    </row>
    <row r="1058" spans="10:11" ht="15.75" customHeight="1">
      <c r="J1058" s="141"/>
      <c r="K1058" s="141"/>
    </row>
    <row r="1059" spans="10:11" ht="15.75" customHeight="1">
      <c r="J1059" s="141"/>
      <c r="K1059" s="141"/>
    </row>
    <row r="1060" spans="10:11" ht="15.75" customHeight="1">
      <c r="J1060" s="141"/>
      <c r="K1060" s="141"/>
    </row>
    <row r="1061" spans="10:11" ht="15.75" customHeight="1">
      <c r="J1061" s="141"/>
      <c r="K1061" s="141"/>
    </row>
    <row r="1062" spans="10:11" ht="15.75" customHeight="1">
      <c r="J1062" s="141"/>
      <c r="K1062" s="141"/>
    </row>
    <row r="1063" spans="10:11" ht="15.75" customHeight="1">
      <c r="J1063" s="141"/>
      <c r="K1063" s="141"/>
    </row>
    <row r="1064" spans="10:11" ht="15.75" customHeight="1">
      <c r="J1064" s="141"/>
      <c r="K1064" s="141"/>
    </row>
    <row r="1065" spans="10:11" ht="15.75" customHeight="1">
      <c r="J1065" s="141"/>
      <c r="K1065" s="141"/>
    </row>
    <row r="1066" spans="10:11" ht="15.75" customHeight="1">
      <c r="J1066" s="141"/>
      <c r="K1066" s="141"/>
    </row>
    <row r="1067" spans="10:11" ht="15.75" customHeight="1">
      <c r="J1067" s="141"/>
      <c r="K1067" s="141"/>
    </row>
    <row r="1068" spans="10:11" ht="15.75" customHeight="1">
      <c r="J1068" s="141"/>
      <c r="K1068" s="141"/>
    </row>
    <row r="1069" spans="10:11" ht="15.75" customHeight="1">
      <c r="J1069" s="141"/>
      <c r="K1069" s="141"/>
    </row>
    <row r="1070" spans="10:11" ht="15.75" customHeight="1">
      <c r="J1070" s="141"/>
      <c r="K1070" s="141"/>
    </row>
    <row r="1071" spans="10:11" ht="15.75" customHeight="1">
      <c r="J1071" s="141"/>
      <c r="K1071" s="141"/>
    </row>
    <row r="1072" spans="10:11" ht="15.75" customHeight="1">
      <c r="J1072" s="141"/>
      <c r="K1072" s="141"/>
    </row>
    <row r="1073" spans="10:11" ht="15.75" customHeight="1">
      <c r="J1073" s="141"/>
      <c r="K1073" s="141"/>
    </row>
    <row r="1074" spans="10:11" ht="15.75" customHeight="1">
      <c r="J1074" s="141"/>
      <c r="K1074" s="141"/>
    </row>
    <row r="1075" spans="10:11" ht="15.75" customHeight="1">
      <c r="J1075" s="141"/>
      <c r="K1075" s="141"/>
    </row>
    <row r="1076" spans="10:11" ht="15.75" customHeight="1">
      <c r="J1076" s="141"/>
      <c r="K1076" s="141"/>
    </row>
    <row r="1077" spans="10:11" ht="15.75" customHeight="1">
      <c r="J1077" s="141"/>
      <c r="K1077" s="141"/>
    </row>
    <row r="1078" spans="10:11" ht="15.75" customHeight="1">
      <c r="J1078" s="141"/>
      <c r="K1078" s="141"/>
    </row>
    <row r="1079" spans="10:11" ht="15.75" customHeight="1">
      <c r="J1079" s="141"/>
      <c r="K1079" s="141"/>
    </row>
    <row r="1080" spans="10:11" ht="15.75" customHeight="1">
      <c r="J1080" s="141"/>
      <c r="K1080" s="141"/>
    </row>
    <row r="1081" spans="10:11" ht="15.75" customHeight="1">
      <c r="J1081" s="141"/>
      <c r="K1081" s="141"/>
    </row>
    <row r="1082" spans="10:11" ht="15.75" customHeight="1">
      <c r="J1082" s="141"/>
      <c r="K1082" s="141"/>
    </row>
    <row r="1083" spans="10:11" ht="15.75" customHeight="1">
      <c r="J1083" s="141"/>
      <c r="K1083" s="141"/>
    </row>
    <row r="1084" spans="10:11" ht="15.75" customHeight="1">
      <c r="J1084" s="141"/>
      <c r="K1084" s="141"/>
    </row>
    <row r="1085" spans="10:11" ht="15.75" customHeight="1">
      <c r="J1085" s="141"/>
      <c r="K1085" s="141"/>
    </row>
    <row r="1086" spans="10:11" ht="15.75" customHeight="1">
      <c r="J1086" s="141"/>
      <c r="K1086" s="141"/>
    </row>
    <row r="1087" spans="10:11" ht="15.75" customHeight="1">
      <c r="J1087" s="141"/>
      <c r="K1087" s="141"/>
    </row>
    <row r="1088" spans="10:11" ht="15.75" customHeight="1">
      <c r="J1088" s="141"/>
      <c r="K1088" s="141"/>
    </row>
    <row r="1089" spans="10:11" ht="15.75" customHeight="1">
      <c r="J1089" s="141"/>
      <c r="K1089" s="141"/>
    </row>
    <row r="1090" spans="10:11" ht="15.75" customHeight="1">
      <c r="J1090" s="141"/>
      <c r="K1090" s="141"/>
    </row>
    <row r="1091" spans="10:11" ht="15.75" customHeight="1">
      <c r="J1091" s="141"/>
      <c r="K1091" s="141"/>
    </row>
    <row r="1092" spans="10:11" ht="15.75" customHeight="1">
      <c r="J1092" s="141"/>
      <c r="K1092" s="141"/>
    </row>
    <row r="1093" spans="10:11" ht="15.75" customHeight="1">
      <c r="J1093" s="141"/>
      <c r="K1093" s="141"/>
    </row>
    <row r="1094" spans="10:11" ht="15.75" customHeight="1">
      <c r="J1094" s="141"/>
      <c r="K1094" s="141"/>
    </row>
    <row r="1095" spans="10:11" ht="15.75" customHeight="1">
      <c r="J1095" s="141"/>
      <c r="K1095" s="141"/>
    </row>
    <row r="1096" spans="10:11" ht="15.75" customHeight="1">
      <c r="J1096" s="141"/>
      <c r="K1096" s="141"/>
    </row>
    <row r="1097" spans="10:11" ht="15.75" customHeight="1">
      <c r="J1097" s="141"/>
      <c r="K1097" s="141"/>
    </row>
    <row r="1098" spans="10:11" ht="15.75" customHeight="1">
      <c r="J1098" s="141"/>
      <c r="K1098" s="141"/>
    </row>
    <row r="1099" spans="10:11" ht="15.75" customHeight="1">
      <c r="J1099" s="141"/>
      <c r="K1099" s="141"/>
    </row>
    <row r="1100" spans="10:11" ht="15.75" customHeight="1">
      <c r="J1100" s="141"/>
      <c r="K1100" s="141"/>
    </row>
    <row r="1101" spans="10:11" ht="15.75" customHeight="1">
      <c r="J1101" s="141"/>
      <c r="K1101" s="141"/>
    </row>
    <row r="1102" spans="10:11" ht="15.75" customHeight="1">
      <c r="J1102" s="141"/>
      <c r="K1102" s="141"/>
    </row>
    <row r="1103" spans="10:11" ht="15.75" customHeight="1">
      <c r="J1103" s="141"/>
      <c r="K1103" s="141"/>
    </row>
    <row r="1104" spans="10:11" ht="15.75" customHeight="1">
      <c r="J1104" s="141"/>
      <c r="K1104" s="141"/>
    </row>
    <row r="1105" spans="10:11" ht="15.75" customHeight="1">
      <c r="J1105" s="141"/>
      <c r="K1105" s="141"/>
    </row>
  </sheetData>
  <mergeCells count="45">
    <mergeCell ref="A258:D258"/>
    <mergeCell ref="A259:D259"/>
    <mergeCell ref="A260:D260"/>
    <mergeCell ref="A261:D261"/>
    <mergeCell ref="J281:L281"/>
    <mergeCell ref="G261:L261"/>
    <mergeCell ref="G262:L262"/>
    <mergeCell ref="J282:L282"/>
    <mergeCell ref="J283:L283"/>
    <mergeCell ref="J284:L284"/>
    <mergeCell ref="J285:L285"/>
    <mergeCell ref="A249:D249"/>
    <mergeCell ref="A250:D250"/>
    <mergeCell ref="A251:D251"/>
    <mergeCell ref="A252:D252"/>
    <mergeCell ref="A253:D253"/>
    <mergeCell ref="G270:L270"/>
    <mergeCell ref="G274:L274"/>
    <mergeCell ref="G275:L276"/>
    <mergeCell ref="F258:G258"/>
    <mergeCell ref="I258:J258"/>
    <mergeCell ref="G259:L259"/>
    <mergeCell ref="G260:L260"/>
    <mergeCell ref="Y275:Y276"/>
    <mergeCell ref="G277:L277"/>
    <mergeCell ref="G278:L278"/>
    <mergeCell ref="G263:L263"/>
    <mergeCell ref="G265:L265"/>
    <mergeCell ref="G266:L266"/>
    <mergeCell ref="G267:L267"/>
    <mergeCell ref="G268:L268"/>
    <mergeCell ref="G269:L269"/>
    <mergeCell ref="Q257:U257"/>
    <mergeCell ref="A254:D254"/>
    <mergeCell ref="F247:G247"/>
    <mergeCell ref="F248:G248"/>
    <mergeCell ref="G249:J249"/>
    <mergeCell ref="F251:G251"/>
    <mergeCell ref="F252:G252"/>
    <mergeCell ref="M253:N253"/>
    <mergeCell ref="O254:P254"/>
    <mergeCell ref="C256:D256"/>
    <mergeCell ref="F256:J256"/>
    <mergeCell ref="C257:D257"/>
    <mergeCell ref="F257:J257"/>
  </mergeCells>
  <conditionalFormatting sqref="K243:K246 E205:T245 L2:L17 E2:F76 M3:R17 S3:T35 G3:J76 L18:R35 L36:T77 E77:J77 E200:N201 O200:T204 E202:F202 G202:N204 F203:F204">
    <cfRule type="expression" dxfId="12" priority="4">
      <formula>$J2&lt;&gt;""</formula>
    </cfRule>
  </conditionalFormatting>
  <conditionalFormatting sqref="C2:C142">
    <cfRule type="expression" dxfId="11" priority="1">
      <formula>$J2&lt;&gt;""</formula>
    </cfRule>
  </conditionalFormatting>
  <conditionalFormatting sqref="E78:T199">
    <cfRule type="expression" dxfId="10" priority="5">
      <formula>$J78&lt;&gt;""</formula>
    </cfRule>
  </conditionalFormatting>
  <conditionalFormatting sqref="G2:K2">
    <cfRule type="expression" dxfId="9" priority="7">
      <formula>$J2&lt;&gt;""</formula>
    </cfRule>
  </conditionalFormatting>
  <conditionalFormatting sqref="K2:K77">
    <cfRule type="expression" dxfId="8" priority="8">
      <formula>$J2&lt;&gt;""</formula>
    </cfRule>
  </conditionalFormatting>
  <conditionalFormatting sqref="M2:T2">
    <cfRule type="expression" dxfId="7" priority="6">
      <formula>$J2&lt;&gt;""</formula>
    </cfRule>
  </conditionalFormatting>
  <conditionalFormatting sqref="B2:B186 D2:D186 C182:C186 B187:D245 C144:C180">
    <cfRule type="expression" dxfId="6" priority="2">
      <formula>$J2&lt;&gt;""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'C:\Users\e.blais\Downloads\[VENTES_2023.xlsx]Feuil1'!#REF!</xm:f>
          </x14:formula1>
          <xm:sqref>W163:W192 W194:W245</xm:sqref>
        </x14:dataValidation>
        <x14:dataValidation type="list" allowBlank="1" showErrorMessage="1">
          <x14:formula1>
            <xm:f>'C:\Users\e.blais\Downloads\[VENTES_2023.xlsx]Feuil1'!#REF!</xm:f>
          </x14:formula1>
          <xm:sqref>T52 T75:T192 T194:T245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38"/>
  <sheetViews>
    <sheetView showGridLines="0" zoomScaleNormal="100" workbookViewId="0">
      <pane ySplit="1" topLeftCell="A282" activePane="bottomLeft" state="frozen"/>
      <selection pane="bottomLeft" activeCell="B1" sqref="B1:D1"/>
    </sheetView>
  </sheetViews>
  <sheetFormatPr baseColWidth="10" defaultColWidth="14.42578125" defaultRowHeight="15" customHeight="1"/>
  <cols>
    <col min="1" max="1" width="4.28515625" style="148" customWidth="1"/>
    <col min="2" max="2" width="10.42578125" customWidth="1"/>
    <col min="3" max="3" width="10.7109375" customWidth="1"/>
    <col min="4" max="4" width="7.7109375" customWidth="1"/>
    <col min="5" max="5" width="11" customWidth="1"/>
    <col min="6" max="6" width="13.42578125" customWidth="1"/>
    <col min="7" max="7" width="8.85546875" customWidth="1"/>
    <col min="8" max="8" width="10" customWidth="1"/>
    <col min="9" max="9" width="9.28515625" customWidth="1"/>
    <col min="10" max="10" width="8.7109375" customWidth="1"/>
    <col min="11" max="11" width="7.140625" customWidth="1"/>
    <col min="12" max="12" width="9.140625" customWidth="1"/>
    <col min="13" max="13" width="8.5703125" customWidth="1"/>
    <col min="14" max="14" width="11.140625" customWidth="1"/>
    <col min="15" max="15" width="9.7109375" customWidth="1"/>
    <col min="16" max="16" width="10" customWidth="1"/>
    <col min="17" max="17" width="9.140625" customWidth="1"/>
    <col min="18" max="18" width="9.42578125" customWidth="1"/>
    <col min="19" max="24" width="10.7109375" customWidth="1"/>
    <col min="25" max="25" width="6.42578125" customWidth="1"/>
    <col min="26" max="27" width="10.7109375" customWidth="1"/>
  </cols>
  <sheetData>
    <row r="1" spans="1:25" ht="21" customHeight="1">
      <c r="B1" s="1"/>
      <c r="C1" s="1"/>
      <c r="D1" s="1"/>
      <c r="E1" s="2" t="s">
        <v>0</v>
      </c>
      <c r="F1" s="3" t="s">
        <v>1</v>
      </c>
      <c r="G1" s="3" t="s">
        <v>2</v>
      </c>
      <c r="H1" s="3" t="s">
        <v>3</v>
      </c>
      <c r="I1" s="4" t="s">
        <v>4</v>
      </c>
      <c r="J1" s="4" t="s">
        <v>5</v>
      </c>
      <c r="K1" s="4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5"/>
      <c r="U1" s="3" t="s">
        <v>15</v>
      </c>
      <c r="V1" s="5"/>
      <c r="W1" s="5"/>
      <c r="X1" s="5"/>
    </row>
    <row r="2" spans="1:25">
      <c r="A2" s="149">
        <v>1</v>
      </c>
      <c r="B2" s="7"/>
      <c r="C2" s="7"/>
      <c r="D2" s="8"/>
      <c r="E2" s="9">
        <v>45193</v>
      </c>
      <c r="F2" s="10">
        <v>15</v>
      </c>
      <c r="G2" s="10"/>
      <c r="H2" s="10">
        <f t="shared" ref="H2:H101" si="0">IF($F2&lt;&gt;"",SUM(F2:G2),"")</f>
        <v>15</v>
      </c>
      <c r="I2" s="8">
        <v>45293</v>
      </c>
      <c r="J2" s="7">
        <f t="shared" ref="J2:J22" si="1">IF(I2="","",MONTH(I2))</f>
        <v>1</v>
      </c>
      <c r="K2" s="11">
        <f t="shared" ref="K2:K200" si="2">IF($I2&lt;&gt;"",SUM(I2-E2),"")</f>
        <v>100</v>
      </c>
      <c r="L2" s="10">
        <v>40</v>
      </c>
      <c r="M2" s="10">
        <v>0</v>
      </c>
      <c r="N2" s="10">
        <f t="shared" ref="N2:N33" si="3">IF($I2&lt;&gt;"",SUM(L2:M2),"")</f>
        <v>40</v>
      </c>
      <c r="O2" s="10">
        <v>0</v>
      </c>
      <c r="P2" s="10">
        <f t="shared" ref="P2:P193" si="4">IF(I2="","",N2-O2)</f>
        <v>40</v>
      </c>
      <c r="Q2" s="10">
        <v>0</v>
      </c>
      <c r="R2" s="10">
        <f t="shared" ref="R2:R193" si="5">IF(I2="","",P2-H2-Q2)</f>
        <v>25</v>
      </c>
      <c r="S2" s="10" t="s">
        <v>16</v>
      </c>
      <c r="T2" s="12"/>
      <c r="U2" s="13" t="s">
        <v>17</v>
      </c>
      <c r="V2" s="14"/>
      <c r="W2" s="14"/>
      <c r="X2" s="14"/>
    </row>
    <row r="3" spans="1:25">
      <c r="A3" s="149">
        <f t="shared" ref="A3:A95" si="6">A2+1</f>
        <v>2</v>
      </c>
      <c r="B3" s="7"/>
      <c r="C3" s="7"/>
      <c r="D3" s="8"/>
      <c r="E3" s="9">
        <v>45193</v>
      </c>
      <c r="F3" s="10">
        <v>15</v>
      </c>
      <c r="G3" s="10"/>
      <c r="H3" s="10">
        <f t="shared" si="0"/>
        <v>15</v>
      </c>
      <c r="I3" s="8">
        <v>45293</v>
      </c>
      <c r="J3" s="7">
        <f t="shared" si="1"/>
        <v>1</v>
      </c>
      <c r="K3" s="11">
        <f t="shared" si="2"/>
        <v>100</v>
      </c>
      <c r="L3" s="10">
        <v>60</v>
      </c>
      <c r="M3" s="10">
        <v>10</v>
      </c>
      <c r="N3" s="10">
        <f t="shared" si="3"/>
        <v>70</v>
      </c>
      <c r="O3" s="10">
        <v>7.35</v>
      </c>
      <c r="P3" s="10">
        <f t="shared" si="4"/>
        <v>62.65</v>
      </c>
      <c r="Q3" s="10">
        <v>14.99</v>
      </c>
      <c r="R3" s="10">
        <f t="shared" si="5"/>
        <v>32.659999999999997</v>
      </c>
      <c r="S3" s="10" t="s">
        <v>16</v>
      </c>
      <c r="T3" s="12"/>
      <c r="U3" s="13" t="s">
        <v>17</v>
      </c>
      <c r="V3" s="14"/>
      <c r="W3" s="14"/>
      <c r="X3" s="14"/>
    </row>
    <row r="4" spans="1:25">
      <c r="A4" s="149">
        <f t="shared" si="6"/>
        <v>3</v>
      </c>
      <c r="B4" s="7"/>
      <c r="C4" s="7"/>
      <c r="D4" s="8"/>
      <c r="E4" s="9">
        <v>45249</v>
      </c>
      <c r="F4" s="10">
        <v>10</v>
      </c>
      <c r="G4" s="10"/>
      <c r="H4" s="10">
        <f t="shared" si="0"/>
        <v>10</v>
      </c>
      <c r="I4" s="8">
        <v>45294</v>
      </c>
      <c r="J4" s="7">
        <f t="shared" si="1"/>
        <v>1</v>
      </c>
      <c r="K4" s="11">
        <f t="shared" si="2"/>
        <v>45</v>
      </c>
      <c r="L4" s="10">
        <v>55</v>
      </c>
      <c r="M4" s="10">
        <v>10</v>
      </c>
      <c r="N4" s="10">
        <f t="shared" si="3"/>
        <v>65</v>
      </c>
      <c r="O4" s="10">
        <v>6.85</v>
      </c>
      <c r="P4" s="10">
        <f t="shared" si="4"/>
        <v>58.15</v>
      </c>
      <c r="Q4" s="10">
        <v>9.1999999999999993</v>
      </c>
      <c r="R4" s="10">
        <f t="shared" si="5"/>
        <v>38.950000000000003</v>
      </c>
      <c r="S4" s="10" t="s">
        <v>16</v>
      </c>
      <c r="T4" s="12"/>
      <c r="U4" s="13" t="s">
        <v>18</v>
      </c>
      <c r="V4" s="14"/>
      <c r="W4" s="14"/>
      <c r="X4" s="14"/>
    </row>
    <row r="5" spans="1:25">
      <c r="A5" s="149">
        <f t="shared" si="6"/>
        <v>4</v>
      </c>
      <c r="B5" s="7"/>
      <c r="C5" s="7"/>
      <c r="D5" s="8"/>
      <c r="E5" s="9">
        <v>45227</v>
      </c>
      <c r="F5" s="10">
        <v>20</v>
      </c>
      <c r="G5" s="10">
        <v>30</v>
      </c>
      <c r="H5" s="10">
        <f t="shared" si="0"/>
        <v>50</v>
      </c>
      <c r="I5" s="8">
        <v>45295</v>
      </c>
      <c r="J5" s="7">
        <f t="shared" si="1"/>
        <v>1</v>
      </c>
      <c r="K5" s="11">
        <f t="shared" si="2"/>
        <v>68</v>
      </c>
      <c r="L5" s="10">
        <v>80</v>
      </c>
      <c r="M5" s="10"/>
      <c r="N5" s="10">
        <f t="shared" si="3"/>
        <v>80</v>
      </c>
      <c r="O5" s="10"/>
      <c r="P5" s="10">
        <f t="shared" si="4"/>
        <v>80</v>
      </c>
      <c r="Q5" s="10"/>
      <c r="R5" s="10">
        <f t="shared" si="5"/>
        <v>30</v>
      </c>
      <c r="S5" s="10" t="s">
        <v>19</v>
      </c>
      <c r="T5" s="12"/>
      <c r="U5" s="13" t="s">
        <v>17</v>
      </c>
      <c r="V5" s="14"/>
      <c r="W5" s="14"/>
      <c r="X5" s="14"/>
    </row>
    <row r="6" spans="1:25">
      <c r="A6" s="149">
        <f t="shared" si="6"/>
        <v>5</v>
      </c>
      <c r="B6" s="7"/>
      <c r="C6" s="7"/>
      <c r="D6" s="8"/>
      <c r="E6" s="9">
        <v>45214</v>
      </c>
      <c r="F6" s="10">
        <v>15</v>
      </c>
      <c r="G6" s="10"/>
      <c r="H6" s="10">
        <f t="shared" si="0"/>
        <v>15</v>
      </c>
      <c r="I6" s="8">
        <v>45295</v>
      </c>
      <c r="J6" s="7">
        <f t="shared" si="1"/>
        <v>1</v>
      </c>
      <c r="K6" s="11">
        <f t="shared" si="2"/>
        <v>81</v>
      </c>
      <c r="L6" s="10">
        <v>80</v>
      </c>
      <c r="M6" s="10">
        <v>30</v>
      </c>
      <c r="N6" s="10">
        <f t="shared" si="3"/>
        <v>110</v>
      </c>
      <c r="O6" s="10">
        <v>11.35</v>
      </c>
      <c r="P6" s="10">
        <f t="shared" si="4"/>
        <v>98.65</v>
      </c>
      <c r="Q6" s="10">
        <v>15.4</v>
      </c>
      <c r="R6" s="10">
        <f t="shared" si="5"/>
        <v>68.25</v>
      </c>
      <c r="S6" s="10" t="s">
        <v>16</v>
      </c>
      <c r="T6" s="12"/>
      <c r="U6" s="13" t="s">
        <v>20</v>
      </c>
      <c r="V6" s="14"/>
      <c r="W6" s="14"/>
      <c r="X6" s="14"/>
    </row>
    <row r="7" spans="1:25">
      <c r="A7" s="149">
        <f t="shared" si="6"/>
        <v>6</v>
      </c>
      <c r="B7" s="7"/>
      <c r="C7" s="7"/>
      <c r="D7" s="8"/>
      <c r="E7" s="9">
        <v>45179</v>
      </c>
      <c r="F7" s="10">
        <v>10</v>
      </c>
      <c r="G7" s="10"/>
      <c r="H7" s="10">
        <f t="shared" si="0"/>
        <v>10</v>
      </c>
      <c r="I7" s="8">
        <v>45296</v>
      </c>
      <c r="J7" s="7">
        <f t="shared" si="1"/>
        <v>1</v>
      </c>
      <c r="K7" s="11">
        <f t="shared" si="2"/>
        <v>117</v>
      </c>
      <c r="L7" s="10">
        <v>20</v>
      </c>
      <c r="M7" s="10"/>
      <c r="N7" s="10">
        <f t="shared" si="3"/>
        <v>20</v>
      </c>
      <c r="O7" s="10"/>
      <c r="P7" s="10">
        <f t="shared" si="4"/>
        <v>20</v>
      </c>
      <c r="Q7" s="10"/>
      <c r="R7" s="10">
        <f t="shared" si="5"/>
        <v>10</v>
      </c>
      <c r="S7" s="10" t="s">
        <v>19</v>
      </c>
      <c r="T7" s="12"/>
      <c r="U7" s="13" t="s">
        <v>17</v>
      </c>
      <c r="V7" s="14"/>
      <c r="W7" s="14"/>
      <c r="X7" s="15"/>
    </row>
    <row r="8" spans="1:25">
      <c r="A8" s="149">
        <f t="shared" si="6"/>
        <v>7</v>
      </c>
      <c r="B8" s="7"/>
      <c r="C8" s="7"/>
      <c r="D8" s="7"/>
      <c r="E8" s="9">
        <v>45026</v>
      </c>
      <c r="F8" s="10">
        <v>0</v>
      </c>
      <c r="G8" s="10"/>
      <c r="H8" s="10">
        <f t="shared" si="0"/>
        <v>0</v>
      </c>
      <c r="I8" s="8">
        <v>45296</v>
      </c>
      <c r="J8" s="7">
        <f t="shared" si="1"/>
        <v>1</v>
      </c>
      <c r="K8" s="11">
        <f t="shared" si="2"/>
        <v>270</v>
      </c>
      <c r="L8" s="10">
        <v>10</v>
      </c>
      <c r="M8" s="10">
        <v>10</v>
      </c>
      <c r="N8" s="10">
        <f t="shared" si="3"/>
        <v>20</v>
      </c>
      <c r="O8" s="10">
        <v>2.35</v>
      </c>
      <c r="P8" s="10">
        <f t="shared" si="4"/>
        <v>17.649999999999999</v>
      </c>
      <c r="Q8" s="10">
        <v>5.99</v>
      </c>
      <c r="R8" s="10">
        <f t="shared" si="5"/>
        <v>11.659999999999998</v>
      </c>
      <c r="S8" s="10" t="s">
        <v>16</v>
      </c>
      <c r="T8" s="12"/>
      <c r="U8" s="13" t="s">
        <v>17</v>
      </c>
      <c r="V8" s="14"/>
      <c r="W8" s="14"/>
      <c r="X8" s="14"/>
    </row>
    <row r="9" spans="1:25">
      <c r="A9" s="149">
        <f t="shared" si="6"/>
        <v>8</v>
      </c>
      <c r="B9" s="7"/>
      <c r="C9" s="7"/>
      <c r="D9" s="8"/>
      <c r="E9" s="9">
        <v>45186</v>
      </c>
      <c r="F9" s="10">
        <v>2</v>
      </c>
      <c r="G9" s="10"/>
      <c r="H9" s="10">
        <f t="shared" si="0"/>
        <v>2</v>
      </c>
      <c r="I9" s="8">
        <v>45302</v>
      </c>
      <c r="J9" s="7">
        <f t="shared" si="1"/>
        <v>1</v>
      </c>
      <c r="K9" s="11">
        <f t="shared" si="2"/>
        <v>116</v>
      </c>
      <c r="L9" s="10">
        <v>10</v>
      </c>
      <c r="M9" s="10">
        <v>10</v>
      </c>
      <c r="N9" s="10">
        <f t="shared" si="3"/>
        <v>20</v>
      </c>
      <c r="O9" s="10">
        <v>2.35</v>
      </c>
      <c r="P9" s="10">
        <f t="shared" si="4"/>
        <v>17.649999999999999</v>
      </c>
      <c r="Q9" s="10">
        <v>5.99</v>
      </c>
      <c r="R9" s="10">
        <f t="shared" si="5"/>
        <v>9.6599999999999984</v>
      </c>
      <c r="S9" s="10" t="s">
        <v>16</v>
      </c>
      <c r="T9" s="12"/>
      <c r="U9" s="13" t="s">
        <v>17</v>
      </c>
      <c r="V9" s="14"/>
      <c r="W9" s="14"/>
      <c r="X9" s="15"/>
      <c r="Y9" s="16"/>
    </row>
    <row r="10" spans="1:25">
      <c r="A10" s="149">
        <f t="shared" si="6"/>
        <v>9</v>
      </c>
      <c r="B10" s="7"/>
      <c r="C10" s="7"/>
      <c r="D10" s="8"/>
      <c r="E10" s="9">
        <v>45137</v>
      </c>
      <c r="F10" s="10">
        <v>5</v>
      </c>
      <c r="G10" s="10"/>
      <c r="H10" s="10">
        <f t="shared" si="0"/>
        <v>5</v>
      </c>
      <c r="I10" s="8">
        <v>45303</v>
      </c>
      <c r="J10" s="7">
        <f t="shared" si="1"/>
        <v>1</v>
      </c>
      <c r="K10" s="11">
        <f t="shared" si="2"/>
        <v>166</v>
      </c>
      <c r="L10" s="10">
        <v>45</v>
      </c>
      <c r="M10" s="10"/>
      <c r="N10" s="10">
        <f t="shared" si="3"/>
        <v>45</v>
      </c>
      <c r="O10" s="10"/>
      <c r="P10" s="10">
        <f t="shared" si="4"/>
        <v>45</v>
      </c>
      <c r="Q10" s="10"/>
      <c r="R10" s="10">
        <f t="shared" si="5"/>
        <v>40</v>
      </c>
      <c r="S10" s="10" t="s">
        <v>19</v>
      </c>
      <c r="T10" s="12"/>
      <c r="U10" s="13" t="s">
        <v>17</v>
      </c>
      <c r="V10" s="14"/>
      <c r="W10" s="14"/>
      <c r="X10" s="15"/>
      <c r="Y10" s="16"/>
    </row>
    <row r="11" spans="1:25">
      <c r="A11" s="149">
        <f t="shared" si="6"/>
        <v>10</v>
      </c>
      <c r="B11" s="7"/>
      <c r="C11" s="7"/>
      <c r="D11" s="8"/>
      <c r="E11" s="9">
        <v>45166</v>
      </c>
      <c r="F11" s="10">
        <v>0</v>
      </c>
      <c r="G11" s="10"/>
      <c r="H11" s="10">
        <f t="shared" si="0"/>
        <v>0</v>
      </c>
      <c r="I11" s="8">
        <v>45308</v>
      </c>
      <c r="J11" s="7">
        <f t="shared" si="1"/>
        <v>1</v>
      </c>
      <c r="K11" s="11">
        <f t="shared" si="2"/>
        <v>142</v>
      </c>
      <c r="L11" s="10">
        <v>13</v>
      </c>
      <c r="M11" s="10"/>
      <c r="N11" s="10">
        <f t="shared" si="3"/>
        <v>13</v>
      </c>
      <c r="O11" s="10"/>
      <c r="P11" s="10">
        <f t="shared" si="4"/>
        <v>13</v>
      </c>
      <c r="Q11" s="10">
        <v>5</v>
      </c>
      <c r="R11" s="10">
        <f t="shared" si="5"/>
        <v>8</v>
      </c>
      <c r="S11" s="10" t="s">
        <v>16</v>
      </c>
      <c r="T11" s="12"/>
      <c r="U11" s="13" t="s">
        <v>17</v>
      </c>
      <c r="V11" s="14"/>
      <c r="W11" s="14"/>
      <c r="X11" s="14"/>
    </row>
    <row r="12" spans="1:25">
      <c r="A12" s="149">
        <f t="shared" si="6"/>
        <v>11</v>
      </c>
      <c r="B12" s="7"/>
      <c r="C12" s="7"/>
      <c r="D12" s="8"/>
      <c r="E12" s="9">
        <v>45207</v>
      </c>
      <c r="F12" s="10">
        <v>20</v>
      </c>
      <c r="G12" s="10"/>
      <c r="H12" s="10">
        <f t="shared" si="0"/>
        <v>20</v>
      </c>
      <c r="I12" s="8">
        <v>45328</v>
      </c>
      <c r="J12" s="7">
        <f t="shared" si="1"/>
        <v>2</v>
      </c>
      <c r="K12" s="11">
        <f t="shared" si="2"/>
        <v>121</v>
      </c>
      <c r="L12" s="10">
        <v>40</v>
      </c>
      <c r="M12" s="10">
        <v>30</v>
      </c>
      <c r="N12" s="10">
        <f t="shared" si="3"/>
        <v>70</v>
      </c>
      <c r="O12" s="10">
        <v>7.35</v>
      </c>
      <c r="P12" s="10">
        <f t="shared" si="4"/>
        <v>62.65</v>
      </c>
      <c r="Q12" s="10">
        <v>9.02</v>
      </c>
      <c r="R12" s="10">
        <f t="shared" si="5"/>
        <v>33.629999999999995</v>
      </c>
      <c r="S12" s="10" t="s">
        <v>16</v>
      </c>
      <c r="T12" s="12"/>
      <c r="U12" s="17" t="s">
        <v>20</v>
      </c>
      <c r="V12" s="14"/>
      <c r="W12" s="14"/>
      <c r="X12" s="14"/>
    </row>
    <row r="13" spans="1:25">
      <c r="A13" s="149">
        <f t="shared" si="6"/>
        <v>12</v>
      </c>
      <c r="B13" s="7"/>
      <c r="C13" s="7"/>
      <c r="D13" s="8"/>
      <c r="E13" s="9">
        <v>45137</v>
      </c>
      <c r="F13" s="10">
        <v>20</v>
      </c>
      <c r="G13" s="10"/>
      <c r="H13" s="10">
        <f t="shared" si="0"/>
        <v>20</v>
      </c>
      <c r="I13" s="8">
        <v>45329</v>
      </c>
      <c r="J13" s="7">
        <f t="shared" si="1"/>
        <v>2</v>
      </c>
      <c r="K13" s="11">
        <f t="shared" si="2"/>
        <v>192</v>
      </c>
      <c r="L13" s="10">
        <v>60</v>
      </c>
      <c r="M13" s="10">
        <v>10</v>
      </c>
      <c r="N13" s="10">
        <f t="shared" si="3"/>
        <v>70</v>
      </c>
      <c r="O13" s="10">
        <v>7.35</v>
      </c>
      <c r="P13" s="10">
        <f t="shared" si="4"/>
        <v>62.65</v>
      </c>
      <c r="Q13" s="10">
        <v>17.98</v>
      </c>
      <c r="R13" s="10">
        <f t="shared" si="5"/>
        <v>24.669999999999998</v>
      </c>
      <c r="S13" s="10" t="s">
        <v>16</v>
      </c>
      <c r="T13" s="12"/>
      <c r="U13" s="13" t="s">
        <v>17</v>
      </c>
      <c r="V13" s="14"/>
      <c r="W13" s="14"/>
      <c r="X13" s="14"/>
    </row>
    <row r="14" spans="1:25">
      <c r="A14" s="149">
        <f t="shared" si="6"/>
        <v>13</v>
      </c>
      <c r="B14" s="7"/>
      <c r="C14" s="7"/>
      <c r="D14" s="8"/>
      <c r="E14" s="9">
        <v>45158</v>
      </c>
      <c r="F14" s="10">
        <v>15</v>
      </c>
      <c r="G14" s="10"/>
      <c r="H14" s="10">
        <f t="shared" si="0"/>
        <v>15</v>
      </c>
      <c r="I14" s="8">
        <v>45335</v>
      </c>
      <c r="J14" s="7">
        <f t="shared" si="1"/>
        <v>2</v>
      </c>
      <c r="K14" s="11">
        <f t="shared" si="2"/>
        <v>177</v>
      </c>
      <c r="L14" s="10">
        <v>20</v>
      </c>
      <c r="M14" s="10">
        <v>30</v>
      </c>
      <c r="N14" s="10">
        <f t="shared" si="3"/>
        <v>50</v>
      </c>
      <c r="O14" s="10">
        <v>5.35</v>
      </c>
      <c r="P14" s="10">
        <f t="shared" si="4"/>
        <v>44.65</v>
      </c>
      <c r="Q14" s="10">
        <v>15.7</v>
      </c>
      <c r="R14" s="10">
        <f t="shared" si="5"/>
        <v>13.95</v>
      </c>
      <c r="S14" s="10" t="s">
        <v>16</v>
      </c>
      <c r="T14" s="12"/>
      <c r="U14" s="13" t="s">
        <v>21</v>
      </c>
      <c r="V14" s="14"/>
      <c r="W14" s="14"/>
      <c r="X14" s="14"/>
    </row>
    <row r="15" spans="1:25">
      <c r="A15" s="149">
        <f t="shared" si="6"/>
        <v>14</v>
      </c>
      <c r="B15" s="7"/>
      <c r="C15" s="7"/>
      <c r="D15" s="8"/>
      <c r="E15" s="9">
        <v>45137</v>
      </c>
      <c r="F15" s="10">
        <v>35</v>
      </c>
      <c r="G15" s="10">
        <v>40</v>
      </c>
      <c r="H15" s="10">
        <f t="shared" si="0"/>
        <v>75</v>
      </c>
      <c r="I15" s="8">
        <v>45336</v>
      </c>
      <c r="J15" s="7">
        <f t="shared" si="1"/>
        <v>2</v>
      </c>
      <c r="K15" s="11">
        <f t="shared" si="2"/>
        <v>199</v>
      </c>
      <c r="L15" s="10">
        <v>120</v>
      </c>
      <c r="M15" s="10">
        <v>10</v>
      </c>
      <c r="N15" s="10">
        <f t="shared" si="3"/>
        <v>130</v>
      </c>
      <c r="O15" s="10">
        <v>13.35</v>
      </c>
      <c r="P15" s="10">
        <f t="shared" si="4"/>
        <v>116.65</v>
      </c>
      <c r="Q15" s="10">
        <v>10</v>
      </c>
      <c r="R15" s="10">
        <f t="shared" si="5"/>
        <v>31.650000000000006</v>
      </c>
      <c r="S15" s="10" t="s">
        <v>16</v>
      </c>
      <c r="T15" s="12"/>
      <c r="U15" s="13" t="s">
        <v>17</v>
      </c>
      <c r="V15" s="14"/>
      <c r="W15" s="14"/>
      <c r="X15" s="14"/>
    </row>
    <row r="16" spans="1:25">
      <c r="A16" s="149">
        <f t="shared" si="6"/>
        <v>15</v>
      </c>
      <c r="B16" s="7"/>
      <c r="C16" s="7"/>
      <c r="D16" s="8"/>
      <c r="E16" s="9">
        <v>45193</v>
      </c>
      <c r="F16" s="10">
        <v>5</v>
      </c>
      <c r="G16" s="10"/>
      <c r="H16" s="10">
        <f t="shared" si="0"/>
        <v>5</v>
      </c>
      <c r="I16" s="8">
        <v>45338</v>
      </c>
      <c r="J16" s="7">
        <f t="shared" si="1"/>
        <v>2</v>
      </c>
      <c r="K16" s="11">
        <f t="shared" si="2"/>
        <v>145</v>
      </c>
      <c r="L16" s="10">
        <v>20</v>
      </c>
      <c r="M16" s="10">
        <v>8</v>
      </c>
      <c r="N16" s="10">
        <f t="shared" si="3"/>
        <v>28</v>
      </c>
      <c r="O16" s="10">
        <v>3.15</v>
      </c>
      <c r="P16" s="10">
        <f t="shared" si="4"/>
        <v>24.85</v>
      </c>
      <c r="Q16" s="10">
        <v>5.99</v>
      </c>
      <c r="R16" s="10">
        <f t="shared" si="5"/>
        <v>13.860000000000001</v>
      </c>
      <c r="S16" s="10" t="s">
        <v>16</v>
      </c>
      <c r="T16" s="12"/>
      <c r="U16" s="13" t="s">
        <v>17</v>
      </c>
      <c r="V16" s="14"/>
      <c r="W16" s="14"/>
      <c r="X16" s="14"/>
    </row>
    <row r="17" spans="1:27">
      <c r="A17" s="149">
        <f t="shared" si="6"/>
        <v>16</v>
      </c>
      <c r="B17" s="7"/>
      <c r="C17" s="7"/>
      <c r="D17" s="8"/>
      <c r="E17" s="9">
        <v>45137</v>
      </c>
      <c r="F17" s="10">
        <v>8.5</v>
      </c>
      <c r="G17" s="10">
        <v>60</v>
      </c>
      <c r="H17" s="10">
        <f t="shared" si="0"/>
        <v>68.5</v>
      </c>
      <c r="I17" s="8">
        <v>45343</v>
      </c>
      <c r="J17" s="7">
        <f t="shared" si="1"/>
        <v>2</v>
      </c>
      <c r="K17" s="11">
        <f t="shared" si="2"/>
        <v>206</v>
      </c>
      <c r="L17" s="10">
        <v>100</v>
      </c>
      <c r="M17" s="10">
        <v>20</v>
      </c>
      <c r="N17" s="10">
        <f t="shared" si="3"/>
        <v>120</v>
      </c>
      <c r="O17" s="10">
        <v>12.35</v>
      </c>
      <c r="P17" s="10">
        <f t="shared" si="4"/>
        <v>107.65</v>
      </c>
      <c r="Q17" s="10">
        <v>8.99</v>
      </c>
      <c r="R17" s="10">
        <f t="shared" si="5"/>
        <v>30.160000000000004</v>
      </c>
      <c r="S17" s="10" t="s">
        <v>16</v>
      </c>
      <c r="T17" s="12"/>
      <c r="U17" s="17" t="s">
        <v>17</v>
      </c>
      <c r="V17" s="14"/>
      <c r="W17" s="14"/>
      <c r="X17" s="14"/>
    </row>
    <row r="18" spans="1:27">
      <c r="A18" s="149">
        <f t="shared" si="6"/>
        <v>17</v>
      </c>
      <c r="B18" s="7"/>
      <c r="C18" s="7"/>
      <c r="D18" s="8"/>
      <c r="E18" s="9">
        <v>45333</v>
      </c>
      <c r="F18" s="10">
        <v>18</v>
      </c>
      <c r="G18" s="10"/>
      <c r="H18" s="10">
        <f t="shared" si="0"/>
        <v>18</v>
      </c>
      <c r="I18" s="8">
        <v>45346</v>
      </c>
      <c r="J18" s="7">
        <f t="shared" si="1"/>
        <v>2</v>
      </c>
      <c r="K18" s="11">
        <f t="shared" si="2"/>
        <v>13</v>
      </c>
      <c r="L18" s="10">
        <v>100</v>
      </c>
      <c r="M18" s="10">
        <v>10</v>
      </c>
      <c r="N18" s="10">
        <f t="shared" si="3"/>
        <v>110</v>
      </c>
      <c r="O18" s="10">
        <v>11.35</v>
      </c>
      <c r="P18" s="10">
        <f t="shared" si="4"/>
        <v>98.65</v>
      </c>
      <c r="Q18" s="10">
        <v>8.99</v>
      </c>
      <c r="R18" s="10">
        <f t="shared" si="5"/>
        <v>71.660000000000011</v>
      </c>
      <c r="S18" s="10" t="s">
        <v>16</v>
      </c>
      <c r="T18" s="12"/>
      <c r="U18" s="17" t="s">
        <v>17</v>
      </c>
      <c r="V18" s="14"/>
      <c r="W18" s="12"/>
      <c r="X18" s="14"/>
    </row>
    <row r="19" spans="1:27">
      <c r="A19" s="149">
        <f t="shared" si="6"/>
        <v>18</v>
      </c>
      <c r="B19" s="7"/>
      <c r="C19" s="7"/>
      <c r="D19" s="7"/>
      <c r="E19" s="9">
        <v>45088</v>
      </c>
      <c r="F19" s="10">
        <v>0</v>
      </c>
      <c r="G19" s="10"/>
      <c r="H19" s="10">
        <f t="shared" si="0"/>
        <v>0</v>
      </c>
      <c r="I19" s="8">
        <v>45348</v>
      </c>
      <c r="J19" s="7">
        <f t="shared" si="1"/>
        <v>2</v>
      </c>
      <c r="K19" s="11">
        <f t="shared" si="2"/>
        <v>260</v>
      </c>
      <c r="L19" s="10">
        <v>20</v>
      </c>
      <c r="M19" s="10"/>
      <c r="N19" s="10">
        <f t="shared" si="3"/>
        <v>20</v>
      </c>
      <c r="O19" s="10"/>
      <c r="P19" s="10">
        <f t="shared" si="4"/>
        <v>20</v>
      </c>
      <c r="Q19" s="10"/>
      <c r="R19" s="10">
        <f t="shared" si="5"/>
        <v>20</v>
      </c>
      <c r="S19" s="10" t="s">
        <v>19</v>
      </c>
      <c r="T19" s="12"/>
      <c r="U19" s="17" t="s">
        <v>17</v>
      </c>
      <c r="V19" s="14"/>
      <c r="W19" s="14"/>
      <c r="X19" s="14"/>
      <c r="Y19" s="18"/>
      <c r="Z19" s="6"/>
      <c r="AA19" s="6"/>
    </row>
    <row r="20" spans="1:27">
      <c r="A20" s="149">
        <f t="shared" si="6"/>
        <v>19</v>
      </c>
      <c r="B20" s="7"/>
      <c r="C20" s="7"/>
      <c r="D20" s="8"/>
      <c r="E20" s="9">
        <v>45333</v>
      </c>
      <c r="F20" s="10">
        <v>18</v>
      </c>
      <c r="G20" s="10"/>
      <c r="H20" s="10">
        <f t="shared" si="0"/>
        <v>18</v>
      </c>
      <c r="I20" s="8">
        <v>45350</v>
      </c>
      <c r="J20" s="7">
        <f t="shared" si="1"/>
        <v>2</v>
      </c>
      <c r="K20" s="11">
        <f t="shared" si="2"/>
        <v>17</v>
      </c>
      <c r="L20" s="10">
        <v>60</v>
      </c>
      <c r="M20" s="10">
        <v>10</v>
      </c>
      <c r="N20" s="10">
        <f t="shared" si="3"/>
        <v>70</v>
      </c>
      <c r="O20" s="10">
        <v>7.35</v>
      </c>
      <c r="P20" s="10">
        <f t="shared" si="4"/>
        <v>62.65</v>
      </c>
      <c r="Q20" s="10">
        <v>8.99</v>
      </c>
      <c r="R20" s="10">
        <f t="shared" si="5"/>
        <v>35.659999999999997</v>
      </c>
      <c r="S20" s="10" t="s">
        <v>16</v>
      </c>
      <c r="T20" s="12"/>
      <c r="U20" s="17" t="s">
        <v>17</v>
      </c>
      <c r="V20" s="14"/>
      <c r="W20" s="12"/>
      <c r="X20" s="14"/>
    </row>
    <row r="21" spans="1:27" ht="15.75" customHeight="1">
      <c r="A21" s="149">
        <f t="shared" si="6"/>
        <v>20</v>
      </c>
      <c r="B21" s="7"/>
      <c r="C21" s="7"/>
      <c r="D21" s="8"/>
      <c r="E21" s="9">
        <v>45333</v>
      </c>
      <c r="F21" s="10">
        <v>18</v>
      </c>
      <c r="G21" s="10"/>
      <c r="H21" s="10">
        <f t="shared" si="0"/>
        <v>18</v>
      </c>
      <c r="I21" s="8">
        <v>45350</v>
      </c>
      <c r="J21" s="7">
        <f t="shared" si="1"/>
        <v>2</v>
      </c>
      <c r="K21" s="11">
        <f t="shared" si="2"/>
        <v>17</v>
      </c>
      <c r="L21" s="10">
        <v>70</v>
      </c>
      <c r="M21" s="10"/>
      <c r="N21" s="10">
        <f t="shared" si="3"/>
        <v>70</v>
      </c>
      <c r="O21" s="10"/>
      <c r="P21" s="10">
        <f t="shared" si="4"/>
        <v>70</v>
      </c>
      <c r="Q21" s="10"/>
      <c r="R21" s="10">
        <f t="shared" si="5"/>
        <v>52</v>
      </c>
      <c r="S21" s="10" t="s">
        <v>19</v>
      </c>
      <c r="T21" s="12"/>
      <c r="U21" s="17" t="s">
        <v>17</v>
      </c>
      <c r="V21" s="14"/>
      <c r="W21" s="12"/>
      <c r="X21" s="19"/>
    </row>
    <row r="22" spans="1:27" ht="15.75" customHeight="1">
      <c r="A22" s="149">
        <f t="shared" si="6"/>
        <v>21</v>
      </c>
      <c r="B22" s="7"/>
      <c r="C22" s="7"/>
      <c r="D22" s="8"/>
      <c r="E22" s="9">
        <v>45333</v>
      </c>
      <c r="F22" s="10">
        <v>18</v>
      </c>
      <c r="G22" s="10">
        <v>10</v>
      </c>
      <c r="H22" s="10">
        <f t="shared" si="0"/>
        <v>28</v>
      </c>
      <c r="I22" s="8">
        <v>45351</v>
      </c>
      <c r="J22" s="7">
        <f t="shared" si="1"/>
        <v>2</v>
      </c>
      <c r="K22" s="11">
        <f t="shared" si="2"/>
        <v>18</v>
      </c>
      <c r="L22" s="10">
        <v>70</v>
      </c>
      <c r="M22" s="10"/>
      <c r="N22" s="10">
        <f t="shared" si="3"/>
        <v>70</v>
      </c>
      <c r="O22" s="10">
        <v>7.35</v>
      </c>
      <c r="P22" s="10">
        <f t="shared" si="4"/>
        <v>62.65</v>
      </c>
      <c r="Q22" s="10">
        <v>8.99</v>
      </c>
      <c r="R22" s="10">
        <f t="shared" si="5"/>
        <v>25.659999999999997</v>
      </c>
      <c r="S22" s="10" t="s">
        <v>16</v>
      </c>
      <c r="T22" s="12"/>
      <c r="U22" s="17" t="s">
        <v>17</v>
      </c>
      <c r="V22" s="14"/>
      <c r="W22" s="12"/>
      <c r="X22" s="14"/>
    </row>
    <row r="23" spans="1:27" ht="15.75" customHeight="1">
      <c r="A23" s="149">
        <f t="shared" si="6"/>
        <v>22</v>
      </c>
      <c r="B23" s="7"/>
      <c r="C23" s="7"/>
      <c r="D23" s="8"/>
      <c r="E23" s="9">
        <v>45314</v>
      </c>
      <c r="F23" s="20">
        <v>0</v>
      </c>
      <c r="G23" s="10"/>
      <c r="H23" s="10">
        <f t="shared" si="0"/>
        <v>0</v>
      </c>
      <c r="I23" s="8">
        <v>45351</v>
      </c>
      <c r="J23" s="7">
        <v>2</v>
      </c>
      <c r="K23" s="11">
        <f t="shared" si="2"/>
        <v>37</v>
      </c>
      <c r="L23" s="10">
        <v>40</v>
      </c>
      <c r="M23" s="10">
        <v>15</v>
      </c>
      <c r="N23" s="10">
        <f t="shared" si="3"/>
        <v>55</v>
      </c>
      <c r="O23" s="10">
        <v>5.85</v>
      </c>
      <c r="P23" s="10">
        <f t="shared" si="4"/>
        <v>49.15</v>
      </c>
      <c r="Q23" s="10">
        <v>15.4</v>
      </c>
      <c r="R23" s="10">
        <f t="shared" si="5"/>
        <v>33.75</v>
      </c>
      <c r="S23" s="10" t="s">
        <v>16</v>
      </c>
      <c r="T23" s="12"/>
      <c r="U23" s="17" t="s">
        <v>20</v>
      </c>
      <c r="V23" s="14"/>
      <c r="W23" s="14"/>
      <c r="X23" s="14"/>
    </row>
    <row r="24" spans="1:27" ht="15.75" customHeight="1">
      <c r="A24" s="149">
        <f t="shared" si="6"/>
        <v>23</v>
      </c>
      <c r="B24" s="7"/>
      <c r="C24" s="7"/>
      <c r="D24" s="8"/>
      <c r="E24" s="9">
        <v>45333</v>
      </c>
      <c r="F24" s="10">
        <v>18</v>
      </c>
      <c r="G24" s="10">
        <v>50</v>
      </c>
      <c r="H24" s="10">
        <f t="shared" si="0"/>
        <v>68</v>
      </c>
      <c r="I24" s="8">
        <v>45355</v>
      </c>
      <c r="J24" s="7">
        <f t="shared" ref="J24:J200" si="7">IF(I24="","",MONTH(I24))</f>
        <v>3</v>
      </c>
      <c r="K24" s="11">
        <f t="shared" si="2"/>
        <v>22</v>
      </c>
      <c r="L24" s="10">
        <v>250</v>
      </c>
      <c r="M24" s="10">
        <v>25</v>
      </c>
      <c r="N24" s="10">
        <f t="shared" si="3"/>
        <v>275</v>
      </c>
      <c r="O24" s="10">
        <v>26.85</v>
      </c>
      <c r="P24" s="10">
        <f t="shared" si="4"/>
        <v>248.15</v>
      </c>
      <c r="Q24" s="10">
        <v>4.99</v>
      </c>
      <c r="R24" s="10">
        <f t="shared" si="5"/>
        <v>175.16</v>
      </c>
      <c r="S24" s="10" t="s">
        <v>16</v>
      </c>
      <c r="T24" s="12"/>
      <c r="U24" s="17" t="s">
        <v>17</v>
      </c>
      <c r="V24" s="14"/>
      <c r="W24" s="12"/>
      <c r="X24" s="14"/>
    </row>
    <row r="25" spans="1:27" ht="15.75" customHeight="1">
      <c r="A25" s="149">
        <f t="shared" si="6"/>
        <v>24</v>
      </c>
      <c r="B25" s="7"/>
      <c r="C25" s="7"/>
      <c r="D25" s="8"/>
      <c r="E25" s="9">
        <v>45137</v>
      </c>
      <c r="F25" s="10">
        <v>17.5</v>
      </c>
      <c r="G25" s="10"/>
      <c r="H25" s="10">
        <f t="shared" si="0"/>
        <v>17.5</v>
      </c>
      <c r="I25" s="8">
        <v>45353</v>
      </c>
      <c r="J25" s="7">
        <f t="shared" si="7"/>
        <v>3</v>
      </c>
      <c r="K25" s="11">
        <f t="shared" si="2"/>
        <v>216</v>
      </c>
      <c r="L25" s="10">
        <v>25</v>
      </c>
      <c r="M25" s="10">
        <v>10</v>
      </c>
      <c r="N25" s="10">
        <f t="shared" si="3"/>
        <v>35</v>
      </c>
      <c r="O25" s="10">
        <v>3.85</v>
      </c>
      <c r="P25" s="10">
        <f t="shared" si="4"/>
        <v>31.15</v>
      </c>
      <c r="Q25" s="10">
        <v>8.99</v>
      </c>
      <c r="R25" s="10">
        <f t="shared" si="5"/>
        <v>4.6599999999999984</v>
      </c>
      <c r="S25" s="10" t="s">
        <v>16</v>
      </c>
      <c r="T25" s="12"/>
      <c r="U25" s="17" t="s">
        <v>17</v>
      </c>
      <c r="V25" s="14"/>
      <c r="W25" s="14"/>
      <c r="X25" s="14"/>
    </row>
    <row r="26" spans="1:27" ht="15.75" customHeight="1">
      <c r="A26" s="149">
        <f t="shared" si="6"/>
        <v>25</v>
      </c>
      <c r="B26" s="7"/>
      <c r="C26" s="7"/>
      <c r="D26" s="8"/>
      <c r="E26" s="9">
        <v>45333</v>
      </c>
      <c r="F26" s="10">
        <v>18</v>
      </c>
      <c r="G26" s="10"/>
      <c r="H26" s="10">
        <f t="shared" si="0"/>
        <v>18</v>
      </c>
      <c r="I26" s="8">
        <v>45355</v>
      </c>
      <c r="J26" s="7">
        <f t="shared" si="7"/>
        <v>3</v>
      </c>
      <c r="K26" s="11">
        <f t="shared" si="2"/>
        <v>22</v>
      </c>
      <c r="L26" s="10">
        <v>130</v>
      </c>
      <c r="M26" s="10">
        <v>25</v>
      </c>
      <c r="N26" s="10">
        <f t="shared" si="3"/>
        <v>155</v>
      </c>
      <c r="O26" s="10">
        <v>15.85</v>
      </c>
      <c r="P26" s="10">
        <f t="shared" si="4"/>
        <v>139.15</v>
      </c>
      <c r="Q26" s="10">
        <v>4.99</v>
      </c>
      <c r="R26" s="10">
        <f t="shared" si="5"/>
        <v>116.16000000000001</v>
      </c>
      <c r="S26" s="10" t="s">
        <v>16</v>
      </c>
      <c r="T26" s="12"/>
      <c r="U26" s="17" t="s">
        <v>17</v>
      </c>
      <c r="V26" s="14"/>
      <c r="W26" s="12"/>
      <c r="X26" s="14"/>
    </row>
    <row r="27" spans="1:27" ht="15.75" customHeight="1">
      <c r="A27" s="149">
        <f t="shared" si="6"/>
        <v>26</v>
      </c>
      <c r="B27" s="7"/>
      <c r="C27" s="7"/>
      <c r="D27" s="8"/>
      <c r="E27" s="9">
        <v>45333</v>
      </c>
      <c r="F27" s="10">
        <v>10</v>
      </c>
      <c r="G27" s="10">
        <v>40</v>
      </c>
      <c r="H27" s="10">
        <f t="shared" si="0"/>
        <v>50</v>
      </c>
      <c r="I27" s="8">
        <v>45355</v>
      </c>
      <c r="J27" s="7">
        <f t="shared" si="7"/>
        <v>3</v>
      </c>
      <c r="K27" s="11">
        <f t="shared" si="2"/>
        <v>22</v>
      </c>
      <c r="L27" s="10">
        <v>120</v>
      </c>
      <c r="M27" s="10">
        <v>10</v>
      </c>
      <c r="N27" s="10">
        <f t="shared" si="3"/>
        <v>130</v>
      </c>
      <c r="O27" s="10">
        <v>13.35</v>
      </c>
      <c r="P27" s="10">
        <f t="shared" si="4"/>
        <v>116.65</v>
      </c>
      <c r="Q27" s="10">
        <v>12.2</v>
      </c>
      <c r="R27" s="10">
        <f t="shared" si="5"/>
        <v>54.45</v>
      </c>
      <c r="S27" s="10" t="s">
        <v>16</v>
      </c>
      <c r="T27" s="12"/>
      <c r="U27" s="13" t="s">
        <v>21</v>
      </c>
      <c r="V27" s="14"/>
      <c r="W27" s="12"/>
      <c r="X27" s="14"/>
    </row>
    <row r="28" spans="1:27" ht="15.75" customHeight="1">
      <c r="A28" s="149">
        <f t="shared" si="6"/>
        <v>27</v>
      </c>
      <c r="B28" s="7"/>
      <c r="C28" s="7"/>
      <c r="D28" s="8"/>
      <c r="E28" s="9">
        <v>45354</v>
      </c>
      <c r="F28" s="10">
        <v>15</v>
      </c>
      <c r="G28" s="10">
        <v>6</v>
      </c>
      <c r="H28" s="10">
        <f t="shared" si="0"/>
        <v>21</v>
      </c>
      <c r="I28" s="8">
        <v>45360</v>
      </c>
      <c r="J28" s="7">
        <f t="shared" si="7"/>
        <v>3</v>
      </c>
      <c r="K28" s="11">
        <f t="shared" si="2"/>
        <v>6</v>
      </c>
      <c r="L28" s="10">
        <v>130</v>
      </c>
      <c r="M28" s="10">
        <v>15</v>
      </c>
      <c r="N28" s="10">
        <f t="shared" si="3"/>
        <v>145</v>
      </c>
      <c r="O28" s="10">
        <v>14.85</v>
      </c>
      <c r="P28" s="10">
        <f t="shared" si="4"/>
        <v>130.15</v>
      </c>
      <c r="Q28" s="10">
        <v>15.4</v>
      </c>
      <c r="R28" s="10">
        <f t="shared" si="5"/>
        <v>93.75</v>
      </c>
      <c r="S28" s="10" t="s">
        <v>16</v>
      </c>
      <c r="T28" s="12"/>
      <c r="U28" s="13" t="s">
        <v>18</v>
      </c>
      <c r="V28" s="14"/>
      <c r="W28" s="14"/>
      <c r="X28" s="14"/>
    </row>
    <row r="29" spans="1:27" ht="15.75" customHeight="1">
      <c r="A29" s="149">
        <f t="shared" si="6"/>
        <v>28</v>
      </c>
      <c r="B29" s="7"/>
      <c r="C29" s="7"/>
      <c r="D29" s="8"/>
      <c r="E29" s="9">
        <v>45354</v>
      </c>
      <c r="F29" s="10">
        <v>15</v>
      </c>
      <c r="G29" s="10"/>
      <c r="H29" s="10">
        <f t="shared" si="0"/>
        <v>15</v>
      </c>
      <c r="I29" s="8">
        <v>45361</v>
      </c>
      <c r="J29" s="7">
        <f t="shared" si="7"/>
        <v>3</v>
      </c>
      <c r="K29" s="11">
        <f t="shared" si="2"/>
        <v>7</v>
      </c>
      <c r="L29" s="10">
        <v>50</v>
      </c>
      <c r="M29" s="10">
        <v>20</v>
      </c>
      <c r="N29" s="10">
        <f t="shared" si="3"/>
        <v>70</v>
      </c>
      <c r="O29" s="10">
        <v>7.35</v>
      </c>
      <c r="P29" s="10">
        <f t="shared" si="4"/>
        <v>62.65</v>
      </c>
      <c r="Q29" s="10">
        <v>4.99</v>
      </c>
      <c r="R29" s="10">
        <f t="shared" si="5"/>
        <v>42.66</v>
      </c>
      <c r="S29" s="10" t="s">
        <v>16</v>
      </c>
      <c r="T29" s="12"/>
      <c r="U29" s="17" t="s">
        <v>17</v>
      </c>
      <c r="V29" s="14"/>
      <c r="W29" s="14"/>
      <c r="X29" s="14"/>
    </row>
    <row r="30" spans="1:27" ht="15.75" customHeight="1">
      <c r="A30" s="149">
        <f t="shared" si="6"/>
        <v>29</v>
      </c>
      <c r="B30" s="7"/>
      <c r="C30" s="7"/>
      <c r="D30" s="8"/>
      <c r="E30" s="9">
        <v>45333</v>
      </c>
      <c r="F30" s="10">
        <v>18</v>
      </c>
      <c r="G30" s="10"/>
      <c r="H30" s="10">
        <f t="shared" si="0"/>
        <v>18</v>
      </c>
      <c r="I30" s="8">
        <v>45362</v>
      </c>
      <c r="J30" s="7">
        <f t="shared" si="7"/>
        <v>3</v>
      </c>
      <c r="K30" s="11">
        <f t="shared" si="2"/>
        <v>29</v>
      </c>
      <c r="L30" s="10">
        <v>150</v>
      </c>
      <c r="M30" s="10">
        <v>25</v>
      </c>
      <c r="N30" s="10">
        <f t="shared" si="3"/>
        <v>175</v>
      </c>
      <c r="O30" s="10">
        <v>5.43</v>
      </c>
      <c r="P30" s="10">
        <f t="shared" si="4"/>
        <v>169.57</v>
      </c>
      <c r="Q30" s="10">
        <v>14</v>
      </c>
      <c r="R30" s="10">
        <f t="shared" si="5"/>
        <v>137.57</v>
      </c>
      <c r="S30" s="10" t="s">
        <v>16</v>
      </c>
      <c r="T30" s="12"/>
      <c r="U30" s="13" t="s">
        <v>22</v>
      </c>
      <c r="V30" s="14"/>
      <c r="W30" s="12"/>
      <c r="X30" s="14"/>
    </row>
    <row r="31" spans="1:27" ht="15.75" customHeight="1">
      <c r="A31" s="149">
        <f t="shared" si="6"/>
        <v>30</v>
      </c>
      <c r="B31" s="7"/>
      <c r="C31" s="7"/>
      <c r="D31" s="8"/>
      <c r="E31" s="9">
        <v>45333</v>
      </c>
      <c r="F31" s="10">
        <v>18</v>
      </c>
      <c r="G31" s="10"/>
      <c r="H31" s="10">
        <f t="shared" si="0"/>
        <v>18</v>
      </c>
      <c r="I31" s="8">
        <v>45362</v>
      </c>
      <c r="J31" s="7">
        <f t="shared" si="7"/>
        <v>3</v>
      </c>
      <c r="K31" s="11">
        <f t="shared" si="2"/>
        <v>29</v>
      </c>
      <c r="L31" s="10">
        <v>100</v>
      </c>
      <c r="M31" s="10">
        <v>10</v>
      </c>
      <c r="N31" s="10">
        <f t="shared" si="3"/>
        <v>110</v>
      </c>
      <c r="O31" s="10">
        <v>11.35</v>
      </c>
      <c r="P31" s="10">
        <f t="shared" si="4"/>
        <v>98.65</v>
      </c>
      <c r="Q31" s="10">
        <v>7.29</v>
      </c>
      <c r="R31" s="10">
        <f t="shared" si="5"/>
        <v>73.36</v>
      </c>
      <c r="S31" s="10" t="s">
        <v>16</v>
      </c>
      <c r="T31" s="12"/>
      <c r="U31" s="17" t="s">
        <v>17</v>
      </c>
      <c r="V31" s="14"/>
      <c r="W31" s="12"/>
      <c r="X31" s="14"/>
    </row>
    <row r="32" spans="1:27" ht="15.75" customHeight="1">
      <c r="A32" s="149">
        <f t="shared" si="6"/>
        <v>31</v>
      </c>
      <c r="B32" s="7"/>
      <c r="C32" s="7"/>
      <c r="D32" s="8"/>
      <c r="E32" s="9">
        <v>45193</v>
      </c>
      <c r="F32" s="10">
        <v>5</v>
      </c>
      <c r="G32" s="10"/>
      <c r="H32" s="10">
        <f t="shared" si="0"/>
        <v>5</v>
      </c>
      <c r="I32" s="8">
        <v>45381</v>
      </c>
      <c r="J32" s="7">
        <f t="shared" si="7"/>
        <v>3</v>
      </c>
      <c r="K32" s="11">
        <f t="shared" si="2"/>
        <v>188</v>
      </c>
      <c r="L32" s="10">
        <v>20</v>
      </c>
      <c r="M32" s="10">
        <v>8</v>
      </c>
      <c r="N32" s="10">
        <f t="shared" si="3"/>
        <v>28</v>
      </c>
      <c r="O32" s="10">
        <v>3.15</v>
      </c>
      <c r="P32" s="10">
        <f t="shared" si="4"/>
        <v>24.85</v>
      </c>
      <c r="Q32" s="10">
        <v>4.99</v>
      </c>
      <c r="R32" s="10">
        <f t="shared" si="5"/>
        <v>14.860000000000001</v>
      </c>
      <c r="S32" s="10" t="s">
        <v>16</v>
      </c>
      <c r="T32" s="12"/>
      <c r="U32" s="17" t="s">
        <v>17</v>
      </c>
      <c r="V32" s="14"/>
      <c r="W32" s="14"/>
      <c r="X32" s="14"/>
    </row>
    <row r="33" spans="1:24" ht="15.75" customHeight="1">
      <c r="A33" s="149">
        <f t="shared" si="6"/>
        <v>32</v>
      </c>
      <c r="B33" s="7"/>
      <c r="C33" s="7"/>
      <c r="D33" s="8"/>
      <c r="E33" s="9">
        <v>45354</v>
      </c>
      <c r="F33" s="10">
        <v>20</v>
      </c>
      <c r="G33" s="10">
        <v>33.950000000000003</v>
      </c>
      <c r="H33" s="10">
        <f t="shared" si="0"/>
        <v>53.95</v>
      </c>
      <c r="I33" s="8">
        <v>45381</v>
      </c>
      <c r="J33" s="7">
        <f t="shared" si="7"/>
        <v>3</v>
      </c>
      <c r="K33" s="11">
        <f t="shared" si="2"/>
        <v>27</v>
      </c>
      <c r="L33" s="10">
        <v>140</v>
      </c>
      <c r="M33" s="10">
        <v>20</v>
      </c>
      <c r="N33" s="10">
        <f t="shared" si="3"/>
        <v>160</v>
      </c>
      <c r="O33" s="10">
        <v>16.350000000000001</v>
      </c>
      <c r="P33" s="10">
        <f t="shared" si="4"/>
        <v>143.65</v>
      </c>
      <c r="Q33" s="10">
        <v>12.2</v>
      </c>
      <c r="R33" s="10">
        <f t="shared" si="5"/>
        <v>77.5</v>
      </c>
      <c r="S33" s="10" t="s">
        <v>16</v>
      </c>
      <c r="T33" s="12"/>
      <c r="U33" s="13" t="s">
        <v>21</v>
      </c>
      <c r="V33" s="14"/>
      <c r="W33" s="14"/>
      <c r="X33" s="14"/>
    </row>
    <row r="34" spans="1:24" ht="15.75" customHeight="1">
      <c r="A34" s="149">
        <f t="shared" si="6"/>
        <v>33</v>
      </c>
      <c r="B34" s="7"/>
      <c r="C34" s="7"/>
      <c r="D34" s="8"/>
      <c r="E34" s="9">
        <v>45333</v>
      </c>
      <c r="F34" s="10">
        <v>18</v>
      </c>
      <c r="G34" s="10">
        <v>30</v>
      </c>
      <c r="H34" s="10">
        <f t="shared" si="0"/>
        <v>48</v>
      </c>
      <c r="I34" s="8">
        <v>45386</v>
      </c>
      <c r="J34" s="7">
        <f t="shared" si="7"/>
        <v>4</v>
      </c>
      <c r="K34" s="11">
        <f t="shared" si="2"/>
        <v>53</v>
      </c>
      <c r="L34" s="10">
        <v>70</v>
      </c>
      <c r="M34" s="10">
        <v>50</v>
      </c>
      <c r="N34" s="10">
        <f t="shared" ref="N34:N65" si="8">IF($I34&lt;&gt;"",SUM(L34:M34),"")</f>
        <v>120</v>
      </c>
      <c r="O34" s="10">
        <v>12.35</v>
      </c>
      <c r="P34" s="10">
        <f t="shared" si="4"/>
        <v>107.65</v>
      </c>
      <c r="Q34" s="10">
        <v>14.24</v>
      </c>
      <c r="R34" s="10">
        <f t="shared" si="5"/>
        <v>45.410000000000004</v>
      </c>
      <c r="S34" s="10" t="s">
        <v>16</v>
      </c>
      <c r="T34" s="12"/>
      <c r="U34" s="13" t="s">
        <v>23</v>
      </c>
      <c r="V34" s="14"/>
      <c r="W34" s="12"/>
      <c r="X34" s="14"/>
    </row>
    <row r="35" spans="1:24" ht="15.75" customHeight="1">
      <c r="A35" s="149">
        <f t="shared" si="6"/>
        <v>34</v>
      </c>
      <c r="B35" s="7"/>
      <c r="C35" s="7"/>
      <c r="D35" s="8"/>
      <c r="E35" s="9">
        <v>45333</v>
      </c>
      <c r="F35" s="10">
        <v>18</v>
      </c>
      <c r="G35" s="10"/>
      <c r="H35" s="10">
        <f t="shared" si="0"/>
        <v>18</v>
      </c>
      <c r="I35" s="8">
        <v>45387</v>
      </c>
      <c r="J35" s="7">
        <f t="shared" si="7"/>
        <v>4</v>
      </c>
      <c r="K35" s="11">
        <f t="shared" si="2"/>
        <v>54</v>
      </c>
      <c r="L35" s="10">
        <v>10</v>
      </c>
      <c r="M35" s="10">
        <v>10</v>
      </c>
      <c r="N35" s="10">
        <f t="shared" si="8"/>
        <v>20</v>
      </c>
      <c r="O35" s="10">
        <v>2.35</v>
      </c>
      <c r="P35" s="10">
        <f t="shared" si="4"/>
        <v>17.649999999999999</v>
      </c>
      <c r="Q35" s="10">
        <v>9.1999999999999993</v>
      </c>
      <c r="R35" s="10">
        <f t="shared" si="5"/>
        <v>-9.5500000000000007</v>
      </c>
      <c r="S35" s="10" t="s">
        <v>16</v>
      </c>
      <c r="T35" s="12"/>
      <c r="U35" s="13" t="s">
        <v>17</v>
      </c>
      <c r="V35" s="14"/>
      <c r="W35" s="12"/>
      <c r="X35" s="14"/>
    </row>
    <row r="36" spans="1:24" ht="15.75" customHeight="1">
      <c r="A36" s="149">
        <f t="shared" si="6"/>
        <v>35</v>
      </c>
      <c r="B36" s="7"/>
      <c r="C36" s="7"/>
      <c r="D36" s="8"/>
      <c r="E36" s="9">
        <v>45333</v>
      </c>
      <c r="F36" s="10">
        <v>18</v>
      </c>
      <c r="G36" s="10"/>
      <c r="H36" s="10">
        <f t="shared" si="0"/>
        <v>18</v>
      </c>
      <c r="I36" s="8">
        <v>45395</v>
      </c>
      <c r="J36" s="7">
        <f t="shared" si="7"/>
        <v>4</v>
      </c>
      <c r="K36" s="11">
        <f t="shared" si="2"/>
        <v>62</v>
      </c>
      <c r="L36" s="10">
        <v>30</v>
      </c>
      <c r="M36" s="10">
        <v>10</v>
      </c>
      <c r="N36" s="10">
        <f t="shared" si="8"/>
        <v>40</v>
      </c>
      <c r="O36" s="10">
        <v>4.5199999999999996</v>
      </c>
      <c r="P36" s="10">
        <f t="shared" si="4"/>
        <v>35.480000000000004</v>
      </c>
      <c r="Q36" s="10">
        <v>9.1999999999999993</v>
      </c>
      <c r="R36" s="10">
        <f t="shared" si="5"/>
        <v>8.2800000000000047</v>
      </c>
      <c r="S36" s="10" t="s">
        <v>16</v>
      </c>
      <c r="T36" s="12"/>
      <c r="U36" s="13" t="s">
        <v>18</v>
      </c>
      <c r="V36" s="14"/>
      <c r="W36" s="12"/>
      <c r="X36" s="14"/>
    </row>
    <row r="37" spans="1:24" ht="15.75" customHeight="1">
      <c r="A37" s="149">
        <f t="shared" si="6"/>
        <v>36</v>
      </c>
      <c r="B37" s="7"/>
      <c r="C37" s="7"/>
      <c r="D37" s="8"/>
      <c r="E37" s="9">
        <v>45354</v>
      </c>
      <c r="F37" s="10">
        <v>25</v>
      </c>
      <c r="G37" s="10"/>
      <c r="H37" s="10">
        <f t="shared" si="0"/>
        <v>25</v>
      </c>
      <c r="I37" s="8">
        <v>45396</v>
      </c>
      <c r="J37" s="7">
        <f t="shared" si="7"/>
        <v>4</v>
      </c>
      <c r="K37" s="11">
        <f t="shared" si="2"/>
        <v>42</v>
      </c>
      <c r="L37" s="10">
        <v>150</v>
      </c>
      <c r="M37" s="10">
        <v>10</v>
      </c>
      <c r="N37" s="10">
        <f t="shared" si="8"/>
        <v>160</v>
      </c>
      <c r="O37" s="10">
        <v>17.02</v>
      </c>
      <c r="P37" s="10">
        <f t="shared" si="4"/>
        <v>142.97999999999999</v>
      </c>
      <c r="Q37" s="10">
        <v>9.1999999999999993</v>
      </c>
      <c r="R37" s="10">
        <f t="shared" si="5"/>
        <v>108.77999999999999</v>
      </c>
      <c r="S37" s="10" t="s">
        <v>16</v>
      </c>
      <c r="T37" s="12"/>
      <c r="U37" s="13" t="s">
        <v>17</v>
      </c>
      <c r="V37" s="14"/>
      <c r="W37" s="14"/>
      <c r="X37" s="14"/>
    </row>
    <row r="38" spans="1:24" ht="15.75" customHeight="1">
      <c r="A38" s="149">
        <f t="shared" si="6"/>
        <v>37</v>
      </c>
      <c r="B38" s="7"/>
      <c r="C38" s="7"/>
      <c r="D38" s="8"/>
      <c r="E38" s="9">
        <v>45333</v>
      </c>
      <c r="F38" s="10">
        <v>18</v>
      </c>
      <c r="G38" s="10">
        <v>40</v>
      </c>
      <c r="H38" s="10">
        <f t="shared" si="0"/>
        <v>58</v>
      </c>
      <c r="I38" s="8">
        <v>45397</v>
      </c>
      <c r="J38" s="7">
        <f t="shared" si="7"/>
        <v>4</v>
      </c>
      <c r="K38" s="11">
        <f t="shared" si="2"/>
        <v>64</v>
      </c>
      <c r="L38" s="10">
        <v>200</v>
      </c>
      <c r="M38" s="10"/>
      <c r="N38" s="10">
        <f t="shared" si="8"/>
        <v>200</v>
      </c>
      <c r="O38" s="10"/>
      <c r="P38" s="10">
        <f t="shared" si="4"/>
        <v>200</v>
      </c>
      <c r="Q38" s="10"/>
      <c r="R38" s="10">
        <f t="shared" si="5"/>
        <v>142</v>
      </c>
      <c r="S38" s="10" t="s">
        <v>19</v>
      </c>
      <c r="T38" s="12"/>
      <c r="U38" s="13" t="s">
        <v>17</v>
      </c>
      <c r="V38" s="14"/>
      <c r="W38" s="12"/>
      <c r="X38" s="14"/>
    </row>
    <row r="39" spans="1:24" ht="15.75" customHeight="1">
      <c r="A39" s="149">
        <f t="shared" si="6"/>
        <v>38</v>
      </c>
      <c r="B39" s="7"/>
      <c r="C39" s="7"/>
      <c r="D39" s="8"/>
      <c r="E39" s="9">
        <v>45354</v>
      </c>
      <c r="F39" s="10">
        <v>25</v>
      </c>
      <c r="G39" s="10">
        <v>10</v>
      </c>
      <c r="H39" s="10">
        <f t="shared" si="0"/>
        <v>35</v>
      </c>
      <c r="I39" s="8">
        <v>45397</v>
      </c>
      <c r="J39" s="7">
        <f t="shared" si="7"/>
        <v>4</v>
      </c>
      <c r="K39" s="11">
        <f t="shared" si="2"/>
        <v>43</v>
      </c>
      <c r="L39" s="10">
        <v>100</v>
      </c>
      <c r="M39" s="10">
        <v>15</v>
      </c>
      <c r="N39" s="10">
        <f t="shared" si="8"/>
        <v>115</v>
      </c>
      <c r="O39" s="10">
        <v>12.33</v>
      </c>
      <c r="P39" s="10">
        <f t="shared" si="4"/>
        <v>102.67</v>
      </c>
      <c r="Q39" s="10">
        <v>15.4</v>
      </c>
      <c r="R39" s="10">
        <f t="shared" si="5"/>
        <v>52.27</v>
      </c>
      <c r="S39" s="10" t="s">
        <v>16</v>
      </c>
      <c r="T39" s="12"/>
      <c r="U39" s="13" t="s">
        <v>20</v>
      </c>
      <c r="V39" s="14"/>
      <c r="W39" s="14"/>
      <c r="X39" s="14"/>
    </row>
    <row r="40" spans="1:24" ht="15.75" customHeight="1">
      <c r="A40" s="149">
        <f t="shared" si="6"/>
        <v>39</v>
      </c>
      <c r="B40" s="7"/>
      <c r="C40" s="7"/>
      <c r="D40" s="8"/>
      <c r="E40" s="9">
        <v>45396</v>
      </c>
      <c r="F40" s="10">
        <v>2</v>
      </c>
      <c r="G40" s="10"/>
      <c r="H40" s="10">
        <f t="shared" si="0"/>
        <v>2</v>
      </c>
      <c r="I40" s="8">
        <v>45398</v>
      </c>
      <c r="J40" s="7">
        <f t="shared" si="7"/>
        <v>4</v>
      </c>
      <c r="K40" s="11">
        <f t="shared" si="2"/>
        <v>2</v>
      </c>
      <c r="L40" s="10">
        <v>45</v>
      </c>
      <c r="M40" s="10">
        <v>10</v>
      </c>
      <c r="N40" s="10">
        <f t="shared" si="8"/>
        <v>55</v>
      </c>
      <c r="O40" s="10">
        <v>6.08</v>
      </c>
      <c r="P40" s="10">
        <f t="shared" si="4"/>
        <v>48.92</v>
      </c>
      <c r="Q40" s="10">
        <v>9.1999999999999993</v>
      </c>
      <c r="R40" s="10">
        <f t="shared" si="5"/>
        <v>37.72</v>
      </c>
      <c r="S40" s="10" t="s">
        <v>16</v>
      </c>
      <c r="T40" s="12"/>
      <c r="U40" s="13" t="s">
        <v>18</v>
      </c>
      <c r="V40" s="14"/>
      <c r="W40" s="14"/>
      <c r="X40" s="14"/>
    </row>
    <row r="41" spans="1:24" ht="15.75" customHeight="1">
      <c r="A41" s="149">
        <f t="shared" si="6"/>
        <v>40</v>
      </c>
      <c r="B41" s="7"/>
      <c r="C41" s="7"/>
      <c r="D41" s="8"/>
      <c r="E41" s="9">
        <v>45158</v>
      </c>
      <c r="F41" s="10">
        <v>10</v>
      </c>
      <c r="G41" s="10"/>
      <c r="H41" s="10">
        <f t="shared" si="0"/>
        <v>10</v>
      </c>
      <c r="I41" s="8">
        <v>45400</v>
      </c>
      <c r="J41" s="7">
        <f t="shared" si="7"/>
        <v>4</v>
      </c>
      <c r="K41" s="11">
        <f t="shared" si="2"/>
        <v>242</v>
      </c>
      <c r="L41" s="10">
        <v>20</v>
      </c>
      <c r="M41" s="10">
        <v>15</v>
      </c>
      <c r="N41" s="10">
        <f t="shared" si="8"/>
        <v>35</v>
      </c>
      <c r="O41" s="10">
        <v>3.99</v>
      </c>
      <c r="P41" s="10">
        <f t="shared" si="4"/>
        <v>31.009999999999998</v>
      </c>
      <c r="Q41" s="10">
        <v>9.1999999999999993</v>
      </c>
      <c r="R41" s="10">
        <f t="shared" si="5"/>
        <v>11.809999999999999</v>
      </c>
      <c r="S41" s="10" t="s">
        <v>16</v>
      </c>
      <c r="T41" s="12"/>
      <c r="U41" s="17" t="s">
        <v>21</v>
      </c>
      <c r="V41" s="14"/>
      <c r="W41" s="14"/>
      <c r="X41" s="14"/>
    </row>
    <row r="42" spans="1:24" ht="15.75" customHeight="1">
      <c r="A42" s="149">
        <f t="shared" si="6"/>
        <v>41</v>
      </c>
      <c r="B42" s="7"/>
      <c r="C42" s="7"/>
      <c r="D42" s="8"/>
      <c r="E42" s="9">
        <v>45350</v>
      </c>
      <c r="F42" s="10">
        <v>10</v>
      </c>
      <c r="G42" s="10"/>
      <c r="H42" s="10">
        <f t="shared" si="0"/>
        <v>10</v>
      </c>
      <c r="I42" s="8">
        <v>45392</v>
      </c>
      <c r="J42" s="7">
        <f t="shared" si="7"/>
        <v>4</v>
      </c>
      <c r="K42" s="11">
        <f t="shared" si="2"/>
        <v>42</v>
      </c>
      <c r="L42" s="10">
        <v>20</v>
      </c>
      <c r="M42" s="10">
        <v>10</v>
      </c>
      <c r="N42" s="10">
        <f t="shared" si="8"/>
        <v>30</v>
      </c>
      <c r="O42" s="10">
        <v>3.48</v>
      </c>
      <c r="P42" s="10">
        <f t="shared" si="4"/>
        <v>26.52</v>
      </c>
      <c r="Q42" s="10">
        <v>10</v>
      </c>
      <c r="R42" s="10">
        <f t="shared" si="5"/>
        <v>6.52</v>
      </c>
      <c r="S42" s="10" t="s">
        <v>16</v>
      </c>
      <c r="T42" s="12"/>
      <c r="U42" s="13" t="s">
        <v>20</v>
      </c>
      <c r="V42" s="14"/>
      <c r="W42" s="14"/>
      <c r="X42" s="14"/>
    </row>
    <row r="43" spans="1:24" ht="15.75" customHeight="1">
      <c r="A43" s="149">
        <f t="shared" si="6"/>
        <v>42</v>
      </c>
      <c r="B43" s="7"/>
      <c r="C43" s="7"/>
      <c r="D43" s="8"/>
      <c r="E43" s="9">
        <v>45333</v>
      </c>
      <c r="F43" s="10">
        <v>18</v>
      </c>
      <c r="G43" s="10">
        <v>30</v>
      </c>
      <c r="H43" s="10">
        <f t="shared" si="0"/>
        <v>48</v>
      </c>
      <c r="I43" s="8">
        <v>45402</v>
      </c>
      <c r="J43" s="7">
        <f t="shared" si="7"/>
        <v>4</v>
      </c>
      <c r="K43" s="11">
        <f t="shared" si="2"/>
        <v>69</v>
      </c>
      <c r="L43" s="10">
        <v>80</v>
      </c>
      <c r="M43" s="10">
        <v>20</v>
      </c>
      <c r="N43" s="10">
        <f t="shared" si="8"/>
        <v>100</v>
      </c>
      <c r="O43" s="10">
        <v>10.77</v>
      </c>
      <c r="P43" s="10">
        <f t="shared" si="4"/>
        <v>89.23</v>
      </c>
      <c r="Q43" s="10">
        <v>4.99</v>
      </c>
      <c r="R43" s="10">
        <f t="shared" si="5"/>
        <v>36.24</v>
      </c>
      <c r="S43" s="10" t="s">
        <v>16</v>
      </c>
      <c r="T43" s="12"/>
      <c r="U43" s="13" t="s">
        <v>17</v>
      </c>
      <c r="V43" s="14"/>
      <c r="W43" s="12"/>
      <c r="X43" s="14"/>
    </row>
    <row r="44" spans="1:24" ht="15.75" customHeight="1">
      <c r="A44" s="149">
        <f t="shared" si="6"/>
        <v>43</v>
      </c>
      <c r="B44" s="7"/>
      <c r="C44" s="7"/>
      <c r="D44" s="8"/>
      <c r="E44" s="9">
        <v>45354</v>
      </c>
      <c r="F44" s="10">
        <v>25</v>
      </c>
      <c r="G44" s="10"/>
      <c r="H44" s="10">
        <f t="shared" si="0"/>
        <v>25</v>
      </c>
      <c r="I44" s="8">
        <v>45403</v>
      </c>
      <c r="J44" s="7">
        <f t="shared" si="7"/>
        <v>4</v>
      </c>
      <c r="K44" s="11">
        <f t="shared" si="2"/>
        <v>49</v>
      </c>
      <c r="L44" s="10">
        <v>140</v>
      </c>
      <c r="M44" s="10">
        <v>20</v>
      </c>
      <c r="N44" s="10">
        <f t="shared" si="8"/>
        <v>160</v>
      </c>
      <c r="O44" s="10">
        <v>17.02</v>
      </c>
      <c r="P44" s="10">
        <f t="shared" si="4"/>
        <v>142.97999999999999</v>
      </c>
      <c r="Q44" s="10">
        <v>15.25</v>
      </c>
      <c r="R44" s="10">
        <f t="shared" si="5"/>
        <v>102.72999999999999</v>
      </c>
      <c r="S44" s="10" t="s">
        <v>16</v>
      </c>
      <c r="T44" s="12"/>
      <c r="U44" s="13" t="s">
        <v>20</v>
      </c>
      <c r="V44" s="14"/>
      <c r="W44" s="14"/>
      <c r="X44" s="14"/>
    </row>
    <row r="45" spans="1:24" ht="15.75" customHeight="1">
      <c r="A45" s="149">
        <f t="shared" si="6"/>
        <v>44</v>
      </c>
      <c r="B45" s="7"/>
      <c r="C45" s="7"/>
      <c r="D45" s="8"/>
      <c r="E45" s="9">
        <v>45361</v>
      </c>
      <c r="F45" s="10">
        <v>30</v>
      </c>
      <c r="G45" s="10"/>
      <c r="H45" s="10">
        <f t="shared" si="0"/>
        <v>30</v>
      </c>
      <c r="I45" s="8">
        <v>45403</v>
      </c>
      <c r="J45" s="7">
        <f t="shared" si="7"/>
        <v>4</v>
      </c>
      <c r="K45" s="11">
        <f t="shared" si="2"/>
        <v>42</v>
      </c>
      <c r="L45" s="10">
        <v>120</v>
      </c>
      <c r="M45" s="10">
        <v>40</v>
      </c>
      <c r="N45" s="10">
        <f t="shared" si="8"/>
        <v>160</v>
      </c>
      <c r="O45" s="10">
        <v>20.09</v>
      </c>
      <c r="P45" s="10">
        <f t="shared" si="4"/>
        <v>139.91</v>
      </c>
      <c r="Q45" s="10">
        <v>28.5</v>
      </c>
      <c r="R45" s="10">
        <f t="shared" si="5"/>
        <v>81.41</v>
      </c>
      <c r="S45" s="10" t="s">
        <v>16</v>
      </c>
      <c r="T45" s="12"/>
      <c r="U45" s="13" t="s">
        <v>24</v>
      </c>
      <c r="V45" s="14"/>
      <c r="W45" s="14"/>
      <c r="X45" s="14"/>
    </row>
    <row r="46" spans="1:24" ht="15.75" customHeight="1">
      <c r="A46" s="149">
        <f t="shared" si="6"/>
        <v>45</v>
      </c>
      <c r="B46" s="7"/>
      <c r="C46" s="7"/>
      <c r="D46" s="8"/>
      <c r="E46" s="9">
        <v>45403</v>
      </c>
      <c r="F46" s="10">
        <v>20</v>
      </c>
      <c r="G46" s="10"/>
      <c r="H46" s="10">
        <f t="shared" si="0"/>
        <v>20</v>
      </c>
      <c r="I46" s="8">
        <v>45405</v>
      </c>
      <c r="J46" s="7">
        <f t="shared" si="7"/>
        <v>4</v>
      </c>
      <c r="K46" s="11">
        <f t="shared" si="2"/>
        <v>2</v>
      </c>
      <c r="L46" s="10">
        <v>200</v>
      </c>
      <c r="M46" s="10"/>
      <c r="N46" s="10">
        <f t="shared" si="8"/>
        <v>200</v>
      </c>
      <c r="O46" s="10"/>
      <c r="P46" s="10">
        <f t="shared" si="4"/>
        <v>200</v>
      </c>
      <c r="Q46" s="10"/>
      <c r="R46" s="10">
        <f t="shared" si="5"/>
        <v>180</v>
      </c>
      <c r="S46" s="10" t="s">
        <v>19</v>
      </c>
      <c r="T46" s="12"/>
      <c r="U46" s="13" t="s">
        <v>17</v>
      </c>
      <c r="V46" s="14"/>
      <c r="W46" s="14"/>
      <c r="X46" s="14"/>
    </row>
    <row r="47" spans="1:24" ht="15.75" customHeight="1">
      <c r="A47" s="149">
        <f t="shared" si="6"/>
        <v>46</v>
      </c>
      <c r="B47" s="7"/>
      <c r="C47" s="7"/>
      <c r="D47" s="8"/>
      <c r="E47" s="9">
        <v>45403</v>
      </c>
      <c r="F47" s="10">
        <v>20</v>
      </c>
      <c r="G47" s="10"/>
      <c r="H47" s="10">
        <f t="shared" si="0"/>
        <v>20</v>
      </c>
      <c r="I47" s="8">
        <v>45406</v>
      </c>
      <c r="J47" s="7">
        <f t="shared" si="7"/>
        <v>4</v>
      </c>
      <c r="K47" s="11">
        <f t="shared" si="2"/>
        <v>3</v>
      </c>
      <c r="L47" s="10">
        <v>160</v>
      </c>
      <c r="M47" s="10">
        <v>15</v>
      </c>
      <c r="N47" s="10">
        <f t="shared" si="8"/>
        <v>175</v>
      </c>
      <c r="O47" s="10">
        <v>18.579999999999998</v>
      </c>
      <c r="P47" s="10">
        <f t="shared" si="4"/>
        <v>156.42000000000002</v>
      </c>
      <c r="Q47" s="10">
        <v>15.4</v>
      </c>
      <c r="R47" s="10">
        <f t="shared" si="5"/>
        <v>121.02000000000001</v>
      </c>
      <c r="S47" s="10" t="s">
        <v>16</v>
      </c>
      <c r="T47" s="12"/>
      <c r="U47" s="13" t="s">
        <v>21</v>
      </c>
      <c r="V47" s="14"/>
      <c r="W47" s="14"/>
      <c r="X47" s="14"/>
    </row>
    <row r="48" spans="1:24" ht="15.75" customHeight="1">
      <c r="A48" s="149">
        <f t="shared" si="6"/>
        <v>47</v>
      </c>
      <c r="B48" s="7"/>
      <c r="C48" s="7"/>
      <c r="D48" s="8"/>
      <c r="E48" s="9">
        <v>45172</v>
      </c>
      <c r="F48" s="10">
        <v>0</v>
      </c>
      <c r="G48" s="10"/>
      <c r="H48" s="10">
        <f t="shared" si="0"/>
        <v>0</v>
      </c>
      <c r="I48" s="8">
        <v>45408</v>
      </c>
      <c r="J48" s="7">
        <f t="shared" si="7"/>
        <v>4</v>
      </c>
      <c r="K48" s="11">
        <f t="shared" si="2"/>
        <v>236</v>
      </c>
      <c r="L48" s="10">
        <v>12</v>
      </c>
      <c r="M48" s="10"/>
      <c r="N48" s="10">
        <f t="shared" si="8"/>
        <v>12</v>
      </c>
      <c r="O48" s="10"/>
      <c r="P48" s="10">
        <f t="shared" si="4"/>
        <v>12</v>
      </c>
      <c r="Q48" s="10"/>
      <c r="R48" s="10">
        <f t="shared" si="5"/>
        <v>12</v>
      </c>
      <c r="S48" s="10" t="s">
        <v>19</v>
      </c>
      <c r="T48" s="12"/>
      <c r="U48" s="17" t="s">
        <v>17</v>
      </c>
      <c r="V48" s="14"/>
      <c r="W48" s="14"/>
      <c r="X48" s="14"/>
    </row>
    <row r="49" spans="1:24" ht="15.75" customHeight="1">
      <c r="A49" s="149">
        <f t="shared" si="6"/>
        <v>48</v>
      </c>
      <c r="B49" s="21"/>
      <c r="C49" s="21"/>
      <c r="D49" s="22"/>
      <c r="E49" s="23">
        <v>45121</v>
      </c>
      <c r="F49" s="24">
        <v>10</v>
      </c>
      <c r="G49" s="24">
        <v>20</v>
      </c>
      <c r="H49" s="24">
        <f t="shared" si="0"/>
        <v>30</v>
      </c>
      <c r="I49" s="22">
        <v>45409</v>
      </c>
      <c r="J49" s="21">
        <f t="shared" si="7"/>
        <v>4</v>
      </c>
      <c r="K49" s="25">
        <f t="shared" si="2"/>
        <v>288</v>
      </c>
      <c r="L49" s="24">
        <v>26</v>
      </c>
      <c r="M49" s="24">
        <v>10</v>
      </c>
      <c r="N49" s="24">
        <f t="shared" si="8"/>
        <v>36</v>
      </c>
      <c r="O49" s="24">
        <v>4.1100000000000003</v>
      </c>
      <c r="P49" s="24">
        <f t="shared" si="4"/>
        <v>31.89</v>
      </c>
      <c r="Q49" s="24">
        <v>9.1999999999999993</v>
      </c>
      <c r="R49" s="24">
        <f t="shared" si="5"/>
        <v>-7.3099999999999987</v>
      </c>
      <c r="S49" s="24" t="s">
        <v>16</v>
      </c>
      <c r="T49" s="12"/>
      <c r="U49" s="17" t="s">
        <v>18</v>
      </c>
      <c r="V49" s="14"/>
      <c r="W49" s="14"/>
      <c r="X49" s="14"/>
    </row>
    <row r="50" spans="1:24" ht="15.75" customHeight="1">
      <c r="A50" s="149">
        <f t="shared" si="6"/>
        <v>49</v>
      </c>
      <c r="B50" s="7"/>
      <c r="C50" s="7"/>
      <c r="D50" s="8"/>
      <c r="E50" s="9">
        <v>45249</v>
      </c>
      <c r="F50" s="10">
        <v>7.5</v>
      </c>
      <c r="G50" s="10"/>
      <c r="H50" s="10">
        <f t="shared" si="0"/>
        <v>7.5</v>
      </c>
      <c r="I50" s="8">
        <v>45409</v>
      </c>
      <c r="J50" s="7">
        <f t="shared" si="7"/>
        <v>4</v>
      </c>
      <c r="K50" s="11">
        <f t="shared" si="2"/>
        <v>160</v>
      </c>
      <c r="L50" s="10">
        <v>30</v>
      </c>
      <c r="M50" s="10">
        <v>10</v>
      </c>
      <c r="N50" s="10">
        <f t="shared" si="8"/>
        <v>40</v>
      </c>
      <c r="O50" s="10">
        <v>4.5199999999999996</v>
      </c>
      <c r="P50" s="10">
        <f t="shared" si="4"/>
        <v>35.480000000000004</v>
      </c>
      <c r="Q50" s="10">
        <v>8.99</v>
      </c>
      <c r="R50" s="10">
        <f t="shared" si="5"/>
        <v>18.990000000000002</v>
      </c>
      <c r="S50" s="10" t="s">
        <v>16</v>
      </c>
      <c r="T50" s="12"/>
      <c r="U50" s="13" t="s">
        <v>17</v>
      </c>
      <c r="V50" s="14"/>
      <c r="W50" s="14"/>
      <c r="X50" s="14"/>
    </row>
    <row r="51" spans="1:24" ht="15.75" customHeight="1">
      <c r="A51" s="149">
        <f t="shared" si="6"/>
        <v>50</v>
      </c>
      <c r="B51" s="7"/>
      <c r="C51" s="7"/>
      <c r="D51" s="8"/>
      <c r="E51" s="9">
        <v>45352</v>
      </c>
      <c r="F51" s="10">
        <v>0</v>
      </c>
      <c r="G51" s="10"/>
      <c r="H51" s="10">
        <f t="shared" si="0"/>
        <v>0</v>
      </c>
      <c r="I51" s="8">
        <v>45410</v>
      </c>
      <c r="J51" s="7">
        <f t="shared" si="7"/>
        <v>4</v>
      </c>
      <c r="K51" s="11">
        <f t="shared" si="2"/>
        <v>58</v>
      </c>
      <c r="L51" s="10">
        <v>25</v>
      </c>
      <c r="M51" s="10"/>
      <c r="N51" s="10">
        <f t="shared" si="8"/>
        <v>25</v>
      </c>
      <c r="O51" s="10"/>
      <c r="P51" s="10">
        <f t="shared" si="4"/>
        <v>25</v>
      </c>
      <c r="Q51" s="10"/>
      <c r="R51" s="10">
        <f t="shared" si="5"/>
        <v>25</v>
      </c>
      <c r="S51" s="10" t="s">
        <v>19</v>
      </c>
      <c r="T51" s="12"/>
      <c r="U51" s="13" t="s">
        <v>17</v>
      </c>
      <c r="V51" s="14"/>
      <c r="W51" s="14"/>
      <c r="X51" s="14"/>
    </row>
    <row r="52" spans="1:24" ht="15.75" customHeight="1">
      <c r="A52" s="149">
        <f t="shared" si="6"/>
        <v>51</v>
      </c>
      <c r="B52" s="7"/>
      <c r="C52" s="7"/>
      <c r="D52" s="8"/>
      <c r="E52" s="9">
        <v>45403</v>
      </c>
      <c r="F52" s="10">
        <v>20</v>
      </c>
      <c r="G52" s="10"/>
      <c r="H52" s="10">
        <f t="shared" si="0"/>
        <v>20</v>
      </c>
      <c r="I52" s="8">
        <v>45410</v>
      </c>
      <c r="J52" s="7">
        <f t="shared" si="7"/>
        <v>4</v>
      </c>
      <c r="K52" s="11">
        <f t="shared" si="2"/>
        <v>7</v>
      </c>
      <c r="L52" s="10">
        <v>60</v>
      </c>
      <c r="M52" s="10">
        <v>10</v>
      </c>
      <c r="N52" s="10">
        <f t="shared" si="8"/>
        <v>70</v>
      </c>
      <c r="O52" s="10">
        <v>7.65</v>
      </c>
      <c r="P52" s="10">
        <f t="shared" si="4"/>
        <v>62.35</v>
      </c>
      <c r="Q52" s="10">
        <v>8.99</v>
      </c>
      <c r="R52" s="10">
        <f t="shared" si="5"/>
        <v>33.36</v>
      </c>
      <c r="S52" s="10" t="s">
        <v>16</v>
      </c>
      <c r="T52" s="12"/>
      <c r="U52" s="13" t="s">
        <v>17</v>
      </c>
      <c r="V52" s="14"/>
      <c r="W52" s="14"/>
      <c r="X52" s="14"/>
    </row>
    <row r="53" spans="1:24" ht="15.75" customHeight="1">
      <c r="A53" s="149">
        <f t="shared" si="6"/>
        <v>52</v>
      </c>
      <c r="B53" s="7"/>
      <c r="C53" s="7"/>
      <c r="D53" s="8"/>
      <c r="E53" s="9">
        <v>45214</v>
      </c>
      <c r="F53" s="10">
        <v>15</v>
      </c>
      <c r="G53" s="10"/>
      <c r="H53" s="10">
        <f t="shared" si="0"/>
        <v>15</v>
      </c>
      <c r="I53" s="8">
        <v>45412</v>
      </c>
      <c r="J53" s="7">
        <f t="shared" si="7"/>
        <v>4</v>
      </c>
      <c r="K53" s="11">
        <f t="shared" si="2"/>
        <v>198</v>
      </c>
      <c r="L53" s="10">
        <v>50</v>
      </c>
      <c r="M53" s="10">
        <v>15</v>
      </c>
      <c r="N53" s="10">
        <f t="shared" si="8"/>
        <v>65</v>
      </c>
      <c r="O53" s="10">
        <v>7.35</v>
      </c>
      <c r="P53" s="10">
        <f t="shared" si="4"/>
        <v>57.65</v>
      </c>
      <c r="Q53" s="10">
        <v>10</v>
      </c>
      <c r="R53" s="10">
        <f t="shared" si="5"/>
        <v>32.65</v>
      </c>
      <c r="S53" s="10" t="s">
        <v>16</v>
      </c>
      <c r="T53" s="12"/>
      <c r="U53" s="13" t="s">
        <v>17</v>
      </c>
      <c r="V53" s="14"/>
      <c r="W53" s="14"/>
      <c r="X53" s="14"/>
    </row>
    <row r="54" spans="1:24" ht="15.75" customHeight="1">
      <c r="A54" s="149">
        <f t="shared" si="6"/>
        <v>53</v>
      </c>
      <c r="B54" s="7"/>
      <c r="C54" s="7"/>
      <c r="D54" s="8"/>
      <c r="E54" s="9">
        <v>45403</v>
      </c>
      <c r="F54" s="10">
        <v>10</v>
      </c>
      <c r="G54" s="10"/>
      <c r="H54" s="10">
        <f t="shared" si="0"/>
        <v>10</v>
      </c>
      <c r="I54" s="8">
        <v>45411</v>
      </c>
      <c r="J54" s="7">
        <f t="shared" si="7"/>
        <v>4</v>
      </c>
      <c r="K54" s="11">
        <f t="shared" si="2"/>
        <v>8</v>
      </c>
      <c r="L54" s="10">
        <v>50</v>
      </c>
      <c r="M54" s="10"/>
      <c r="N54" s="10">
        <f t="shared" si="8"/>
        <v>50</v>
      </c>
      <c r="O54" s="10"/>
      <c r="P54" s="10">
        <f t="shared" si="4"/>
        <v>50</v>
      </c>
      <c r="Q54" s="10"/>
      <c r="R54" s="10">
        <f t="shared" si="5"/>
        <v>40</v>
      </c>
      <c r="S54" s="10" t="s">
        <v>19</v>
      </c>
      <c r="T54" s="12"/>
      <c r="U54" s="13" t="s">
        <v>17</v>
      </c>
      <c r="V54" s="14"/>
      <c r="W54" s="14"/>
      <c r="X54" s="14"/>
    </row>
    <row r="55" spans="1:24" ht="15.75" customHeight="1">
      <c r="A55" s="149">
        <f t="shared" si="6"/>
        <v>54</v>
      </c>
      <c r="B55" s="7"/>
      <c r="C55" s="7"/>
      <c r="D55" s="8"/>
      <c r="E55" s="9">
        <v>45333</v>
      </c>
      <c r="F55" s="10">
        <v>18</v>
      </c>
      <c r="G55" s="10"/>
      <c r="H55" s="10">
        <f t="shared" si="0"/>
        <v>18</v>
      </c>
      <c r="I55" s="8">
        <v>45383</v>
      </c>
      <c r="J55" s="7">
        <f t="shared" si="7"/>
        <v>4</v>
      </c>
      <c r="K55" s="11">
        <f t="shared" si="2"/>
        <v>50</v>
      </c>
      <c r="L55" s="10">
        <v>80</v>
      </c>
      <c r="M55" s="10"/>
      <c r="N55" s="10">
        <f t="shared" si="8"/>
        <v>80</v>
      </c>
      <c r="O55" s="10"/>
      <c r="P55" s="10">
        <f t="shared" si="4"/>
        <v>80</v>
      </c>
      <c r="Q55" s="10"/>
      <c r="R55" s="10">
        <f t="shared" si="5"/>
        <v>62</v>
      </c>
      <c r="S55" s="10" t="s">
        <v>19</v>
      </c>
      <c r="T55" s="12"/>
      <c r="U55" s="13" t="s">
        <v>17</v>
      </c>
      <c r="V55" s="14"/>
      <c r="W55" s="12"/>
      <c r="X55" s="14"/>
    </row>
    <row r="56" spans="1:24" ht="15.75" customHeight="1">
      <c r="A56" s="149">
        <f t="shared" si="6"/>
        <v>55</v>
      </c>
      <c r="B56" s="7"/>
      <c r="C56" s="7"/>
      <c r="D56" s="8"/>
      <c r="E56" s="9">
        <v>45333</v>
      </c>
      <c r="F56" s="10">
        <v>0</v>
      </c>
      <c r="G56" s="10"/>
      <c r="H56" s="10">
        <f t="shared" si="0"/>
        <v>0</v>
      </c>
      <c r="I56" s="8">
        <v>45413</v>
      </c>
      <c r="J56" s="7">
        <f t="shared" si="7"/>
        <v>5</v>
      </c>
      <c r="K56" s="11">
        <f t="shared" si="2"/>
        <v>80</v>
      </c>
      <c r="L56" s="10">
        <v>60</v>
      </c>
      <c r="M56" s="10"/>
      <c r="N56" s="10">
        <f t="shared" si="8"/>
        <v>60</v>
      </c>
      <c r="O56" s="10"/>
      <c r="P56" s="10">
        <f t="shared" si="4"/>
        <v>60</v>
      </c>
      <c r="Q56" s="10"/>
      <c r="R56" s="10">
        <f t="shared" si="5"/>
        <v>60</v>
      </c>
      <c r="S56" s="10" t="s">
        <v>19</v>
      </c>
      <c r="T56" s="12"/>
      <c r="U56" s="13" t="s">
        <v>17</v>
      </c>
      <c r="V56" s="14"/>
      <c r="W56" s="14"/>
      <c r="X56" s="14"/>
    </row>
    <row r="57" spans="1:24" ht="15.75" customHeight="1">
      <c r="A57" s="149">
        <f t="shared" si="6"/>
        <v>56</v>
      </c>
      <c r="B57" s="7"/>
      <c r="C57" s="7"/>
      <c r="D57" s="8"/>
      <c r="E57" s="9">
        <v>45403</v>
      </c>
      <c r="F57" s="10">
        <v>15</v>
      </c>
      <c r="G57" s="10"/>
      <c r="H57" s="10">
        <f t="shared" si="0"/>
        <v>15</v>
      </c>
      <c r="I57" s="8">
        <v>45414</v>
      </c>
      <c r="J57" s="7">
        <f t="shared" si="7"/>
        <v>5</v>
      </c>
      <c r="K57" s="11">
        <f t="shared" si="2"/>
        <v>11</v>
      </c>
      <c r="L57" s="10">
        <v>150</v>
      </c>
      <c r="M57" s="10"/>
      <c r="N57" s="10">
        <f t="shared" si="8"/>
        <v>150</v>
      </c>
      <c r="O57" s="10"/>
      <c r="P57" s="10">
        <f t="shared" si="4"/>
        <v>150</v>
      </c>
      <c r="Q57" s="10"/>
      <c r="R57" s="10">
        <f t="shared" si="5"/>
        <v>135</v>
      </c>
      <c r="S57" s="10" t="s">
        <v>19</v>
      </c>
      <c r="T57" s="12"/>
      <c r="U57" s="13" t="s">
        <v>17</v>
      </c>
      <c r="V57" s="14"/>
      <c r="W57" s="14"/>
      <c r="X57" s="14"/>
    </row>
    <row r="58" spans="1:24" ht="15.75" customHeight="1">
      <c r="A58" s="149">
        <f t="shared" si="6"/>
        <v>57</v>
      </c>
      <c r="B58" s="7"/>
      <c r="C58" s="7"/>
      <c r="D58" s="8"/>
      <c r="E58" s="9">
        <v>45403</v>
      </c>
      <c r="F58" s="10">
        <v>20</v>
      </c>
      <c r="G58" s="10"/>
      <c r="H58" s="10">
        <f t="shared" si="0"/>
        <v>20</v>
      </c>
      <c r="I58" s="8">
        <v>45415</v>
      </c>
      <c r="J58" s="7">
        <f t="shared" si="7"/>
        <v>5</v>
      </c>
      <c r="K58" s="11">
        <f t="shared" si="2"/>
        <v>12</v>
      </c>
      <c r="L58" s="10">
        <v>47.5</v>
      </c>
      <c r="M58" s="10">
        <v>10</v>
      </c>
      <c r="N58" s="10">
        <f t="shared" si="8"/>
        <v>57.5</v>
      </c>
      <c r="O58" s="10">
        <v>6.34</v>
      </c>
      <c r="P58" s="10">
        <f t="shared" si="4"/>
        <v>51.16</v>
      </c>
      <c r="Q58" s="10">
        <v>10</v>
      </c>
      <c r="R58" s="10">
        <f t="shared" si="5"/>
        <v>21.159999999999997</v>
      </c>
      <c r="S58" s="10" t="s">
        <v>16</v>
      </c>
      <c r="T58" s="12"/>
      <c r="U58" s="13" t="s">
        <v>20</v>
      </c>
      <c r="V58" s="14"/>
      <c r="W58" s="14"/>
      <c r="X58" s="14"/>
    </row>
    <row r="59" spans="1:24" ht="15.75" customHeight="1">
      <c r="A59" s="149">
        <f t="shared" si="6"/>
        <v>58</v>
      </c>
      <c r="B59" s="7"/>
      <c r="C59" s="7"/>
      <c r="D59" s="8"/>
      <c r="E59" s="9">
        <v>45410</v>
      </c>
      <c r="F59" s="10">
        <v>0</v>
      </c>
      <c r="G59" s="10"/>
      <c r="H59" s="10">
        <f t="shared" si="0"/>
        <v>0</v>
      </c>
      <c r="I59" s="8">
        <v>45417</v>
      </c>
      <c r="J59" s="7">
        <f t="shared" si="7"/>
        <v>5</v>
      </c>
      <c r="K59" s="11">
        <f t="shared" si="2"/>
        <v>7</v>
      </c>
      <c r="L59" s="10">
        <v>40</v>
      </c>
      <c r="M59" s="10">
        <v>20</v>
      </c>
      <c r="N59" s="10">
        <f t="shared" si="8"/>
        <v>60</v>
      </c>
      <c r="O59" s="10">
        <v>6.6</v>
      </c>
      <c r="P59" s="10">
        <f t="shared" si="4"/>
        <v>53.4</v>
      </c>
      <c r="Q59" s="10">
        <v>15.2</v>
      </c>
      <c r="R59" s="10">
        <f t="shared" si="5"/>
        <v>38.200000000000003</v>
      </c>
      <c r="S59" s="10" t="s">
        <v>16</v>
      </c>
      <c r="T59" s="12"/>
      <c r="U59" s="13" t="s">
        <v>20</v>
      </c>
      <c r="V59" s="14"/>
      <c r="W59" s="14"/>
      <c r="X59" s="14"/>
    </row>
    <row r="60" spans="1:24" ht="15.75" customHeight="1">
      <c r="A60" s="149">
        <f t="shared" si="6"/>
        <v>59</v>
      </c>
      <c r="B60" s="7"/>
      <c r="C60" s="7"/>
      <c r="D60" s="8"/>
      <c r="E60" s="9">
        <v>45333</v>
      </c>
      <c r="F60" s="10">
        <v>18</v>
      </c>
      <c r="G60" s="10"/>
      <c r="H60" s="10">
        <f t="shared" si="0"/>
        <v>18</v>
      </c>
      <c r="I60" s="8">
        <v>45413</v>
      </c>
      <c r="J60" s="7">
        <f t="shared" si="7"/>
        <v>5</v>
      </c>
      <c r="K60" s="11">
        <f t="shared" si="2"/>
        <v>80</v>
      </c>
      <c r="L60" s="10">
        <v>80</v>
      </c>
      <c r="M60" s="10">
        <v>10</v>
      </c>
      <c r="N60" s="10">
        <f t="shared" si="8"/>
        <v>90</v>
      </c>
      <c r="O60" s="10">
        <v>9.73</v>
      </c>
      <c r="P60" s="10">
        <f t="shared" si="4"/>
        <v>80.27</v>
      </c>
      <c r="Q60" s="10">
        <v>8.99</v>
      </c>
      <c r="R60" s="10">
        <f t="shared" si="5"/>
        <v>53.279999999999994</v>
      </c>
      <c r="S60" s="10" t="s">
        <v>16</v>
      </c>
      <c r="T60" s="12"/>
      <c r="U60" s="13" t="s">
        <v>17</v>
      </c>
      <c r="V60" s="14"/>
      <c r="W60" s="12"/>
      <c r="X60" s="14"/>
    </row>
    <row r="61" spans="1:24" ht="15.75" customHeight="1">
      <c r="A61" s="149">
        <f t="shared" si="6"/>
        <v>60</v>
      </c>
      <c r="B61" s="7"/>
      <c r="C61" s="7"/>
      <c r="D61" s="8"/>
      <c r="E61" s="9">
        <v>45158</v>
      </c>
      <c r="F61" s="10">
        <v>35</v>
      </c>
      <c r="G61" s="10"/>
      <c r="H61" s="10">
        <f t="shared" si="0"/>
        <v>35</v>
      </c>
      <c r="I61" s="8">
        <v>45418</v>
      </c>
      <c r="J61" s="7">
        <f t="shared" si="7"/>
        <v>5</v>
      </c>
      <c r="K61" s="11">
        <f t="shared" si="2"/>
        <v>260</v>
      </c>
      <c r="L61" s="10">
        <v>30</v>
      </c>
      <c r="M61" s="10">
        <v>10</v>
      </c>
      <c r="N61" s="10">
        <f t="shared" si="8"/>
        <v>40</v>
      </c>
      <c r="O61" s="10">
        <v>4.5199999999999996</v>
      </c>
      <c r="P61" s="10">
        <f t="shared" si="4"/>
        <v>35.480000000000004</v>
      </c>
      <c r="Q61" s="10">
        <v>9.5</v>
      </c>
      <c r="R61" s="10">
        <f t="shared" si="5"/>
        <v>-9.019999999999996</v>
      </c>
      <c r="S61" s="10" t="s">
        <v>16</v>
      </c>
      <c r="T61" s="12"/>
      <c r="U61" s="13" t="s">
        <v>17</v>
      </c>
      <c r="V61" s="14"/>
      <c r="W61" s="14"/>
      <c r="X61" s="14"/>
    </row>
    <row r="62" spans="1:24" ht="15.75" customHeight="1">
      <c r="A62" s="149">
        <f t="shared" si="6"/>
        <v>61</v>
      </c>
      <c r="B62" s="7"/>
      <c r="C62" s="7"/>
      <c r="D62" s="8"/>
      <c r="E62" s="9">
        <v>45207</v>
      </c>
      <c r="F62" s="10">
        <v>50</v>
      </c>
      <c r="G62" s="10"/>
      <c r="H62" s="10">
        <f t="shared" si="0"/>
        <v>50</v>
      </c>
      <c r="I62" s="8">
        <v>45420</v>
      </c>
      <c r="J62" s="7">
        <f t="shared" si="7"/>
        <v>5</v>
      </c>
      <c r="K62" s="11">
        <f t="shared" si="2"/>
        <v>213</v>
      </c>
      <c r="L62" s="10">
        <v>90</v>
      </c>
      <c r="M62" s="10">
        <v>30</v>
      </c>
      <c r="N62" s="10">
        <f t="shared" si="8"/>
        <v>120</v>
      </c>
      <c r="O62" s="10">
        <v>15.15</v>
      </c>
      <c r="P62" s="10">
        <f t="shared" si="4"/>
        <v>104.85</v>
      </c>
      <c r="Q62" s="10">
        <v>15</v>
      </c>
      <c r="R62" s="10">
        <f t="shared" si="5"/>
        <v>39.849999999999994</v>
      </c>
      <c r="S62" s="10" t="s">
        <v>16</v>
      </c>
      <c r="T62" s="12"/>
      <c r="U62" s="13" t="s">
        <v>25</v>
      </c>
      <c r="V62" s="14"/>
      <c r="W62" s="14"/>
      <c r="X62" s="14"/>
    </row>
    <row r="63" spans="1:24" ht="15.75" customHeight="1">
      <c r="A63" s="149">
        <f t="shared" si="6"/>
        <v>62</v>
      </c>
      <c r="B63" s="7"/>
      <c r="C63" s="7"/>
      <c r="D63" s="8"/>
      <c r="E63" s="9">
        <v>45414</v>
      </c>
      <c r="F63" s="10">
        <v>7.5</v>
      </c>
      <c r="G63" s="10"/>
      <c r="H63" s="10">
        <f t="shared" si="0"/>
        <v>7.5</v>
      </c>
      <c r="I63" s="8">
        <v>45419</v>
      </c>
      <c r="J63" s="7">
        <f t="shared" si="7"/>
        <v>5</v>
      </c>
      <c r="K63" s="11">
        <f t="shared" si="2"/>
        <v>5</v>
      </c>
      <c r="L63" s="10">
        <v>40</v>
      </c>
      <c r="M63" s="10">
        <v>10</v>
      </c>
      <c r="N63" s="10">
        <f t="shared" si="8"/>
        <v>50</v>
      </c>
      <c r="O63" s="10">
        <v>5.57</v>
      </c>
      <c r="P63" s="10">
        <f t="shared" si="4"/>
        <v>44.43</v>
      </c>
      <c r="Q63" s="10">
        <v>10</v>
      </c>
      <c r="R63" s="10">
        <f t="shared" si="5"/>
        <v>26.93</v>
      </c>
      <c r="S63" s="10" t="s">
        <v>16</v>
      </c>
      <c r="T63" s="12"/>
      <c r="U63" s="13" t="s">
        <v>18</v>
      </c>
      <c r="V63" s="14"/>
      <c r="W63" s="14"/>
      <c r="X63" s="14"/>
    </row>
    <row r="64" spans="1:24" ht="15.75" customHeight="1">
      <c r="A64" s="149">
        <f t="shared" si="6"/>
        <v>63</v>
      </c>
      <c r="B64" s="7"/>
      <c r="C64" s="7"/>
      <c r="D64" s="8"/>
      <c r="E64" s="9">
        <v>45417</v>
      </c>
      <c r="F64" s="10">
        <v>10</v>
      </c>
      <c r="G64" s="10"/>
      <c r="H64" s="10">
        <f t="shared" si="0"/>
        <v>10</v>
      </c>
      <c r="I64" s="8">
        <v>45419</v>
      </c>
      <c r="J64" s="7">
        <f t="shared" si="7"/>
        <v>5</v>
      </c>
      <c r="K64" s="11">
        <f t="shared" si="2"/>
        <v>2</v>
      </c>
      <c r="L64" s="10">
        <v>60</v>
      </c>
      <c r="M64" s="10">
        <v>20</v>
      </c>
      <c r="N64" s="10">
        <f t="shared" si="8"/>
        <v>80</v>
      </c>
      <c r="O64" s="10">
        <v>8.69</v>
      </c>
      <c r="P64" s="10">
        <f t="shared" si="4"/>
        <v>71.31</v>
      </c>
      <c r="Q64" s="10">
        <v>5</v>
      </c>
      <c r="R64" s="10">
        <f t="shared" si="5"/>
        <v>56.31</v>
      </c>
      <c r="S64" s="10" t="s">
        <v>16</v>
      </c>
      <c r="T64" s="12"/>
      <c r="U64" s="13" t="s">
        <v>17</v>
      </c>
      <c r="V64" s="14"/>
      <c r="W64" s="14"/>
      <c r="X64" s="14"/>
    </row>
    <row r="65" spans="1:27" ht="15.75" customHeight="1">
      <c r="A65" s="149">
        <f t="shared" si="6"/>
        <v>64</v>
      </c>
      <c r="B65" s="7"/>
      <c r="C65" s="7"/>
      <c r="D65" s="8"/>
      <c r="E65" s="9">
        <v>45385</v>
      </c>
      <c r="F65" s="10">
        <v>20</v>
      </c>
      <c r="G65" s="10"/>
      <c r="H65" s="10">
        <f t="shared" si="0"/>
        <v>20</v>
      </c>
      <c r="I65" s="8">
        <v>45424</v>
      </c>
      <c r="J65" s="7">
        <f t="shared" si="7"/>
        <v>5</v>
      </c>
      <c r="K65" s="11">
        <f t="shared" si="2"/>
        <v>39</v>
      </c>
      <c r="L65" s="10">
        <v>65</v>
      </c>
      <c r="M65" s="10">
        <v>10</v>
      </c>
      <c r="N65" s="10">
        <f t="shared" si="8"/>
        <v>75</v>
      </c>
      <c r="O65" s="10">
        <v>8.16</v>
      </c>
      <c r="P65" s="10">
        <f t="shared" si="4"/>
        <v>66.84</v>
      </c>
      <c r="Q65" s="10">
        <v>9.49</v>
      </c>
      <c r="R65" s="10">
        <f t="shared" si="5"/>
        <v>37.35</v>
      </c>
      <c r="S65" s="10" t="s">
        <v>16</v>
      </c>
      <c r="T65" s="12"/>
      <c r="U65" s="13" t="s">
        <v>17</v>
      </c>
      <c r="V65" s="14"/>
      <c r="W65" s="14"/>
      <c r="X65" s="14"/>
    </row>
    <row r="66" spans="1:27" ht="15" customHeight="1">
      <c r="A66" s="149">
        <f t="shared" si="6"/>
        <v>65</v>
      </c>
      <c r="B66" s="7"/>
      <c r="C66" s="7"/>
      <c r="D66" s="8"/>
      <c r="E66" s="9">
        <v>45333</v>
      </c>
      <c r="F66" s="10">
        <v>18</v>
      </c>
      <c r="G66" s="10"/>
      <c r="H66" s="10">
        <f t="shared" si="0"/>
        <v>18</v>
      </c>
      <c r="I66" s="8">
        <v>45427</v>
      </c>
      <c r="J66" s="7">
        <f t="shared" si="7"/>
        <v>5</v>
      </c>
      <c r="K66" s="11">
        <f t="shared" si="2"/>
        <v>94</v>
      </c>
      <c r="L66" s="10">
        <v>30</v>
      </c>
      <c r="M66" s="10">
        <v>10</v>
      </c>
      <c r="N66" s="10">
        <f t="shared" ref="N66:N97" si="9">IF($I66&lt;&gt;"",SUM(L66:M66),"")</f>
        <v>40</v>
      </c>
      <c r="O66" s="10">
        <v>4.5199999999999996</v>
      </c>
      <c r="P66" s="10">
        <f t="shared" si="4"/>
        <v>35.480000000000004</v>
      </c>
      <c r="Q66" s="10">
        <v>9.49</v>
      </c>
      <c r="R66" s="10">
        <f t="shared" si="5"/>
        <v>7.9900000000000038</v>
      </c>
      <c r="S66" s="10" t="s">
        <v>16</v>
      </c>
      <c r="T66" s="12"/>
      <c r="U66" s="13" t="s">
        <v>17</v>
      </c>
      <c r="V66" s="14"/>
      <c r="W66" s="12"/>
      <c r="X66" s="14"/>
      <c r="Y66" s="6"/>
      <c r="Z66" s="6"/>
      <c r="AA66" s="6"/>
    </row>
    <row r="67" spans="1:27" ht="15.75" customHeight="1">
      <c r="A67" s="149">
        <f t="shared" si="6"/>
        <v>66</v>
      </c>
      <c r="B67" s="7"/>
      <c r="C67" s="7"/>
      <c r="D67" s="8"/>
      <c r="E67" s="9">
        <v>45431</v>
      </c>
      <c r="F67" s="10">
        <v>8</v>
      </c>
      <c r="G67" s="10"/>
      <c r="H67" s="10">
        <f t="shared" si="0"/>
        <v>8</v>
      </c>
      <c r="I67" s="8">
        <v>45433</v>
      </c>
      <c r="J67" s="7">
        <f t="shared" si="7"/>
        <v>5</v>
      </c>
      <c r="K67" s="11">
        <f t="shared" si="2"/>
        <v>2</v>
      </c>
      <c r="L67" s="10">
        <v>50</v>
      </c>
      <c r="M67" s="10">
        <v>10</v>
      </c>
      <c r="N67" s="10">
        <f t="shared" si="9"/>
        <v>60</v>
      </c>
      <c r="O67" s="10">
        <v>6.6</v>
      </c>
      <c r="P67" s="10">
        <f t="shared" si="4"/>
        <v>53.4</v>
      </c>
      <c r="Q67" s="10">
        <v>9.49</v>
      </c>
      <c r="R67" s="10">
        <f t="shared" si="5"/>
        <v>35.909999999999997</v>
      </c>
      <c r="S67" s="10" t="s">
        <v>16</v>
      </c>
      <c r="T67" s="12"/>
      <c r="U67" s="13" t="s">
        <v>17</v>
      </c>
      <c r="V67" s="14"/>
      <c r="W67" s="14"/>
      <c r="X67" s="14"/>
      <c r="Y67" s="6"/>
      <c r="Z67" s="6"/>
      <c r="AA67" s="6"/>
    </row>
    <row r="68" spans="1:27" ht="15.75" customHeight="1">
      <c r="A68" s="149">
        <f t="shared" si="6"/>
        <v>67</v>
      </c>
      <c r="B68" s="7"/>
      <c r="C68" s="7"/>
      <c r="D68" s="8"/>
      <c r="E68" s="9">
        <v>45403</v>
      </c>
      <c r="F68" s="10">
        <v>5</v>
      </c>
      <c r="G68" s="10"/>
      <c r="H68" s="10">
        <f t="shared" si="0"/>
        <v>5</v>
      </c>
      <c r="I68" s="8">
        <v>45434</v>
      </c>
      <c r="J68" s="7">
        <f t="shared" si="7"/>
        <v>5</v>
      </c>
      <c r="K68" s="11">
        <f t="shared" si="2"/>
        <v>31</v>
      </c>
      <c r="L68" s="10">
        <v>60</v>
      </c>
      <c r="M68" s="10"/>
      <c r="N68" s="10">
        <f t="shared" si="9"/>
        <v>60</v>
      </c>
      <c r="O68" s="10"/>
      <c r="P68" s="10">
        <f t="shared" si="4"/>
        <v>60</v>
      </c>
      <c r="Q68" s="10"/>
      <c r="R68" s="10">
        <f t="shared" si="5"/>
        <v>55</v>
      </c>
      <c r="S68" s="10" t="s">
        <v>19</v>
      </c>
      <c r="T68" s="12"/>
      <c r="U68" s="13" t="s">
        <v>17</v>
      </c>
      <c r="V68" s="14"/>
      <c r="W68" s="14"/>
      <c r="X68" s="14"/>
      <c r="Y68" s="6"/>
      <c r="Z68" s="6"/>
      <c r="AA68" s="6"/>
    </row>
    <row r="69" spans="1:27" ht="15.75" customHeight="1">
      <c r="A69" s="149">
        <f t="shared" si="6"/>
        <v>68</v>
      </c>
      <c r="B69" s="7"/>
      <c r="C69" s="7"/>
      <c r="D69" s="8"/>
      <c r="E69" s="9">
        <v>45333</v>
      </c>
      <c r="F69" s="10">
        <v>18</v>
      </c>
      <c r="G69" s="10"/>
      <c r="H69" s="10">
        <f t="shared" si="0"/>
        <v>18</v>
      </c>
      <c r="I69" s="8">
        <v>45433</v>
      </c>
      <c r="J69" s="7">
        <f t="shared" si="7"/>
        <v>5</v>
      </c>
      <c r="K69" s="11">
        <f t="shared" si="2"/>
        <v>100</v>
      </c>
      <c r="L69" s="10">
        <v>80</v>
      </c>
      <c r="M69" s="10">
        <v>30</v>
      </c>
      <c r="N69" s="10">
        <f t="shared" si="9"/>
        <v>110</v>
      </c>
      <c r="O69" s="10">
        <v>11.82</v>
      </c>
      <c r="P69" s="10">
        <f t="shared" si="4"/>
        <v>98.18</v>
      </c>
      <c r="Q69" s="10">
        <v>22.53</v>
      </c>
      <c r="R69" s="10">
        <f t="shared" si="5"/>
        <v>57.650000000000006</v>
      </c>
      <c r="S69" s="10" t="s">
        <v>16</v>
      </c>
      <c r="T69" s="12"/>
      <c r="U69" s="13" t="s">
        <v>26</v>
      </c>
      <c r="V69" s="14"/>
      <c r="W69" s="14"/>
      <c r="X69" s="14"/>
      <c r="Y69" s="6"/>
      <c r="Z69" s="6"/>
      <c r="AA69" s="6"/>
    </row>
    <row r="70" spans="1:27" ht="15.75" customHeight="1">
      <c r="A70" s="149">
        <f t="shared" si="6"/>
        <v>69</v>
      </c>
      <c r="B70" s="7"/>
      <c r="C70" s="7"/>
      <c r="D70" s="8"/>
      <c r="E70" s="9">
        <v>45422</v>
      </c>
      <c r="F70" s="10">
        <v>20</v>
      </c>
      <c r="G70" s="10"/>
      <c r="H70" s="10">
        <f t="shared" si="0"/>
        <v>20</v>
      </c>
      <c r="I70" s="8">
        <v>45433</v>
      </c>
      <c r="J70" s="7">
        <f t="shared" si="7"/>
        <v>5</v>
      </c>
      <c r="K70" s="11">
        <f t="shared" si="2"/>
        <v>11</v>
      </c>
      <c r="L70" s="10">
        <v>60</v>
      </c>
      <c r="M70" s="10">
        <v>10</v>
      </c>
      <c r="N70" s="10">
        <f t="shared" si="9"/>
        <v>70</v>
      </c>
      <c r="O70" s="10">
        <v>7.65</v>
      </c>
      <c r="P70" s="10">
        <f t="shared" si="4"/>
        <v>62.35</v>
      </c>
      <c r="Q70" s="10">
        <v>9.49</v>
      </c>
      <c r="R70" s="10">
        <f t="shared" si="5"/>
        <v>32.86</v>
      </c>
      <c r="S70" s="10" t="s">
        <v>16</v>
      </c>
      <c r="T70" s="12"/>
      <c r="U70" s="13" t="s">
        <v>17</v>
      </c>
      <c r="V70" s="14"/>
      <c r="W70" s="14"/>
      <c r="X70" s="14"/>
      <c r="Y70" s="6"/>
      <c r="Z70" s="6"/>
      <c r="AA70" s="6"/>
    </row>
    <row r="71" spans="1:27" ht="14.25" customHeight="1">
      <c r="A71" s="149">
        <f t="shared" si="6"/>
        <v>70</v>
      </c>
      <c r="B71" s="7"/>
      <c r="C71" s="7"/>
      <c r="D71" s="8"/>
      <c r="E71" s="9">
        <v>45333</v>
      </c>
      <c r="F71" s="10">
        <v>18</v>
      </c>
      <c r="G71" s="10"/>
      <c r="H71" s="10">
        <f t="shared" si="0"/>
        <v>18</v>
      </c>
      <c r="I71" s="8">
        <v>45436</v>
      </c>
      <c r="J71" s="7">
        <f t="shared" si="7"/>
        <v>5</v>
      </c>
      <c r="K71" s="11">
        <f t="shared" si="2"/>
        <v>103</v>
      </c>
      <c r="L71" s="10">
        <v>80</v>
      </c>
      <c r="M71" s="10">
        <v>25</v>
      </c>
      <c r="N71" s="10">
        <f t="shared" si="9"/>
        <v>105</v>
      </c>
      <c r="O71" s="10">
        <v>11.25</v>
      </c>
      <c r="P71" s="10">
        <f t="shared" si="4"/>
        <v>93.75</v>
      </c>
      <c r="Q71" s="10">
        <v>4.99</v>
      </c>
      <c r="R71" s="10">
        <f t="shared" si="5"/>
        <v>70.760000000000005</v>
      </c>
      <c r="S71" s="10" t="s">
        <v>16</v>
      </c>
      <c r="T71" s="12"/>
      <c r="U71" s="13" t="s">
        <v>17</v>
      </c>
      <c r="V71" s="14"/>
      <c r="W71" s="12"/>
      <c r="X71" s="14"/>
      <c r="Y71" s="6"/>
      <c r="Z71" s="6"/>
      <c r="AA71" s="6"/>
    </row>
    <row r="72" spans="1:27" ht="15.75" customHeight="1">
      <c r="A72" s="149">
        <f t="shared" si="6"/>
        <v>71</v>
      </c>
      <c r="B72" s="7"/>
      <c r="C72" s="7"/>
      <c r="D72" s="8"/>
      <c r="E72" s="9">
        <v>45431</v>
      </c>
      <c r="F72" s="10">
        <v>15</v>
      </c>
      <c r="G72" s="10"/>
      <c r="H72" s="10">
        <f t="shared" si="0"/>
        <v>15</v>
      </c>
      <c r="I72" s="8">
        <v>45437</v>
      </c>
      <c r="J72" s="7">
        <f t="shared" si="7"/>
        <v>5</v>
      </c>
      <c r="K72" s="11">
        <f t="shared" si="2"/>
        <v>6</v>
      </c>
      <c r="L72" s="10">
        <v>80</v>
      </c>
      <c r="M72" s="10"/>
      <c r="N72" s="10">
        <f t="shared" si="9"/>
        <v>80</v>
      </c>
      <c r="O72" s="10"/>
      <c r="P72" s="10">
        <f t="shared" si="4"/>
        <v>80</v>
      </c>
      <c r="Q72" s="10"/>
      <c r="R72" s="10">
        <f t="shared" si="5"/>
        <v>65</v>
      </c>
      <c r="S72" s="10" t="s">
        <v>19</v>
      </c>
      <c r="T72" s="12"/>
      <c r="U72" s="13" t="s">
        <v>17</v>
      </c>
      <c r="V72" s="14"/>
      <c r="W72" s="14"/>
      <c r="X72" s="14"/>
      <c r="Y72" s="6"/>
      <c r="Z72" s="6"/>
      <c r="AA72" s="6"/>
    </row>
    <row r="73" spans="1:27" ht="15.75" customHeight="1">
      <c r="A73" s="149">
        <f t="shared" si="6"/>
        <v>72</v>
      </c>
      <c r="B73" s="7"/>
      <c r="C73" s="7"/>
      <c r="D73" s="8"/>
      <c r="E73" s="9">
        <v>45432</v>
      </c>
      <c r="F73" s="10">
        <v>0</v>
      </c>
      <c r="G73" s="10"/>
      <c r="H73" s="10">
        <f t="shared" si="0"/>
        <v>0</v>
      </c>
      <c r="I73" s="8">
        <v>45438</v>
      </c>
      <c r="J73" s="7">
        <f t="shared" si="7"/>
        <v>5</v>
      </c>
      <c r="K73" s="11">
        <f t="shared" si="2"/>
        <v>6</v>
      </c>
      <c r="L73" s="10">
        <v>40</v>
      </c>
      <c r="M73" s="10">
        <v>10</v>
      </c>
      <c r="N73" s="10">
        <f t="shared" si="9"/>
        <v>50</v>
      </c>
      <c r="O73" s="10">
        <v>5.59</v>
      </c>
      <c r="P73" s="10">
        <f t="shared" si="4"/>
        <v>44.41</v>
      </c>
      <c r="Q73" s="10">
        <v>9.49</v>
      </c>
      <c r="R73" s="10">
        <f t="shared" si="5"/>
        <v>34.919999999999995</v>
      </c>
      <c r="S73" s="10" t="s">
        <v>16</v>
      </c>
      <c r="T73" s="12"/>
      <c r="U73" s="13" t="s">
        <v>17</v>
      </c>
      <c r="V73" s="14"/>
      <c r="W73" s="14"/>
      <c r="X73" s="14"/>
    </row>
    <row r="74" spans="1:27" ht="15.75" customHeight="1">
      <c r="A74" s="149">
        <f t="shared" si="6"/>
        <v>73</v>
      </c>
      <c r="B74" s="7"/>
      <c r="C74" s="7"/>
      <c r="D74" s="8"/>
      <c r="E74" s="9">
        <v>45432</v>
      </c>
      <c r="F74" s="10">
        <v>5</v>
      </c>
      <c r="G74" s="10"/>
      <c r="H74" s="10">
        <f t="shared" si="0"/>
        <v>5</v>
      </c>
      <c r="I74" s="8">
        <v>45441</v>
      </c>
      <c r="J74" s="7">
        <f t="shared" si="7"/>
        <v>5</v>
      </c>
      <c r="K74" s="11">
        <f t="shared" si="2"/>
        <v>9</v>
      </c>
      <c r="L74" s="10">
        <v>50</v>
      </c>
      <c r="M74" s="10"/>
      <c r="N74" s="10">
        <f t="shared" si="9"/>
        <v>50</v>
      </c>
      <c r="O74" s="10"/>
      <c r="P74" s="10">
        <f t="shared" si="4"/>
        <v>50</v>
      </c>
      <c r="Q74" s="10"/>
      <c r="R74" s="10">
        <f t="shared" si="5"/>
        <v>45</v>
      </c>
      <c r="S74" s="10" t="s">
        <v>19</v>
      </c>
      <c r="T74" s="12"/>
      <c r="U74" s="14" t="s">
        <v>17</v>
      </c>
      <c r="V74" s="14"/>
      <c r="W74" s="14"/>
      <c r="X74" s="14"/>
    </row>
    <row r="75" spans="1:27" ht="15.75" customHeight="1">
      <c r="A75" s="149">
        <f t="shared" si="6"/>
        <v>74</v>
      </c>
      <c r="B75" s="7"/>
      <c r="C75" s="7"/>
      <c r="D75" s="8"/>
      <c r="E75" s="9">
        <v>45438</v>
      </c>
      <c r="F75" s="10">
        <v>10</v>
      </c>
      <c r="G75" s="10"/>
      <c r="H75" s="10">
        <f t="shared" si="0"/>
        <v>10</v>
      </c>
      <c r="I75" s="8">
        <v>45441</v>
      </c>
      <c r="J75" s="7">
        <f t="shared" si="7"/>
        <v>5</v>
      </c>
      <c r="K75" s="11">
        <f t="shared" si="2"/>
        <v>3</v>
      </c>
      <c r="L75" s="10">
        <v>35</v>
      </c>
      <c r="M75" s="10">
        <v>30</v>
      </c>
      <c r="N75" s="10">
        <f t="shared" si="9"/>
        <v>65</v>
      </c>
      <c r="O75" s="10">
        <v>7.13</v>
      </c>
      <c r="P75" s="10">
        <f t="shared" si="4"/>
        <v>57.87</v>
      </c>
      <c r="Q75" s="10">
        <v>14.25</v>
      </c>
      <c r="R75" s="10">
        <f t="shared" si="5"/>
        <v>33.619999999999997</v>
      </c>
      <c r="S75" s="10" t="s">
        <v>16</v>
      </c>
      <c r="T75" s="12"/>
      <c r="U75" s="13" t="s">
        <v>27</v>
      </c>
      <c r="V75" s="14"/>
      <c r="W75" s="14"/>
      <c r="X75" s="14"/>
    </row>
    <row r="76" spans="1:27" ht="15.75" customHeight="1">
      <c r="A76" s="149">
        <f t="shared" si="6"/>
        <v>75</v>
      </c>
      <c r="B76" s="7"/>
      <c r="C76" s="7"/>
      <c r="D76" s="8"/>
      <c r="E76" s="9">
        <v>45431</v>
      </c>
      <c r="F76" s="10">
        <v>15</v>
      </c>
      <c r="G76" s="10"/>
      <c r="H76" s="10">
        <f t="shared" si="0"/>
        <v>15</v>
      </c>
      <c r="I76" s="8">
        <v>45442</v>
      </c>
      <c r="J76" s="7">
        <f t="shared" si="7"/>
        <v>5</v>
      </c>
      <c r="K76" s="11">
        <f t="shared" si="2"/>
        <v>11</v>
      </c>
      <c r="L76" s="10">
        <v>60</v>
      </c>
      <c r="M76" s="10">
        <v>10</v>
      </c>
      <c r="N76" s="10">
        <f t="shared" si="9"/>
        <v>70</v>
      </c>
      <c r="O76" s="10">
        <v>7.65</v>
      </c>
      <c r="P76" s="10">
        <f t="shared" si="4"/>
        <v>62.35</v>
      </c>
      <c r="Q76" s="10">
        <v>9.49</v>
      </c>
      <c r="R76" s="10">
        <f t="shared" si="5"/>
        <v>37.86</v>
      </c>
      <c r="S76" s="10" t="s">
        <v>16</v>
      </c>
      <c r="T76" s="12"/>
      <c r="U76" s="13" t="s">
        <v>17</v>
      </c>
      <c r="V76" s="14"/>
      <c r="W76" s="14"/>
      <c r="X76" s="14"/>
    </row>
    <row r="77" spans="1:27" ht="15.75" customHeight="1">
      <c r="A77" s="149">
        <f t="shared" si="6"/>
        <v>76</v>
      </c>
      <c r="B77" s="7"/>
      <c r="C77" s="7"/>
      <c r="D77" s="8"/>
      <c r="E77" s="9">
        <v>45424</v>
      </c>
      <c r="F77" s="10">
        <v>5</v>
      </c>
      <c r="G77" s="10"/>
      <c r="H77" s="10">
        <f t="shared" si="0"/>
        <v>5</v>
      </c>
      <c r="I77" s="8">
        <v>45443</v>
      </c>
      <c r="J77" s="7">
        <f t="shared" si="7"/>
        <v>5</v>
      </c>
      <c r="K77" s="11">
        <f t="shared" si="2"/>
        <v>19</v>
      </c>
      <c r="L77" s="10">
        <v>20</v>
      </c>
      <c r="M77" s="10"/>
      <c r="N77" s="10">
        <f t="shared" si="9"/>
        <v>20</v>
      </c>
      <c r="O77" s="10"/>
      <c r="P77" s="10">
        <f t="shared" si="4"/>
        <v>20</v>
      </c>
      <c r="Q77" s="10"/>
      <c r="R77" s="10">
        <f t="shared" si="5"/>
        <v>15</v>
      </c>
      <c r="S77" s="10" t="s">
        <v>19</v>
      </c>
      <c r="T77" s="12"/>
      <c r="U77" s="13" t="s">
        <v>17</v>
      </c>
      <c r="V77" s="14"/>
      <c r="W77" s="12"/>
      <c r="X77" s="14"/>
    </row>
    <row r="78" spans="1:27" ht="15.75" customHeight="1">
      <c r="A78" s="149">
        <f t="shared" si="6"/>
        <v>77</v>
      </c>
      <c r="B78" s="7"/>
      <c r="C78" s="7"/>
      <c r="D78" s="8"/>
      <c r="E78" s="9">
        <v>45417</v>
      </c>
      <c r="F78" s="10">
        <v>30</v>
      </c>
      <c r="G78" s="10"/>
      <c r="H78" s="10">
        <f t="shared" si="0"/>
        <v>30</v>
      </c>
      <c r="I78" s="8">
        <v>45444</v>
      </c>
      <c r="J78" s="7">
        <f t="shared" si="7"/>
        <v>6</v>
      </c>
      <c r="K78" s="11">
        <f t="shared" si="2"/>
        <v>27</v>
      </c>
      <c r="L78" s="10">
        <v>160</v>
      </c>
      <c r="M78" s="10">
        <v>20</v>
      </c>
      <c r="N78" s="10">
        <f t="shared" si="9"/>
        <v>180</v>
      </c>
      <c r="O78" s="10">
        <v>19.11</v>
      </c>
      <c r="P78" s="10">
        <f t="shared" si="4"/>
        <v>160.88999999999999</v>
      </c>
      <c r="Q78" s="10">
        <v>14.25</v>
      </c>
      <c r="R78" s="10">
        <f t="shared" si="5"/>
        <v>116.63999999999999</v>
      </c>
      <c r="S78" s="10" t="s">
        <v>16</v>
      </c>
      <c r="T78" s="12"/>
      <c r="U78" s="13" t="s">
        <v>21</v>
      </c>
      <c r="V78" s="14"/>
      <c r="W78" s="12"/>
      <c r="X78" s="14"/>
    </row>
    <row r="79" spans="1:27" ht="15.75" customHeight="1">
      <c r="A79" s="149">
        <f t="shared" si="6"/>
        <v>78</v>
      </c>
      <c r="B79" s="7"/>
      <c r="C79" s="7"/>
      <c r="D79" s="8"/>
      <c r="E79" s="9">
        <v>45227</v>
      </c>
      <c r="F79" s="10">
        <v>20</v>
      </c>
      <c r="G79" s="10">
        <v>30</v>
      </c>
      <c r="H79" s="10">
        <f t="shared" si="0"/>
        <v>50</v>
      </c>
      <c r="I79" s="8">
        <v>45444</v>
      </c>
      <c r="J79" s="7">
        <f t="shared" si="7"/>
        <v>6</v>
      </c>
      <c r="K79" s="11">
        <f t="shared" si="2"/>
        <v>217</v>
      </c>
      <c r="L79" s="10">
        <v>80</v>
      </c>
      <c r="M79" s="10">
        <v>10</v>
      </c>
      <c r="N79" s="10">
        <f t="shared" si="9"/>
        <v>90</v>
      </c>
      <c r="O79" s="10">
        <v>9.73</v>
      </c>
      <c r="P79" s="10">
        <f t="shared" si="4"/>
        <v>80.27</v>
      </c>
      <c r="Q79" s="10">
        <v>9.49</v>
      </c>
      <c r="R79" s="10">
        <f t="shared" si="5"/>
        <v>20.779999999999994</v>
      </c>
      <c r="S79" s="10" t="s">
        <v>16</v>
      </c>
      <c r="T79" s="12"/>
      <c r="U79" s="13" t="s">
        <v>17</v>
      </c>
      <c r="V79" s="14"/>
      <c r="W79" s="12"/>
      <c r="X79" s="14"/>
    </row>
    <row r="80" spans="1:27" ht="15.75" customHeight="1">
      <c r="A80" s="149">
        <f t="shared" si="6"/>
        <v>79</v>
      </c>
      <c r="B80" s="7"/>
      <c r="C80" s="7"/>
      <c r="D80" s="8"/>
      <c r="E80" s="9">
        <v>45385</v>
      </c>
      <c r="F80" s="10">
        <v>10</v>
      </c>
      <c r="G80" s="10">
        <v>30</v>
      </c>
      <c r="H80" s="10">
        <f t="shared" si="0"/>
        <v>40</v>
      </c>
      <c r="I80" s="8">
        <v>45445</v>
      </c>
      <c r="J80" s="7">
        <f t="shared" si="7"/>
        <v>6</v>
      </c>
      <c r="K80" s="11">
        <f t="shared" si="2"/>
        <v>60</v>
      </c>
      <c r="L80" s="10">
        <v>80</v>
      </c>
      <c r="M80" s="10">
        <v>10</v>
      </c>
      <c r="N80" s="10">
        <f t="shared" si="9"/>
        <v>90</v>
      </c>
      <c r="O80" s="10">
        <v>9.73</v>
      </c>
      <c r="P80" s="10">
        <f t="shared" si="4"/>
        <v>80.27</v>
      </c>
      <c r="Q80" s="10">
        <v>9.49</v>
      </c>
      <c r="R80" s="10">
        <f t="shared" si="5"/>
        <v>30.779999999999994</v>
      </c>
      <c r="S80" s="10" t="s">
        <v>16</v>
      </c>
      <c r="T80" s="12"/>
      <c r="U80" s="13" t="s">
        <v>17</v>
      </c>
      <c r="V80" s="14"/>
      <c r="W80" s="12"/>
      <c r="X80" s="14"/>
    </row>
    <row r="81" spans="1:30" ht="15.75" customHeight="1">
      <c r="A81" s="149">
        <f t="shared" si="6"/>
        <v>80</v>
      </c>
      <c r="B81" s="7"/>
      <c r="C81" s="7"/>
      <c r="D81" s="8"/>
      <c r="E81" s="9">
        <v>45431</v>
      </c>
      <c r="F81" s="10">
        <v>3</v>
      </c>
      <c r="G81" s="10"/>
      <c r="H81" s="10">
        <f t="shared" si="0"/>
        <v>3</v>
      </c>
      <c r="I81" s="8">
        <v>45444</v>
      </c>
      <c r="J81" s="7">
        <f t="shared" si="7"/>
        <v>6</v>
      </c>
      <c r="K81" s="11">
        <f t="shared" si="2"/>
        <v>13</v>
      </c>
      <c r="L81" s="10">
        <v>25</v>
      </c>
      <c r="M81" s="10"/>
      <c r="N81" s="10">
        <f t="shared" si="9"/>
        <v>25</v>
      </c>
      <c r="O81" s="10"/>
      <c r="P81" s="10">
        <f t="shared" si="4"/>
        <v>25</v>
      </c>
      <c r="Q81" s="10"/>
      <c r="R81" s="10">
        <f t="shared" si="5"/>
        <v>22</v>
      </c>
      <c r="S81" s="10" t="s">
        <v>19</v>
      </c>
      <c r="T81" s="12"/>
      <c r="U81" s="13" t="s">
        <v>17</v>
      </c>
      <c r="V81" s="14"/>
      <c r="W81" s="12"/>
      <c r="X81" s="14"/>
    </row>
    <row r="82" spans="1:30" ht="15.75" customHeight="1">
      <c r="A82" s="149">
        <f t="shared" si="6"/>
        <v>81</v>
      </c>
      <c r="B82" s="7"/>
      <c r="C82" s="7"/>
      <c r="D82" s="8"/>
      <c r="E82" s="9">
        <v>45403</v>
      </c>
      <c r="F82" s="10">
        <v>5</v>
      </c>
      <c r="G82" s="10"/>
      <c r="H82" s="10">
        <f t="shared" si="0"/>
        <v>5</v>
      </c>
      <c r="I82" s="8">
        <v>45447</v>
      </c>
      <c r="J82" s="7">
        <f t="shared" si="7"/>
        <v>6</v>
      </c>
      <c r="K82" s="11">
        <f t="shared" si="2"/>
        <v>44</v>
      </c>
      <c r="L82" s="10">
        <v>50</v>
      </c>
      <c r="M82" s="10">
        <v>20</v>
      </c>
      <c r="N82" s="10">
        <f t="shared" si="9"/>
        <v>70</v>
      </c>
      <c r="O82" s="10">
        <v>7.65</v>
      </c>
      <c r="P82" s="10">
        <f t="shared" si="4"/>
        <v>62.35</v>
      </c>
      <c r="Q82" s="10">
        <v>15.6</v>
      </c>
      <c r="R82" s="10">
        <f t="shared" si="5"/>
        <v>41.75</v>
      </c>
      <c r="S82" s="10" t="s">
        <v>16</v>
      </c>
      <c r="T82" s="12"/>
      <c r="U82" s="13" t="s">
        <v>17</v>
      </c>
      <c r="V82" s="14"/>
      <c r="W82" s="12"/>
      <c r="X82" s="14"/>
    </row>
    <row r="83" spans="1:30" ht="15.75" customHeight="1">
      <c r="A83" s="149">
        <f t="shared" si="6"/>
        <v>82</v>
      </c>
      <c r="B83" s="7"/>
      <c r="C83" s="7"/>
      <c r="D83" s="8"/>
      <c r="E83" s="9">
        <v>45403</v>
      </c>
      <c r="F83" s="10">
        <v>20</v>
      </c>
      <c r="G83" s="10"/>
      <c r="H83" s="10">
        <f t="shared" si="0"/>
        <v>20</v>
      </c>
      <c r="I83" s="8">
        <v>45449</v>
      </c>
      <c r="J83" s="7">
        <f t="shared" si="7"/>
        <v>6</v>
      </c>
      <c r="K83" s="11">
        <f t="shared" si="2"/>
        <v>46</v>
      </c>
      <c r="L83" s="10">
        <v>120</v>
      </c>
      <c r="M83" s="10">
        <v>15</v>
      </c>
      <c r="N83" s="10">
        <f t="shared" si="9"/>
        <v>135</v>
      </c>
      <c r="O83" s="10">
        <v>14.41</v>
      </c>
      <c r="P83" s="10">
        <f t="shared" si="4"/>
        <v>120.59</v>
      </c>
      <c r="Q83" s="10">
        <v>14.25</v>
      </c>
      <c r="R83" s="10">
        <f t="shared" si="5"/>
        <v>86.34</v>
      </c>
      <c r="S83" s="10" t="s">
        <v>16</v>
      </c>
      <c r="T83" s="12"/>
      <c r="U83" s="13" t="s">
        <v>20</v>
      </c>
      <c r="V83" s="14"/>
      <c r="W83" s="12"/>
      <c r="X83" s="14"/>
      <c r="Y83" s="6"/>
      <c r="Z83" s="6"/>
      <c r="AA83" s="6"/>
    </row>
    <row r="84" spans="1:30" ht="15.75" customHeight="1">
      <c r="A84" s="149">
        <f t="shared" si="6"/>
        <v>83</v>
      </c>
      <c r="B84" s="7"/>
      <c r="C84" s="7"/>
      <c r="D84" s="8"/>
      <c r="E84" s="9">
        <v>45214</v>
      </c>
      <c r="F84" s="10">
        <v>0</v>
      </c>
      <c r="G84" s="10"/>
      <c r="H84" s="10">
        <f t="shared" si="0"/>
        <v>0</v>
      </c>
      <c r="I84" s="8">
        <v>45450</v>
      </c>
      <c r="J84" s="7">
        <f t="shared" si="7"/>
        <v>6</v>
      </c>
      <c r="K84" s="11">
        <f t="shared" si="2"/>
        <v>236</v>
      </c>
      <c r="L84" s="10">
        <v>30</v>
      </c>
      <c r="M84" s="10"/>
      <c r="N84" s="10">
        <f t="shared" si="9"/>
        <v>30</v>
      </c>
      <c r="O84" s="10">
        <v>4.5199999999999996</v>
      </c>
      <c r="P84" s="10">
        <f t="shared" si="4"/>
        <v>25.48</v>
      </c>
      <c r="Q84" s="10">
        <v>9.49</v>
      </c>
      <c r="R84" s="10">
        <f t="shared" si="5"/>
        <v>15.99</v>
      </c>
      <c r="S84" s="10" t="s">
        <v>16</v>
      </c>
      <c r="T84" s="12"/>
      <c r="U84" s="13" t="s">
        <v>17</v>
      </c>
      <c r="V84" s="14"/>
      <c r="W84" s="12"/>
      <c r="X84" s="14"/>
      <c r="Y84" s="6"/>
      <c r="Z84" s="6"/>
      <c r="AA84" s="6"/>
    </row>
    <row r="85" spans="1:30" ht="15.75" customHeight="1">
      <c r="A85" s="149">
        <f t="shared" si="6"/>
        <v>84</v>
      </c>
      <c r="B85" s="7"/>
      <c r="C85" s="7"/>
      <c r="D85" s="8"/>
      <c r="E85" s="9">
        <v>45415</v>
      </c>
      <c r="F85" s="10">
        <v>5</v>
      </c>
      <c r="G85" s="10"/>
      <c r="H85" s="10">
        <f t="shared" si="0"/>
        <v>5</v>
      </c>
      <c r="I85" s="8">
        <v>45452</v>
      </c>
      <c r="J85" s="7">
        <f t="shared" si="7"/>
        <v>6</v>
      </c>
      <c r="K85" s="11">
        <f t="shared" si="2"/>
        <v>37</v>
      </c>
      <c r="L85" s="10">
        <v>50</v>
      </c>
      <c r="M85" s="10"/>
      <c r="N85" s="10">
        <f t="shared" si="9"/>
        <v>50</v>
      </c>
      <c r="O85" s="10"/>
      <c r="P85" s="10">
        <f t="shared" si="4"/>
        <v>50</v>
      </c>
      <c r="Q85" s="10"/>
      <c r="R85" s="10">
        <f t="shared" si="5"/>
        <v>45</v>
      </c>
      <c r="S85" s="10" t="s">
        <v>19</v>
      </c>
      <c r="T85" s="12"/>
      <c r="U85" s="13" t="s">
        <v>17</v>
      </c>
      <c r="V85" s="14"/>
      <c r="W85" s="12"/>
      <c r="X85" s="14"/>
    </row>
    <row r="86" spans="1:30" ht="15.75" customHeight="1">
      <c r="A86" s="149">
        <f t="shared" si="6"/>
        <v>85</v>
      </c>
      <c r="B86" s="7"/>
      <c r="C86" s="7"/>
      <c r="D86" s="8"/>
      <c r="E86" s="9">
        <v>45424</v>
      </c>
      <c r="F86" s="10">
        <v>8</v>
      </c>
      <c r="G86" s="10"/>
      <c r="H86" s="10">
        <f t="shared" si="0"/>
        <v>8</v>
      </c>
      <c r="I86" s="8">
        <v>45452</v>
      </c>
      <c r="J86" s="7">
        <f t="shared" si="7"/>
        <v>6</v>
      </c>
      <c r="K86" s="11">
        <f t="shared" si="2"/>
        <v>28</v>
      </c>
      <c r="L86" s="10">
        <v>25</v>
      </c>
      <c r="M86" s="10"/>
      <c r="N86" s="10">
        <f t="shared" si="9"/>
        <v>25</v>
      </c>
      <c r="O86" s="10"/>
      <c r="P86" s="10">
        <f t="shared" si="4"/>
        <v>25</v>
      </c>
      <c r="Q86" s="10"/>
      <c r="R86" s="10">
        <f t="shared" si="5"/>
        <v>17</v>
      </c>
      <c r="S86" s="10" t="s">
        <v>19</v>
      </c>
      <c r="T86" s="12"/>
      <c r="U86" s="13" t="s">
        <v>17</v>
      </c>
      <c r="V86" s="14"/>
      <c r="W86" s="12"/>
      <c r="X86" s="14"/>
      <c r="Y86" s="6"/>
      <c r="Z86" s="6"/>
      <c r="AA86" s="6"/>
    </row>
    <row r="87" spans="1:30" ht="15.75" customHeight="1">
      <c r="A87" s="149">
        <f t="shared" si="6"/>
        <v>86</v>
      </c>
      <c r="B87" s="7"/>
      <c r="C87" s="7"/>
      <c r="D87" s="8"/>
      <c r="E87" s="9">
        <v>45333</v>
      </c>
      <c r="F87" s="10">
        <v>18</v>
      </c>
      <c r="G87" s="10"/>
      <c r="H87" s="10">
        <f t="shared" si="0"/>
        <v>18</v>
      </c>
      <c r="I87" s="8">
        <v>45454</v>
      </c>
      <c r="J87" s="7">
        <f t="shared" si="7"/>
        <v>6</v>
      </c>
      <c r="K87" s="11">
        <f t="shared" si="2"/>
        <v>121</v>
      </c>
      <c r="L87" s="10">
        <v>20</v>
      </c>
      <c r="M87" s="10">
        <v>10</v>
      </c>
      <c r="N87" s="10">
        <f t="shared" si="9"/>
        <v>30</v>
      </c>
      <c r="O87" s="10">
        <v>3.48</v>
      </c>
      <c r="P87" s="10">
        <f t="shared" si="4"/>
        <v>26.52</v>
      </c>
      <c r="Q87" s="10">
        <v>10</v>
      </c>
      <c r="R87" s="10">
        <f t="shared" si="5"/>
        <v>-1.4800000000000004</v>
      </c>
      <c r="S87" s="10" t="s">
        <v>16</v>
      </c>
      <c r="T87" s="12"/>
      <c r="U87" s="13" t="s">
        <v>17</v>
      </c>
      <c r="V87" s="14"/>
      <c r="W87" s="14"/>
      <c r="X87" s="14"/>
    </row>
    <row r="88" spans="1:30" ht="15.75" customHeight="1">
      <c r="A88" s="149">
        <f t="shared" si="6"/>
        <v>87</v>
      </c>
      <c r="B88" s="26"/>
      <c r="C88" s="7"/>
      <c r="D88" s="8"/>
      <c r="E88" s="9">
        <v>45445</v>
      </c>
      <c r="F88" s="10">
        <v>20</v>
      </c>
      <c r="G88" s="10">
        <v>9.35</v>
      </c>
      <c r="H88" s="10">
        <f t="shared" si="0"/>
        <v>29.35</v>
      </c>
      <c r="I88" s="8">
        <v>45456</v>
      </c>
      <c r="J88" s="7">
        <f t="shared" si="7"/>
        <v>6</v>
      </c>
      <c r="K88" s="11">
        <f t="shared" si="2"/>
        <v>11</v>
      </c>
      <c r="L88" s="10">
        <v>100</v>
      </c>
      <c r="M88" s="10"/>
      <c r="N88" s="10">
        <f t="shared" si="9"/>
        <v>100</v>
      </c>
      <c r="O88" s="10"/>
      <c r="P88" s="10">
        <f t="shared" si="4"/>
        <v>100</v>
      </c>
      <c r="Q88" s="10"/>
      <c r="R88" s="10">
        <f t="shared" si="5"/>
        <v>70.650000000000006</v>
      </c>
      <c r="S88" s="10" t="s">
        <v>19</v>
      </c>
      <c r="T88" s="12"/>
      <c r="U88" s="13" t="s">
        <v>17</v>
      </c>
      <c r="V88" s="14"/>
      <c r="W88" s="12"/>
      <c r="X88" s="14"/>
    </row>
    <row r="89" spans="1:30" ht="15.75" customHeight="1">
      <c r="A89" s="149">
        <f t="shared" si="6"/>
        <v>88</v>
      </c>
      <c r="B89" s="7"/>
      <c r="C89" s="7"/>
      <c r="D89" s="8"/>
      <c r="E89" s="9">
        <v>45116</v>
      </c>
      <c r="F89" s="10">
        <v>10</v>
      </c>
      <c r="G89" s="10"/>
      <c r="H89" s="10">
        <f t="shared" si="0"/>
        <v>10</v>
      </c>
      <c r="I89" s="8">
        <v>45458</v>
      </c>
      <c r="J89" s="7">
        <f t="shared" si="7"/>
        <v>6</v>
      </c>
      <c r="K89" s="11">
        <f t="shared" si="2"/>
        <v>342</v>
      </c>
      <c r="L89" s="10">
        <v>18</v>
      </c>
      <c r="M89" s="10"/>
      <c r="N89" s="10">
        <f t="shared" si="9"/>
        <v>18</v>
      </c>
      <c r="O89" s="10"/>
      <c r="P89" s="10">
        <f t="shared" si="4"/>
        <v>18</v>
      </c>
      <c r="Q89" s="10"/>
      <c r="R89" s="10">
        <f t="shared" si="5"/>
        <v>8</v>
      </c>
      <c r="S89" s="10" t="s">
        <v>19</v>
      </c>
      <c r="T89" s="12"/>
      <c r="U89" s="13" t="s">
        <v>17</v>
      </c>
      <c r="V89" s="14"/>
      <c r="W89" s="12"/>
      <c r="X89" s="14"/>
    </row>
    <row r="90" spans="1:30" ht="14.25" customHeight="1">
      <c r="A90" s="149">
        <f t="shared" si="6"/>
        <v>89</v>
      </c>
      <c r="B90" s="7"/>
      <c r="C90" s="7"/>
      <c r="D90" s="8"/>
      <c r="E90" s="9">
        <v>45354</v>
      </c>
      <c r="F90" s="10">
        <v>30</v>
      </c>
      <c r="G90" s="10">
        <v>10</v>
      </c>
      <c r="H90" s="10">
        <f t="shared" si="0"/>
        <v>40</v>
      </c>
      <c r="I90" s="8">
        <v>45461</v>
      </c>
      <c r="J90" s="7">
        <f t="shared" si="7"/>
        <v>6</v>
      </c>
      <c r="K90" s="11">
        <f t="shared" si="2"/>
        <v>107</v>
      </c>
      <c r="L90" s="10">
        <v>50</v>
      </c>
      <c r="M90" s="10">
        <v>50</v>
      </c>
      <c r="N90" s="10">
        <f t="shared" si="9"/>
        <v>100</v>
      </c>
      <c r="O90" s="10">
        <v>15.78</v>
      </c>
      <c r="P90" s="10">
        <f t="shared" si="4"/>
        <v>84.22</v>
      </c>
      <c r="Q90" s="10">
        <v>42.8</v>
      </c>
      <c r="R90" s="10">
        <f t="shared" si="5"/>
        <v>1.4200000000000017</v>
      </c>
      <c r="S90" s="10" t="s">
        <v>16</v>
      </c>
      <c r="T90" s="12"/>
      <c r="U90" s="13" t="s">
        <v>28</v>
      </c>
      <c r="V90" s="14"/>
      <c r="W90" s="12"/>
      <c r="X90" s="14"/>
    </row>
    <row r="91" spans="1:30" ht="15.75" customHeight="1">
      <c r="A91" s="149">
        <f t="shared" si="6"/>
        <v>90</v>
      </c>
      <c r="B91" s="7"/>
      <c r="C91" s="7"/>
      <c r="D91" s="8"/>
      <c r="E91" s="9">
        <v>45432</v>
      </c>
      <c r="F91" s="10">
        <v>10</v>
      </c>
      <c r="G91" s="10">
        <v>14.33</v>
      </c>
      <c r="H91" s="10">
        <f t="shared" si="0"/>
        <v>24.33</v>
      </c>
      <c r="I91" s="8">
        <v>45461</v>
      </c>
      <c r="J91" s="7">
        <f t="shared" si="7"/>
        <v>6</v>
      </c>
      <c r="K91" s="11">
        <f t="shared" si="2"/>
        <v>29</v>
      </c>
      <c r="L91" s="10">
        <v>100</v>
      </c>
      <c r="M91" s="10">
        <v>15</v>
      </c>
      <c r="N91" s="10">
        <f t="shared" si="9"/>
        <v>115</v>
      </c>
      <c r="O91" s="10">
        <v>12.33</v>
      </c>
      <c r="P91" s="10">
        <f t="shared" si="4"/>
        <v>102.67</v>
      </c>
      <c r="Q91" s="10">
        <v>4.99</v>
      </c>
      <c r="R91" s="10">
        <f t="shared" si="5"/>
        <v>73.350000000000009</v>
      </c>
      <c r="S91" s="10" t="s">
        <v>16</v>
      </c>
      <c r="T91" s="12"/>
      <c r="U91" s="13" t="s">
        <v>17</v>
      </c>
      <c r="V91" s="14"/>
      <c r="W91" s="12"/>
      <c r="X91" s="14"/>
    </row>
    <row r="92" spans="1:30" ht="15.75" customHeight="1">
      <c r="A92" s="149">
        <f t="shared" si="6"/>
        <v>91</v>
      </c>
      <c r="B92" s="7"/>
      <c r="C92" s="7"/>
      <c r="D92" s="8"/>
      <c r="E92" s="9">
        <v>45431</v>
      </c>
      <c r="F92" s="10">
        <v>33</v>
      </c>
      <c r="G92" s="10">
        <v>60</v>
      </c>
      <c r="H92" s="10">
        <f t="shared" si="0"/>
        <v>93</v>
      </c>
      <c r="I92" s="8">
        <v>45462</v>
      </c>
      <c r="J92" s="7">
        <f t="shared" si="7"/>
        <v>6</v>
      </c>
      <c r="K92" s="11">
        <f t="shared" si="2"/>
        <v>31</v>
      </c>
      <c r="L92" s="10">
        <v>280</v>
      </c>
      <c r="M92" s="10">
        <v>50</v>
      </c>
      <c r="N92" s="10">
        <f t="shared" si="9"/>
        <v>330</v>
      </c>
      <c r="O92" s="10">
        <v>34.74</v>
      </c>
      <c r="P92" s="10">
        <f t="shared" si="4"/>
        <v>295.26</v>
      </c>
      <c r="Q92" s="10">
        <v>14.25</v>
      </c>
      <c r="R92" s="10">
        <f t="shared" si="5"/>
        <v>188.01</v>
      </c>
      <c r="S92" s="10" t="s">
        <v>16</v>
      </c>
      <c r="T92" s="12"/>
      <c r="U92" s="13" t="s">
        <v>22</v>
      </c>
      <c r="V92" s="157"/>
      <c r="W92" s="155"/>
      <c r="X92" s="157"/>
      <c r="Y92" s="148"/>
      <c r="Z92" s="148"/>
      <c r="AA92" s="148"/>
      <c r="AB92" s="148"/>
      <c r="AC92" s="148"/>
      <c r="AD92" s="148"/>
    </row>
    <row r="93" spans="1:30" ht="15.75" customHeight="1">
      <c r="A93" s="149">
        <f t="shared" si="6"/>
        <v>92</v>
      </c>
      <c r="B93" s="7"/>
      <c r="C93" s="7"/>
      <c r="D93" s="8"/>
      <c r="E93" s="9">
        <v>45410</v>
      </c>
      <c r="F93" s="10">
        <v>20</v>
      </c>
      <c r="G93" s="10"/>
      <c r="H93" s="10">
        <f t="shared" si="0"/>
        <v>20</v>
      </c>
      <c r="I93" s="8">
        <v>45464</v>
      </c>
      <c r="J93" s="7">
        <f t="shared" si="7"/>
        <v>6</v>
      </c>
      <c r="K93" s="11">
        <f t="shared" si="2"/>
        <v>54</v>
      </c>
      <c r="L93" s="10">
        <v>60</v>
      </c>
      <c r="M93" s="10">
        <v>25</v>
      </c>
      <c r="N93" s="10">
        <f t="shared" si="9"/>
        <v>85</v>
      </c>
      <c r="O93" s="10">
        <v>9.2100000000000009</v>
      </c>
      <c r="P93" s="10">
        <f t="shared" si="4"/>
        <v>75.789999999999992</v>
      </c>
      <c r="Q93" s="10">
        <v>4.99</v>
      </c>
      <c r="R93" s="10">
        <f t="shared" si="5"/>
        <v>50.79999999999999</v>
      </c>
      <c r="S93" s="10" t="s">
        <v>16</v>
      </c>
      <c r="T93" s="12"/>
      <c r="U93" s="13" t="s">
        <v>17</v>
      </c>
      <c r="V93" s="157"/>
      <c r="W93" s="155"/>
      <c r="X93" s="157"/>
      <c r="Y93" s="148"/>
      <c r="Z93" s="148"/>
      <c r="AA93" s="148"/>
      <c r="AB93" s="148"/>
      <c r="AC93" s="148"/>
      <c r="AD93" s="148"/>
    </row>
    <row r="94" spans="1:30" ht="15.75" customHeight="1">
      <c r="A94" s="149">
        <f t="shared" si="6"/>
        <v>93</v>
      </c>
      <c r="B94" s="7"/>
      <c r="C94" s="7"/>
      <c r="D94" s="8"/>
      <c r="E94" s="9">
        <v>45413</v>
      </c>
      <c r="F94" s="10">
        <v>10</v>
      </c>
      <c r="G94" s="10">
        <v>20</v>
      </c>
      <c r="H94" s="10">
        <f t="shared" si="0"/>
        <v>30</v>
      </c>
      <c r="I94" s="8">
        <v>45464</v>
      </c>
      <c r="J94" s="7">
        <f t="shared" si="7"/>
        <v>6</v>
      </c>
      <c r="K94" s="11">
        <f t="shared" si="2"/>
        <v>51</v>
      </c>
      <c r="L94" s="10">
        <v>60</v>
      </c>
      <c r="M94" s="10">
        <v>15</v>
      </c>
      <c r="N94" s="10">
        <f t="shared" si="9"/>
        <v>75</v>
      </c>
      <c r="O94" s="10">
        <v>8.16</v>
      </c>
      <c r="P94" s="10">
        <f t="shared" si="4"/>
        <v>66.84</v>
      </c>
      <c r="Q94" s="10">
        <v>14.49</v>
      </c>
      <c r="R94" s="10">
        <f t="shared" si="5"/>
        <v>22.35</v>
      </c>
      <c r="S94" s="10" t="s">
        <v>16</v>
      </c>
      <c r="T94" s="12"/>
      <c r="U94" s="13" t="s">
        <v>17</v>
      </c>
      <c r="V94" s="157"/>
      <c r="W94" s="155"/>
      <c r="X94" s="157"/>
      <c r="Y94" s="148"/>
      <c r="Z94" s="148"/>
      <c r="AA94" s="148"/>
      <c r="AB94" s="148"/>
      <c r="AC94" s="148"/>
      <c r="AD94" s="148"/>
    </row>
    <row r="95" spans="1:30" ht="15.75" customHeight="1">
      <c r="A95" s="149">
        <f t="shared" si="6"/>
        <v>94</v>
      </c>
      <c r="B95" s="7"/>
      <c r="C95" s="7"/>
      <c r="D95" s="8"/>
      <c r="E95" s="9">
        <v>45432</v>
      </c>
      <c r="F95" s="10">
        <v>8</v>
      </c>
      <c r="G95" s="10"/>
      <c r="H95" s="10">
        <f t="shared" si="0"/>
        <v>8</v>
      </c>
      <c r="I95" s="8">
        <v>45467</v>
      </c>
      <c r="J95" s="7">
        <f t="shared" si="7"/>
        <v>6</v>
      </c>
      <c r="K95" s="11">
        <f t="shared" si="2"/>
        <v>35</v>
      </c>
      <c r="L95" s="10">
        <v>25</v>
      </c>
      <c r="M95" s="10">
        <v>25</v>
      </c>
      <c r="N95" s="10">
        <f t="shared" si="9"/>
        <v>50</v>
      </c>
      <c r="O95" s="10">
        <v>5.57</v>
      </c>
      <c r="P95" s="10">
        <f t="shared" si="4"/>
        <v>44.43</v>
      </c>
      <c r="Q95" s="10">
        <v>4.99</v>
      </c>
      <c r="R95" s="10">
        <f t="shared" si="5"/>
        <v>31.439999999999998</v>
      </c>
      <c r="S95" s="10" t="s">
        <v>16</v>
      </c>
      <c r="T95" s="12"/>
      <c r="U95" s="13" t="s">
        <v>17</v>
      </c>
      <c r="V95" s="157"/>
      <c r="W95" s="155"/>
      <c r="X95" s="157"/>
      <c r="Y95" s="148"/>
      <c r="Z95" s="148"/>
      <c r="AA95" s="148"/>
      <c r="AB95" s="148"/>
      <c r="AC95" s="148"/>
      <c r="AD95" s="148"/>
    </row>
    <row r="96" spans="1:30" ht="15.75" customHeight="1">
      <c r="A96" s="149">
        <f t="shared" ref="A96:A159" si="10">A95+1</f>
        <v>95</v>
      </c>
      <c r="B96" s="7"/>
      <c r="C96" s="7"/>
      <c r="D96" s="8"/>
      <c r="E96" s="9">
        <v>45053</v>
      </c>
      <c r="F96" s="10">
        <v>12.5</v>
      </c>
      <c r="G96" s="10"/>
      <c r="H96" s="10">
        <f t="shared" si="0"/>
        <v>12.5</v>
      </c>
      <c r="I96" s="8">
        <v>45469</v>
      </c>
      <c r="J96" s="7">
        <f t="shared" si="7"/>
        <v>6</v>
      </c>
      <c r="K96" s="11">
        <f t="shared" si="2"/>
        <v>416</v>
      </c>
      <c r="L96" s="10">
        <v>40</v>
      </c>
      <c r="M96" s="10">
        <v>12</v>
      </c>
      <c r="N96" s="10">
        <f t="shared" si="9"/>
        <v>52</v>
      </c>
      <c r="O96" s="10">
        <v>5.77</v>
      </c>
      <c r="P96" s="10">
        <f t="shared" si="4"/>
        <v>46.230000000000004</v>
      </c>
      <c r="Q96" s="10">
        <v>13.49</v>
      </c>
      <c r="R96" s="10">
        <f t="shared" si="5"/>
        <v>20.240000000000002</v>
      </c>
      <c r="S96" s="10" t="s">
        <v>16</v>
      </c>
      <c r="T96" s="12"/>
      <c r="U96" s="13" t="s">
        <v>20</v>
      </c>
      <c r="V96" s="157"/>
      <c r="W96" s="155"/>
      <c r="X96" s="157"/>
      <c r="Y96" s="148"/>
      <c r="Z96" s="148"/>
      <c r="AA96" s="148"/>
      <c r="AB96" s="148"/>
      <c r="AC96" s="148"/>
      <c r="AD96" s="148"/>
    </row>
    <row r="97" spans="1:30" ht="15.75" customHeight="1">
      <c r="A97" s="149">
        <f t="shared" si="10"/>
        <v>96</v>
      </c>
      <c r="B97" s="7"/>
      <c r="C97" s="7"/>
      <c r="D97" s="8"/>
      <c r="E97" s="9">
        <v>45438</v>
      </c>
      <c r="F97" s="10">
        <v>10</v>
      </c>
      <c r="G97" s="10">
        <v>20</v>
      </c>
      <c r="H97" s="10">
        <f t="shared" si="0"/>
        <v>30</v>
      </c>
      <c r="I97" s="8">
        <v>45470</v>
      </c>
      <c r="J97" s="7">
        <f t="shared" si="7"/>
        <v>6</v>
      </c>
      <c r="K97" s="11">
        <f t="shared" si="2"/>
        <v>32</v>
      </c>
      <c r="L97" s="10">
        <v>80</v>
      </c>
      <c r="M97" s="10"/>
      <c r="N97" s="10">
        <f t="shared" si="9"/>
        <v>80</v>
      </c>
      <c r="O97" s="10"/>
      <c r="P97" s="10">
        <f t="shared" si="4"/>
        <v>80</v>
      </c>
      <c r="Q97" s="10"/>
      <c r="R97" s="10">
        <f t="shared" si="5"/>
        <v>50</v>
      </c>
      <c r="S97" s="10" t="s">
        <v>19</v>
      </c>
      <c r="T97" s="12"/>
      <c r="U97" s="13" t="s">
        <v>17</v>
      </c>
      <c r="V97" s="157"/>
      <c r="W97" s="155"/>
      <c r="X97" s="157"/>
      <c r="Y97" s="148"/>
      <c r="Z97" s="148"/>
      <c r="AA97" s="148"/>
      <c r="AB97" s="148"/>
      <c r="AC97" s="148"/>
      <c r="AD97" s="148"/>
    </row>
    <row r="98" spans="1:30" ht="15.75" customHeight="1">
      <c r="A98" s="149">
        <f t="shared" si="10"/>
        <v>97</v>
      </c>
      <c r="B98" s="7"/>
      <c r="C98" s="7"/>
      <c r="D98" s="8"/>
      <c r="E98" s="9">
        <v>45438</v>
      </c>
      <c r="F98" s="10">
        <v>10</v>
      </c>
      <c r="G98" s="10">
        <v>20</v>
      </c>
      <c r="H98" s="10">
        <f t="shared" si="0"/>
        <v>30</v>
      </c>
      <c r="I98" s="8">
        <v>45472</v>
      </c>
      <c r="J98" s="7">
        <f t="shared" si="7"/>
        <v>6</v>
      </c>
      <c r="K98" s="11">
        <f t="shared" si="2"/>
        <v>34</v>
      </c>
      <c r="L98" s="10">
        <v>70</v>
      </c>
      <c r="M98" s="10"/>
      <c r="N98" s="10">
        <f>IF($I98&lt;&gt;"",SUM(L98:M98),"")</f>
        <v>70</v>
      </c>
      <c r="O98" s="10"/>
      <c r="P98" s="10">
        <f t="shared" si="4"/>
        <v>70</v>
      </c>
      <c r="Q98" s="10"/>
      <c r="R98" s="10">
        <f t="shared" si="5"/>
        <v>40</v>
      </c>
      <c r="S98" s="10" t="s">
        <v>19</v>
      </c>
      <c r="T98" s="12"/>
      <c r="U98" s="13" t="s">
        <v>17</v>
      </c>
      <c r="V98" s="157"/>
      <c r="W98" s="155"/>
      <c r="X98" s="157"/>
      <c r="Y98" s="148"/>
      <c r="Z98" s="148"/>
      <c r="AA98" s="148"/>
      <c r="AB98" s="148"/>
      <c r="AC98" s="148"/>
      <c r="AD98" s="148"/>
    </row>
    <row r="99" spans="1:30" ht="15.75" customHeight="1">
      <c r="A99" s="149">
        <f t="shared" si="10"/>
        <v>98</v>
      </c>
      <c r="B99" s="7"/>
      <c r="C99" s="7"/>
      <c r="D99" s="8"/>
      <c r="E99" s="9">
        <v>45333</v>
      </c>
      <c r="F99" s="10">
        <v>18</v>
      </c>
      <c r="G99" s="10"/>
      <c r="H99" s="10">
        <f t="shared" si="0"/>
        <v>18</v>
      </c>
      <c r="I99" s="8">
        <v>45476</v>
      </c>
      <c r="J99" s="7">
        <f t="shared" si="7"/>
        <v>7</v>
      </c>
      <c r="K99" s="11">
        <f t="shared" si="2"/>
        <v>143</v>
      </c>
      <c r="L99" s="10">
        <v>15</v>
      </c>
      <c r="M99" s="10">
        <v>30</v>
      </c>
      <c r="N99" s="10">
        <f>IF($I99&lt;&gt;"",SUM(L99:M99),"")</f>
        <v>45</v>
      </c>
      <c r="O99" s="10">
        <v>5.9</v>
      </c>
      <c r="P99" s="10">
        <f t="shared" si="4"/>
        <v>39.1</v>
      </c>
      <c r="Q99" s="10">
        <v>14.25</v>
      </c>
      <c r="R99" s="10">
        <f t="shared" si="5"/>
        <v>6.8500000000000014</v>
      </c>
      <c r="S99" s="10" t="s">
        <v>16</v>
      </c>
      <c r="T99" s="12"/>
      <c r="U99" s="13" t="s">
        <v>29</v>
      </c>
      <c r="V99" s="157"/>
      <c r="W99" s="157"/>
      <c r="X99" s="157"/>
      <c r="Y99" s="148"/>
      <c r="Z99" s="148"/>
      <c r="AA99" s="148"/>
      <c r="AB99" s="148"/>
      <c r="AC99" s="148"/>
      <c r="AD99" s="148"/>
    </row>
    <row r="100" spans="1:30" ht="15.75" customHeight="1">
      <c r="A100" s="149">
        <f t="shared" si="10"/>
        <v>99</v>
      </c>
      <c r="B100" s="7"/>
      <c r="C100" s="7"/>
      <c r="D100" s="8"/>
      <c r="E100" s="9">
        <v>45130</v>
      </c>
      <c r="F100" s="10">
        <v>25</v>
      </c>
      <c r="G100" s="10"/>
      <c r="H100" s="10">
        <f t="shared" si="0"/>
        <v>25</v>
      </c>
      <c r="I100" s="8">
        <v>45479</v>
      </c>
      <c r="J100" s="7">
        <f t="shared" si="7"/>
        <v>7</v>
      </c>
      <c r="K100" s="11">
        <f t="shared" si="2"/>
        <v>349</v>
      </c>
      <c r="L100" s="10">
        <v>60</v>
      </c>
      <c r="M100" s="10">
        <v>30</v>
      </c>
      <c r="N100" s="10">
        <f>IF($I100&lt;&gt;"",SUM(L100:M100),"")</f>
        <v>90</v>
      </c>
      <c r="O100" s="10">
        <v>9.73</v>
      </c>
      <c r="P100" s="10">
        <f t="shared" si="4"/>
        <v>80.27</v>
      </c>
      <c r="Q100" s="10">
        <v>4.99</v>
      </c>
      <c r="R100" s="10">
        <f t="shared" si="5"/>
        <v>50.279999999999994</v>
      </c>
      <c r="S100" s="10" t="s">
        <v>16</v>
      </c>
      <c r="T100" s="12"/>
      <c r="U100" s="17" t="s">
        <v>17</v>
      </c>
      <c r="V100" s="157"/>
      <c r="W100" s="155"/>
      <c r="X100" s="157"/>
      <c r="Y100" s="148"/>
      <c r="Z100" s="148"/>
      <c r="AA100" s="148"/>
      <c r="AB100" s="148"/>
      <c r="AC100" s="148"/>
      <c r="AD100" s="148"/>
    </row>
    <row r="101" spans="1:30" ht="15.75" customHeight="1">
      <c r="A101" s="149">
        <f t="shared" si="10"/>
        <v>100</v>
      </c>
      <c r="B101" s="7"/>
      <c r="C101" s="7"/>
      <c r="D101" s="8"/>
      <c r="E101" s="9">
        <v>45445</v>
      </c>
      <c r="F101" s="10">
        <v>5</v>
      </c>
      <c r="G101" s="10"/>
      <c r="H101" s="10">
        <f t="shared" si="0"/>
        <v>5</v>
      </c>
      <c r="I101" s="8">
        <v>45481</v>
      </c>
      <c r="J101" s="7">
        <f t="shared" si="7"/>
        <v>7</v>
      </c>
      <c r="K101" s="11">
        <f t="shared" si="2"/>
        <v>36</v>
      </c>
      <c r="L101" s="10">
        <v>40</v>
      </c>
      <c r="M101" s="10">
        <v>30</v>
      </c>
      <c r="N101" s="10">
        <f>IF($I101&lt;&gt;"",SUM(L101:M101),"")</f>
        <v>70</v>
      </c>
      <c r="O101" s="10">
        <v>7.65</v>
      </c>
      <c r="P101" s="10">
        <f t="shared" si="4"/>
        <v>62.35</v>
      </c>
      <c r="Q101" s="10">
        <v>14.25</v>
      </c>
      <c r="R101" s="10">
        <f t="shared" si="5"/>
        <v>43.1</v>
      </c>
      <c r="S101" s="10" t="s">
        <v>16</v>
      </c>
      <c r="T101" s="12"/>
      <c r="U101" s="13" t="s">
        <v>30</v>
      </c>
      <c r="V101" s="157"/>
      <c r="W101" s="155"/>
      <c r="X101" s="157"/>
      <c r="Y101" s="148"/>
      <c r="Z101" s="148"/>
      <c r="AA101" s="148"/>
      <c r="AB101" s="148"/>
      <c r="AC101" s="148"/>
      <c r="AD101" s="148"/>
    </row>
    <row r="102" spans="1:30" ht="15.75" customHeight="1">
      <c r="A102" s="149">
        <f t="shared" si="10"/>
        <v>101</v>
      </c>
      <c r="B102" s="7"/>
      <c r="C102" s="7"/>
      <c r="D102" s="8"/>
      <c r="E102" s="9">
        <v>45424</v>
      </c>
      <c r="F102" s="10">
        <v>5</v>
      </c>
      <c r="G102" s="10"/>
      <c r="H102" s="10">
        <f t="shared" ref="H102:H107" si="11">IF($F102&lt;&gt;"",SUM(F102:G102),"")</f>
        <v>5</v>
      </c>
      <c r="I102" s="8">
        <v>45458</v>
      </c>
      <c r="J102" s="7">
        <f t="shared" ref="J102:J107" si="12">IF(I102="","",MONTH(I102))</f>
        <v>6</v>
      </c>
      <c r="K102" s="11">
        <f t="shared" ref="K102:K107" si="13">IF($I102&lt;&gt;"",SUM(I102-E102),"")</f>
        <v>34</v>
      </c>
      <c r="L102" s="10">
        <v>80</v>
      </c>
      <c r="M102" s="10"/>
      <c r="N102" s="10">
        <f>IF($I102&lt;&gt;"",SUM(L102:M102),"")</f>
        <v>80</v>
      </c>
      <c r="O102" s="10"/>
      <c r="P102" s="10">
        <f t="shared" ref="P102:P107" si="14">IF(I102="","",N102-O102)</f>
        <v>80</v>
      </c>
      <c r="Q102" s="10"/>
      <c r="R102" s="10">
        <f t="shared" ref="R102:R107" si="15">IF(I102="","",P102-H102-Q102)</f>
        <v>75</v>
      </c>
      <c r="S102" s="10" t="s">
        <v>19</v>
      </c>
      <c r="T102" s="12"/>
      <c r="U102" s="17" t="s">
        <v>17</v>
      </c>
      <c r="V102" s="157"/>
      <c r="W102" s="157"/>
      <c r="X102" s="157"/>
      <c r="Y102" s="148"/>
      <c r="Z102" s="148"/>
      <c r="AA102" s="148"/>
      <c r="AB102" s="148"/>
      <c r="AC102" s="148"/>
      <c r="AD102" s="148"/>
    </row>
    <row r="103" spans="1:30" ht="15.75" customHeight="1">
      <c r="A103" s="149">
        <f t="shared" si="10"/>
        <v>102</v>
      </c>
      <c r="B103" s="7"/>
      <c r="C103" s="7"/>
      <c r="D103" s="8"/>
      <c r="E103" s="9">
        <v>45445</v>
      </c>
      <c r="F103" s="10">
        <v>20</v>
      </c>
      <c r="G103" s="10"/>
      <c r="H103" s="10">
        <f t="shared" si="11"/>
        <v>20</v>
      </c>
      <c r="I103" s="8">
        <v>45458</v>
      </c>
      <c r="J103" s="7">
        <f t="shared" si="12"/>
        <v>6</v>
      </c>
      <c r="K103" s="11">
        <f t="shared" si="13"/>
        <v>13</v>
      </c>
      <c r="L103" s="10">
        <v>80</v>
      </c>
      <c r="M103" s="10"/>
      <c r="N103" s="10">
        <v>70</v>
      </c>
      <c r="O103" s="10"/>
      <c r="P103" s="10">
        <f t="shared" si="14"/>
        <v>70</v>
      </c>
      <c r="Q103" s="10"/>
      <c r="R103" s="10">
        <f t="shared" si="15"/>
        <v>50</v>
      </c>
      <c r="S103" s="10" t="s">
        <v>19</v>
      </c>
      <c r="T103" s="12"/>
      <c r="U103" s="17" t="s">
        <v>17</v>
      </c>
      <c r="V103" s="157"/>
      <c r="W103" s="157"/>
      <c r="X103" s="157"/>
      <c r="Y103" s="148"/>
      <c r="Z103" s="148"/>
      <c r="AA103" s="148"/>
      <c r="AB103" s="148"/>
      <c r="AC103" s="148"/>
      <c r="AD103" s="148"/>
    </row>
    <row r="104" spans="1:30" ht="15.75" customHeight="1">
      <c r="A104" s="149">
        <f t="shared" si="10"/>
        <v>103</v>
      </c>
      <c r="B104" s="150"/>
      <c r="C104" s="150"/>
      <c r="D104" s="151"/>
      <c r="E104" s="152">
        <v>45459</v>
      </c>
      <c r="F104" s="153">
        <v>20</v>
      </c>
      <c r="G104" s="153">
        <v>70</v>
      </c>
      <c r="H104" s="153">
        <f t="shared" si="11"/>
        <v>90</v>
      </c>
      <c r="I104" s="151">
        <v>45483</v>
      </c>
      <c r="J104" s="150">
        <f t="shared" si="12"/>
        <v>7</v>
      </c>
      <c r="K104" s="154">
        <f t="shared" si="13"/>
        <v>24</v>
      </c>
      <c r="L104" s="153">
        <v>170</v>
      </c>
      <c r="M104" s="153">
        <v>10</v>
      </c>
      <c r="N104" s="153">
        <f t="shared" ref="N104:N109" si="16">IF($I104&lt;&gt;"",SUM(L104:M104),"")</f>
        <v>180</v>
      </c>
      <c r="O104" s="153">
        <v>19.11</v>
      </c>
      <c r="P104" s="153">
        <f t="shared" si="14"/>
        <v>160.88999999999999</v>
      </c>
      <c r="Q104" s="153">
        <v>9.49</v>
      </c>
      <c r="R104" s="153">
        <f t="shared" si="15"/>
        <v>61.399999999999984</v>
      </c>
      <c r="S104" s="153" t="s">
        <v>16</v>
      </c>
      <c r="T104" s="155"/>
      <c r="U104" s="156" t="s">
        <v>17</v>
      </c>
      <c r="V104" s="157"/>
      <c r="W104" s="157"/>
      <c r="X104" s="157"/>
      <c r="Y104" s="149"/>
      <c r="Z104" s="149"/>
      <c r="AA104" s="149"/>
      <c r="AB104" s="148"/>
      <c r="AC104" s="148"/>
      <c r="AD104" s="148"/>
    </row>
    <row r="105" spans="1:30" ht="15.75" customHeight="1">
      <c r="A105" s="149">
        <f t="shared" si="10"/>
        <v>104</v>
      </c>
      <c r="B105" s="7"/>
      <c r="C105" s="7"/>
      <c r="D105" s="8"/>
      <c r="E105" s="9">
        <v>45431</v>
      </c>
      <c r="F105" s="10">
        <v>33</v>
      </c>
      <c r="G105" s="10">
        <v>90</v>
      </c>
      <c r="H105" s="10">
        <f t="shared" si="11"/>
        <v>123</v>
      </c>
      <c r="I105" s="8">
        <v>45496</v>
      </c>
      <c r="J105" s="7">
        <f t="shared" si="12"/>
        <v>7</v>
      </c>
      <c r="K105" s="11">
        <f t="shared" si="13"/>
        <v>65</v>
      </c>
      <c r="L105" s="10">
        <v>450</v>
      </c>
      <c r="M105" s="10">
        <v>30</v>
      </c>
      <c r="N105" s="10">
        <f t="shared" si="16"/>
        <v>480</v>
      </c>
      <c r="O105" s="10">
        <v>50.37</v>
      </c>
      <c r="P105" s="10">
        <f t="shared" si="14"/>
        <v>429.63</v>
      </c>
      <c r="Q105" s="10">
        <v>14.25</v>
      </c>
      <c r="R105" s="10">
        <f t="shared" si="15"/>
        <v>292.38</v>
      </c>
      <c r="S105" s="10" t="s">
        <v>16</v>
      </c>
      <c r="T105" s="12"/>
      <c r="U105" s="13" t="s">
        <v>23</v>
      </c>
      <c r="V105" s="157"/>
      <c r="W105" s="157"/>
      <c r="X105" s="157"/>
      <c r="Y105" s="149"/>
      <c r="Z105" s="148"/>
      <c r="AA105" s="148"/>
      <c r="AB105" s="148"/>
      <c r="AC105" s="148"/>
      <c r="AD105" s="148"/>
    </row>
    <row r="106" spans="1:30" ht="15.75" customHeight="1">
      <c r="A106" s="149">
        <f t="shared" si="10"/>
        <v>105</v>
      </c>
      <c r="B106" s="7"/>
      <c r="C106" s="7"/>
      <c r="D106" s="8"/>
      <c r="E106" s="9">
        <v>45459</v>
      </c>
      <c r="F106" s="10">
        <v>50</v>
      </c>
      <c r="G106" s="10"/>
      <c r="H106" s="10">
        <f t="shared" si="11"/>
        <v>50</v>
      </c>
      <c r="I106" s="8">
        <v>45501</v>
      </c>
      <c r="J106" s="7">
        <f t="shared" si="12"/>
        <v>7</v>
      </c>
      <c r="K106" s="11">
        <f t="shared" si="13"/>
        <v>42</v>
      </c>
      <c r="L106" s="10">
        <v>150</v>
      </c>
      <c r="M106" s="10">
        <v>30</v>
      </c>
      <c r="N106" s="10">
        <f t="shared" si="16"/>
        <v>180</v>
      </c>
      <c r="O106" s="10">
        <v>19.11</v>
      </c>
      <c r="P106" s="10">
        <f t="shared" si="14"/>
        <v>160.88999999999999</v>
      </c>
      <c r="Q106" s="10">
        <v>14.25</v>
      </c>
      <c r="R106" s="10">
        <f t="shared" si="15"/>
        <v>96.639999999999986</v>
      </c>
      <c r="S106" s="10" t="s">
        <v>16</v>
      </c>
      <c r="T106" s="12"/>
      <c r="U106" s="13" t="s">
        <v>27</v>
      </c>
      <c r="V106" s="157"/>
      <c r="W106" s="157"/>
      <c r="X106" s="157"/>
      <c r="Y106" s="148"/>
      <c r="Z106" s="148"/>
      <c r="AA106" s="148"/>
      <c r="AB106" s="148"/>
      <c r="AC106" s="148"/>
      <c r="AD106" s="148"/>
    </row>
    <row r="107" spans="1:30" ht="15.75" customHeight="1">
      <c r="A107" s="149">
        <f t="shared" si="10"/>
        <v>106</v>
      </c>
      <c r="B107" s="7"/>
      <c r="C107" s="7"/>
      <c r="D107" s="8"/>
      <c r="E107" s="9">
        <v>45432</v>
      </c>
      <c r="F107" s="10">
        <v>0</v>
      </c>
      <c r="G107" s="10"/>
      <c r="H107" s="10">
        <f t="shared" si="11"/>
        <v>0</v>
      </c>
      <c r="I107" s="8">
        <v>45502</v>
      </c>
      <c r="J107" s="7">
        <f t="shared" si="12"/>
        <v>7</v>
      </c>
      <c r="K107" s="11">
        <f t="shared" si="13"/>
        <v>70</v>
      </c>
      <c r="L107" s="10">
        <v>40</v>
      </c>
      <c r="M107" s="10">
        <v>20</v>
      </c>
      <c r="N107" s="10">
        <f t="shared" si="16"/>
        <v>60</v>
      </c>
      <c r="O107" s="10">
        <v>6.6</v>
      </c>
      <c r="P107" s="10">
        <f t="shared" si="14"/>
        <v>53.4</v>
      </c>
      <c r="Q107" s="10">
        <v>4.99</v>
      </c>
      <c r="R107" s="10">
        <f t="shared" si="15"/>
        <v>48.41</v>
      </c>
      <c r="S107" s="10" t="s">
        <v>16</v>
      </c>
      <c r="T107" s="12"/>
      <c r="U107" s="13" t="s">
        <v>17</v>
      </c>
      <c r="V107" s="157"/>
      <c r="W107" s="157"/>
      <c r="X107" s="157"/>
      <c r="Y107" s="148"/>
      <c r="Z107" s="148"/>
      <c r="AA107" s="148"/>
      <c r="AB107" s="148"/>
      <c r="AC107" s="148"/>
      <c r="AD107" s="148"/>
    </row>
    <row r="108" spans="1:30" s="142" customFormat="1" ht="15.75" customHeight="1">
      <c r="A108" s="149">
        <f t="shared" si="10"/>
        <v>107</v>
      </c>
      <c r="B108" s="7"/>
      <c r="C108" s="7"/>
      <c r="D108" s="8"/>
      <c r="E108" s="9">
        <v>45165</v>
      </c>
      <c r="F108" s="10">
        <v>0</v>
      </c>
      <c r="G108" s="10"/>
      <c r="H108" s="10">
        <f t="shared" ref="H108:H113" si="17">IF($F108&lt;&gt;"",SUM(F108:G108),"")</f>
        <v>0</v>
      </c>
      <c r="I108" s="8">
        <v>45505</v>
      </c>
      <c r="J108" s="7">
        <f t="shared" ref="J108:J114" si="18">IF(I108="","",MONTH(I108))</f>
        <v>8</v>
      </c>
      <c r="K108" s="11">
        <f t="shared" ref="K108:K113" si="19">IF($I108&lt;&gt;"",SUM(I108-E108),"")</f>
        <v>340</v>
      </c>
      <c r="L108" s="10">
        <v>10</v>
      </c>
      <c r="M108" s="10">
        <v>10</v>
      </c>
      <c r="N108" s="10">
        <f t="shared" si="16"/>
        <v>20</v>
      </c>
      <c r="O108" s="10">
        <v>2.4300000000000002</v>
      </c>
      <c r="P108" s="10">
        <f t="shared" ref="P108:P113" si="20">IF(I108="","",N108-O108)</f>
        <v>17.57</v>
      </c>
      <c r="Q108" s="10">
        <v>14.03</v>
      </c>
      <c r="R108" s="10">
        <f t="shared" ref="R108:R113" si="21">IF(I108="","",P108-H108-Q108)</f>
        <v>3.5400000000000009</v>
      </c>
      <c r="S108" s="10" t="s">
        <v>16</v>
      </c>
      <c r="T108" s="12"/>
      <c r="U108" s="17" t="s">
        <v>20</v>
      </c>
      <c r="V108" s="157"/>
      <c r="W108" s="155"/>
      <c r="X108" s="157"/>
      <c r="Y108" s="148"/>
      <c r="Z108" s="148"/>
      <c r="AA108" s="148"/>
      <c r="AB108" s="148"/>
      <c r="AC108" s="148"/>
      <c r="AD108" s="148"/>
    </row>
    <row r="109" spans="1:30" ht="15.75" customHeight="1">
      <c r="A109" s="149">
        <f t="shared" si="10"/>
        <v>108</v>
      </c>
      <c r="B109" s="7"/>
      <c r="C109" s="7"/>
      <c r="D109" s="8"/>
      <c r="E109" s="9">
        <v>45459</v>
      </c>
      <c r="F109" s="10">
        <v>50</v>
      </c>
      <c r="G109" s="10"/>
      <c r="H109" s="10">
        <f t="shared" si="17"/>
        <v>50</v>
      </c>
      <c r="I109" s="8">
        <v>45509</v>
      </c>
      <c r="J109" s="7">
        <f t="shared" si="18"/>
        <v>8</v>
      </c>
      <c r="K109" s="11">
        <f t="shared" si="19"/>
        <v>50</v>
      </c>
      <c r="L109" s="10">
        <v>200</v>
      </c>
      <c r="M109" s="10">
        <v>30</v>
      </c>
      <c r="N109" s="10">
        <f t="shared" si="16"/>
        <v>230</v>
      </c>
      <c r="O109" s="10">
        <v>24.32</v>
      </c>
      <c r="P109" s="10">
        <f t="shared" si="20"/>
        <v>205.68</v>
      </c>
      <c r="Q109" s="10">
        <v>14.25</v>
      </c>
      <c r="R109" s="10">
        <f t="shared" si="21"/>
        <v>141.43</v>
      </c>
      <c r="S109" s="10" t="s">
        <v>16</v>
      </c>
      <c r="T109" s="12"/>
      <c r="U109" s="13" t="s">
        <v>23</v>
      </c>
      <c r="V109" s="14"/>
      <c r="W109" s="155"/>
      <c r="X109" s="157"/>
      <c r="Y109" s="148"/>
      <c r="Z109" s="148"/>
      <c r="AA109" s="148"/>
      <c r="AB109" s="148"/>
      <c r="AC109" s="148"/>
      <c r="AD109" s="148"/>
    </row>
    <row r="110" spans="1:30" s="148" customFormat="1" ht="15.75" customHeight="1">
      <c r="A110" s="149">
        <f t="shared" si="10"/>
        <v>109</v>
      </c>
      <c r="B110" s="7"/>
      <c r="C110" s="7"/>
      <c r="D110" s="8"/>
      <c r="E110" s="9">
        <v>45508</v>
      </c>
      <c r="F110" s="10">
        <v>0</v>
      </c>
      <c r="G110" s="10"/>
      <c r="H110" s="153">
        <f t="shared" si="17"/>
        <v>0</v>
      </c>
      <c r="I110" s="8">
        <v>45509</v>
      </c>
      <c r="J110" s="7">
        <f t="shared" si="18"/>
        <v>8</v>
      </c>
      <c r="K110" s="11">
        <f t="shared" si="19"/>
        <v>1</v>
      </c>
      <c r="L110" s="10">
        <v>20</v>
      </c>
      <c r="M110" s="10"/>
      <c r="N110" s="10">
        <f t="shared" ref="N110:N114" si="22">IF($I110&lt;&gt;"",SUM(L110:M110),"")</f>
        <v>20</v>
      </c>
      <c r="O110" s="10"/>
      <c r="P110" s="10">
        <f t="shared" si="20"/>
        <v>20</v>
      </c>
      <c r="Q110" s="10"/>
      <c r="R110" s="10">
        <f t="shared" si="21"/>
        <v>20</v>
      </c>
      <c r="S110" s="10" t="s">
        <v>19</v>
      </c>
      <c r="T110" s="12"/>
      <c r="U110" s="177" t="s">
        <v>17</v>
      </c>
      <c r="V110" s="14"/>
      <c r="W110" s="14"/>
      <c r="X110" s="14"/>
    </row>
    <row r="111" spans="1:30" ht="15.75" customHeight="1">
      <c r="A111" s="149">
        <f t="shared" si="10"/>
        <v>110</v>
      </c>
      <c r="B111" s="7"/>
      <c r="C111" s="7"/>
      <c r="D111" s="8"/>
      <c r="E111" s="9">
        <v>45508</v>
      </c>
      <c r="F111" s="10">
        <v>20</v>
      </c>
      <c r="G111" s="10"/>
      <c r="H111" s="153">
        <f t="shared" si="17"/>
        <v>20</v>
      </c>
      <c r="I111" s="8">
        <v>45512</v>
      </c>
      <c r="J111" s="7">
        <f t="shared" si="18"/>
        <v>8</v>
      </c>
      <c r="K111" s="11">
        <f t="shared" si="19"/>
        <v>4</v>
      </c>
      <c r="L111" s="10">
        <v>120</v>
      </c>
      <c r="M111" s="10"/>
      <c r="N111" s="10">
        <f t="shared" si="22"/>
        <v>120</v>
      </c>
      <c r="O111" s="10"/>
      <c r="P111" s="10">
        <f t="shared" si="20"/>
        <v>120</v>
      </c>
      <c r="Q111" s="10"/>
      <c r="R111" s="10">
        <f t="shared" si="21"/>
        <v>100</v>
      </c>
      <c r="S111" s="10" t="s">
        <v>19</v>
      </c>
      <c r="T111" s="12"/>
      <c r="U111" s="177" t="s">
        <v>17</v>
      </c>
      <c r="V111" s="14"/>
      <c r="W111" s="14"/>
      <c r="X111" s="14"/>
      <c r="Y111" s="176"/>
      <c r="Z111" s="148"/>
      <c r="AA111" s="148"/>
      <c r="AB111" s="148"/>
      <c r="AC111" s="148"/>
      <c r="AD111" s="148"/>
    </row>
    <row r="112" spans="1:30" ht="15.75" customHeight="1">
      <c r="A112" s="149">
        <f t="shared" si="10"/>
        <v>111</v>
      </c>
      <c r="B112" s="7"/>
      <c r="C112" s="7"/>
      <c r="D112" s="8"/>
      <c r="E112" s="9">
        <v>45508</v>
      </c>
      <c r="F112" s="10">
        <v>40</v>
      </c>
      <c r="G112" s="10"/>
      <c r="H112" s="153">
        <f t="shared" si="17"/>
        <v>40</v>
      </c>
      <c r="I112" s="8">
        <v>45513</v>
      </c>
      <c r="J112" s="7">
        <f t="shared" si="18"/>
        <v>8</v>
      </c>
      <c r="K112" s="11">
        <f t="shared" si="19"/>
        <v>5</v>
      </c>
      <c r="L112" s="10">
        <v>100</v>
      </c>
      <c r="M112" s="10">
        <v>30</v>
      </c>
      <c r="N112" s="10">
        <f t="shared" si="22"/>
        <v>130</v>
      </c>
      <c r="O112" s="10">
        <v>13.9</v>
      </c>
      <c r="P112" s="10">
        <f t="shared" si="20"/>
        <v>116.1</v>
      </c>
      <c r="Q112" s="10">
        <v>4.99</v>
      </c>
      <c r="R112" s="10">
        <f t="shared" si="21"/>
        <v>71.11</v>
      </c>
      <c r="S112" s="10" t="s">
        <v>16</v>
      </c>
      <c r="T112" s="12"/>
      <c r="U112" s="177" t="s">
        <v>17</v>
      </c>
      <c r="V112" s="14"/>
      <c r="W112" s="14"/>
      <c r="X112" s="157"/>
      <c r="Y112" s="148"/>
      <c r="Z112" s="148"/>
      <c r="AA112" s="148"/>
      <c r="AB112" s="148"/>
      <c r="AC112" s="148"/>
      <c r="AD112" s="148"/>
    </row>
    <row r="113" spans="1:30" ht="15.75" customHeight="1">
      <c r="A113" s="149">
        <f t="shared" si="10"/>
        <v>112</v>
      </c>
      <c r="B113" s="7"/>
      <c r="C113" s="7"/>
      <c r="D113" s="8"/>
      <c r="E113" s="9">
        <v>45424</v>
      </c>
      <c r="F113" s="10">
        <v>50</v>
      </c>
      <c r="G113" s="10">
        <v>155.81</v>
      </c>
      <c r="H113" s="10">
        <f t="shared" si="17"/>
        <v>205.81</v>
      </c>
      <c r="I113" s="8">
        <v>45516</v>
      </c>
      <c r="J113" s="7">
        <f t="shared" si="18"/>
        <v>8</v>
      </c>
      <c r="K113" s="11">
        <f t="shared" si="19"/>
        <v>92</v>
      </c>
      <c r="L113" s="10">
        <v>250</v>
      </c>
      <c r="M113" s="10">
        <v>50</v>
      </c>
      <c r="N113" s="10">
        <f t="shared" si="22"/>
        <v>300</v>
      </c>
      <c r="O113" s="10">
        <v>31.61</v>
      </c>
      <c r="P113" s="10">
        <f t="shared" si="20"/>
        <v>268.39</v>
      </c>
      <c r="Q113" s="10">
        <v>9.98</v>
      </c>
      <c r="R113" s="10">
        <f t="shared" si="21"/>
        <v>52.59999999999998</v>
      </c>
      <c r="S113" s="10" t="s">
        <v>16</v>
      </c>
      <c r="T113" s="12"/>
      <c r="U113" s="186" t="s">
        <v>17</v>
      </c>
      <c r="V113" s="157"/>
      <c r="W113" s="157"/>
      <c r="X113" s="157"/>
      <c r="Y113" s="148"/>
      <c r="Z113" s="148"/>
      <c r="AA113" s="148"/>
      <c r="AB113" s="148"/>
      <c r="AC113" s="148"/>
      <c r="AD113" s="148"/>
    </row>
    <row r="114" spans="1:30" ht="15.75" customHeight="1">
      <c r="A114" s="149">
        <f t="shared" si="10"/>
        <v>113</v>
      </c>
      <c r="B114" s="7"/>
      <c r="C114" s="7"/>
      <c r="D114" s="8"/>
      <c r="E114" s="9">
        <v>45473</v>
      </c>
      <c r="F114" s="10">
        <v>15</v>
      </c>
      <c r="G114" s="10"/>
      <c r="H114" s="10">
        <f t="shared" ref="H114:H119" si="23">IF($F114&lt;&gt;"",SUM(F114:G114),"")</f>
        <v>15</v>
      </c>
      <c r="I114" s="8">
        <v>45516</v>
      </c>
      <c r="J114" s="7">
        <f t="shared" si="18"/>
        <v>8</v>
      </c>
      <c r="K114" s="11">
        <f t="shared" ref="K114:K119" si="24">IF($I114&lt;&gt;"",SUM(I114-E114),"")</f>
        <v>43</v>
      </c>
      <c r="L114" s="10">
        <v>100</v>
      </c>
      <c r="M114" s="10"/>
      <c r="N114" s="10">
        <f t="shared" si="22"/>
        <v>100</v>
      </c>
      <c r="O114" s="10"/>
      <c r="P114" s="10">
        <f>IF(I114="","",N114-O114)</f>
        <v>100</v>
      </c>
      <c r="Q114" s="10"/>
      <c r="R114" s="10">
        <f>IF(I114="","",P114-H114-Q114)</f>
        <v>85</v>
      </c>
      <c r="S114" s="10" t="s">
        <v>19</v>
      </c>
      <c r="T114" s="12"/>
      <c r="U114" s="187" t="s">
        <v>17</v>
      </c>
      <c r="V114" s="14"/>
      <c r="W114" s="14"/>
      <c r="X114" s="157"/>
      <c r="Y114" s="148"/>
      <c r="Z114" s="148"/>
      <c r="AA114" s="148"/>
      <c r="AB114" s="148"/>
      <c r="AC114" s="148"/>
      <c r="AD114" s="148"/>
    </row>
    <row r="115" spans="1:30" ht="15.75" customHeight="1">
      <c r="A115" s="149">
        <f t="shared" si="10"/>
        <v>114</v>
      </c>
      <c r="B115" s="7"/>
      <c r="C115" s="7"/>
      <c r="D115" s="8"/>
      <c r="E115" s="9">
        <v>45403</v>
      </c>
      <c r="F115" s="10">
        <v>5</v>
      </c>
      <c r="G115" s="10"/>
      <c r="H115" s="10">
        <f t="shared" si="23"/>
        <v>5</v>
      </c>
      <c r="I115" s="8">
        <v>45508</v>
      </c>
      <c r="J115" s="7">
        <f t="shared" ref="J115:J125" si="25">IF(I115="","",MONTH(I115))</f>
        <v>8</v>
      </c>
      <c r="K115" s="11">
        <f t="shared" si="24"/>
        <v>105</v>
      </c>
      <c r="L115" s="10">
        <v>40</v>
      </c>
      <c r="M115" s="10">
        <v>10</v>
      </c>
      <c r="N115" s="10">
        <f t="shared" ref="N115:N125" si="26">IF($I115&lt;&gt;"",SUM(L115:M115),"")</f>
        <v>50</v>
      </c>
      <c r="O115" s="10">
        <v>5.57</v>
      </c>
      <c r="P115" s="10">
        <f t="shared" ref="P115" si="27">IF(I115="","",N115-O115)</f>
        <v>44.43</v>
      </c>
      <c r="Q115" s="10">
        <v>4.99</v>
      </c>
      <c r="R115" s="10">
        <f t="shared" ref="R115" si="28">IF(I115="","",P115-H115-Q115)</f>
        <v>34.44</v>
      </c>
      <c r="S115" s="10" t="s">
        <v>16</v>
      </c>
      <c r="T115" s="12"/>
      <c r="U115" s="188" t="s">
        <v>17</v>
      </c>
      <c r="V115" s="157"/>
      <c r="W115" s="157"/>
      <c r="X115" s="157"/>
      <c r="Y115" s="148"/>
      <c r="Z115" s="148"/>
      <c r="AA115" s="148"/>
      <c r="AB115" s="148"/>
      <c r="AC115" s="148"/>
      <c r="AD115" s="148"/>
    </row>
    <row r="116" spans="1:30" ht="15.75" customHeight="1">
      <c r="A116" s="149">
        <f t="shared" si="10"/>
        <v>115</v>
      </c>
      <c r="B116" s="179"/>
      <c r="C116" s="179"/>
      <c r="D116" s="180"/>
      <c r="E116" s="181">
        <v>45333</v>
      </c>
      <c r="F116" s="182">
        <v>18</v>
      </c>
      <c r="G116" s="182"/>
      <c r="H116" s="182">
        <f t="shared" si="23"/>
        <v>18</v>
      </c>
      <c r="I116" s="180">
        <v>45519</v>
      </c>
      <c r="J116" s="179">
        <f t="shared" si="25"/>
        <v>8</v>
      </c>
      <c r="K116" s="183">
        <f t="shared" si="24"/>
        <v>186</v>
      </c>
      <c r="L116" s="182">
        <v>10</v>
      </c>
      <c r="M116" s="182"/>
      <c r="N116" s="182">
        <f t="shared" si="26"/>
        <v>10</v>
      </c>
      <c r="O116" s="182"/>
      <c r="P116" s="182">
        <f t="shared" ref="P116:P125" si="29">IF(I116="","",N116-O116)</f>
        <v>10</v>
      </c>
      <c r="Q116" s="182"/>
      <c r="R116" s="182">
        <f t="shared" ref="R116:R125" si="30">IF(I116="","",P116-H116-Q116)</f>
        <v>-8</v>
      </c>
      <c r="S116" s="182" t="s">
        <v>16</v>
      </c>
      <c r="T116" s="155"/>
      <c r="U116" s="188" t="s">
        <v>17</v>
      </c>
      <c r="V116" s="157"/>
      <c r="W116" s="155"/>
      <c r="X116" s="157"/>
      <c r="Y116" s="148"/>
      <c r="Z116" s="148"/>
      <c r="AA116" s="148"/>
      <c r="AB116" s="148"/>
      <c r="AC116" s="148"/>
      <c r="AD116" s="148"/>
    </row>
    <row r="117" spans="1:30" ht="15.75" customHeight="1">
      <c r="A117" s="149">
        <f t="shared" si="10"/>
        <v>116</v>
      </c>
      <c r="B117" s="179"/>
      <c r="C117" s="179"/>
      <c r="D117" s="180"/>
      <c r="E117" s="181">
        <v>45333</v>
      </c>
      <c r="F117" s="182">
        <v>18</v>
      </c>
      <c r="G117" s="182"/>
      <c r="H117" s="182">
        <f t="shared" si="23"/>
        <v>18</v>
      </c>
      <c r="I117" s="180">
        <v>45519</v>
      </c>
      <c r="J117" s="179">
        <f t="shared" si="25"/>
        <v>8</v>
      </c>
      <c r="K117" s="183">
        <f t="shared" si="24"/>
        <v>186</v>
      </c>
      <c r="L117" s="182">
        <v>10</v>
      </c>
      <c r="M117" s="182"/>
      <c r="N117" s="182">
        <f t="shared" si="26"/>
        <v>10</v>
      </c>
      <c r="O117" s="182"/>
      <c r="P117" s="182">
        <f t="shared" si="29"/>
        <v>10</v>
      </c>
      <c r="Q117" s="182"/>
      <c r="R117" s="182">
        <f t="shared" si="30"/>
        <v>-8</v>
      </c>
      <c r="S117" s="182" t="s">
        <v>16</v>
      </c>
      <c r="T117" s="155"/>
      <c r="U117" s="188" t="s">
        <v>17</v>
      </c>
      <c r="V117" s="157"/>
      <c r="W117" s="157"/>
      <c r="X117" s="157"/>
      <c r="Y117" s="148"/>
      <c r="Z117" s="148"/>
      <c r="AA117" s="148"/>
      <c r="AB117" s="148"/>
      <c r="AC117" s="148"/>
      <c r="AD117" s="148"/>
    </row>
    <row r="118" spans="1:30" ht="15.75" customHeight="1">
      <c r="A118" s="149">
        <f t="shared" si="10"/>
        <v>117</v>
      </c>
      <c r="B118" s="179"/>
      <c r="C118" s="179"/>
      <c r="D118" s="180"/>
      <c r="E118" s="181">
        <v>45333</v>
      </c>
      <c r="F118" s="182">
        <v>18</v>
      </c>
      <c r="G118" s="182"/>
      <c r="H118" s="182">
        <f t="shared" si="23"/>
        <v>18</v>
      </c>
      <c r="I118" s="180">
        <v>45519</v>
      </c>
      <c r="J118" s="179">
        <f t="shared" si="25"/>
        <v>8</v>
      </c>
      <c r="K118" s="183">
        <f t="shared" si="24"/>
        <v>186</v>
      </c>
      <c r="L118" s="182">
        <v>10</v>
      </c>
      <c r="M118" s="182"/>
      <c r="N118" s="182">
        <f t="shared" si="26"/>
        <v>10</v>
      </c>
      <c r="O118" s="182"/>
      <c r="P118" s="182">
        <f t="shared" si="29"/>
        <v>10</v>
      </c>
      <c r="Q118" s="182"/>
      <c r="R118" s="182">
        <f t="shared" si="30"/>
        <v>-8</v>
      </c>
      <c r="S118" s="182" t="s">
        <v>16</v>
      </c>
      <c r="T118" s="155"/>
      <c r="U118" s="188" t="s">
        <v>17</v>
      </c>
      <c r="V118" s="157"/>
      <c r="W118" s="157"/>
      <c r="X118" s="157"/>
      <c r="Y118" s="148"/>
      <c r="Z118" s="148"/>
      <c r="AA118" s="148"/>
      <c r="AB118" s="148"/>
      <c r="AC118" s="148"/>
      <c r="AD118" s="148"/>
    </row>
    <row r="119" spans="1:30" ht="15.75" customHeight="1">
      <c r="A119" s="149">
        <f t="shared" si="10"/>
        <v>118</v>
      </c>
      <c r="B119" s="179"/>
      <c r="C119" s="179"/>
      <c r="D119" s="180"/>
      <c r="E119" s="181">
        <v>45438</v>
      </c>
      <c r="F119" s="182">
        <v>10</v>
      </c>
      <c r="G119" s="182"/>
      <c r="H119" s="182">
        <f t="shared" si="23"/>
        <v>10</v>
      </c>
      <c r="I119" s="180">
        <v>45519</v>
      </c>
      <c r="J119" s="179">
        <f t="shared" si="25"/>
        <v>8</v>
      </c>
      <c r="K119" s="183">
        <f t="shared" si="24"/>
        <v>81</v>
      </c>
      <c r="L119" s="182">
        <v>10</v>
      </c>
      <c r="M119" s="182"/>
      <c r="N119" s="182">
        <f t="shared" si="26"/>
        <v>10</v>
      </c>
      <c r="O119" s="182"/>
      <c r="P119" s="182">
        <f t="shared" si="29"/>
        <v>10</v>
      </c>
      <c r="Q119" s="182"/>
      <c r="R119" s="182">
        <f t="shared" si="30"/>
        <v>0</v>
      </c>
      <c r="S119" s="182" t="s">
        <v>16</v>
      </c>
      <c r="T119" s="155"/>
      <c r="U119" s="188" t="s">
        <v>17</v>
      </c>
      <c r="V119" s="157"/>
      <c r="W119" s="157"/>
      <c r="X119" s="157"/>
      <c r="Y119" s="148"/>
      <c r="Z119" s="148"/>
      <c r="AA119" s="148"/>
      <c r="AB119" s="148"/>
      <c r="AC119" s="148"/>
      <c r="AD119" s="148"/>
    </row>
    <row r="120" spans="1:30" ht="15.75" customHeight="1">
      <c r="A120" s="149">
        <f t="shared" si="10"/>
        <v>119</v>
      </c>
      <c r="B120" s="7"/>
      <c r="C120" s="7"/>
      <c r="D120" s="8"/>
      <c r="E120" s="9">
        <v>45431</v>
      </c>
      <c r="F120" s="10">
        <v>5</v>
      </c>
      <c r="G120" s="10"/>
      <c r="H120" s="10">
        <f t="shared" ref="H120:H125" si="31">IF($F120&lt;&gt;"",SUM(F120:G120),"")</f>
        <v>5</v>
      </c>
      <c r="I120" s="8">
        <v>45522</v>
      </c>
      <c r="J120" s="7">
        <f t="shared" si="25"/>
        <v>8</v>
      </c>
      <c r="K120" s="11">
        <f t="shared" ref="K120:K125" si="32">IF($I120&lt;&gt;"",SUM(I120-E120),"")</f>
        <v>91</v>
      </c>
      <c r="L120" s="10">
        <v>70</v>
      </c>
      <c r="M120" s="10">
        <v>25</v>
      </c>
      <c r="N120" s="10">
        <f t="shared" si="26"/>
        <v>95</v>
      </c>
      <c r="O120" s="10">
        <v>10.25</v>
      </c>
      <c r="P120" s="10">
        <f t="shared" si="29"/>
        <v>84.75</v>
      </c>
      <c r="Q120" s="10">
        <v>4.99</v>
      </c>
      <c r="R120" s="10">
        <f t="shared" si="30"/>
        <v>74.760000000000005</v>
      </c>
      <c r="S120" s="10" t="s">
        <v>16</v>
      </c>
      <c r="T120" s="12"/>
      <c r="U120" s="13" t="s">
        <v>17</v>
      </c>
      <c r="V120" s="157"/>
      <c r="W120" s="157"/>
      <c r="X120" s="157"/>
      <c r="Y120" s="148"/>
      <c r="Z120" s="149"/>
      <c r="AA120" s="149"/>
      <c r="AB120" s="148"/>
      <c r="AC120" s="148"/>
      <c r="AD120" s="148"/>
    </row>
    <row r="121" spans="1:30" ht="15.75" customHeight="1">
      <c r="A121" s="149">
        <f t="shared" si="10"/>
        <v>120</v>
      </c>
      <c r="B121" s="7"/>
      <c r="C121" s="7"/>
      <c r="D121" s="8"/>
      <c r="E121" s="9">
        <v>45432</v>
      </c>
      <c r="F121" s="10">
        <v>0</v>
      </c>
      <c r="G121" s="10"/>
      <c r="H121" s="10">
        <f t="shared" si="31"/>
        <v>0</v>
      </c>
      <c r="I121" s="8">
        <v>45522</v>
      </c>
      <c r="J121" s="7">
        <f t="shared" si="25"/>
        <v>8</v>
      </c>
      <c r="K121" s="11">
        <f t="shared" si="32"/>
        <v>90</v>
      </c>
      <c r="L121" s="10">
        <v>10</v>
      </c>
      <c r="M121" s="10">
        <v>10</v>
      </c>
      <c r="N121" s="10">
        <f t="shared" si="26"/>
        <v>20</v>
      </c>
      <c r="O121" s="10">
        <v>2.4300000000000002</v>
      </c>
      <c r="P121" s="10">
        <f t="shared" si="29"/>
        <v>17.57</v>
      </c>
      <c r="Q121" s="10">
        <v>15.49</v>
      </c>
      <c r="R121" s="10">
        <f t="shared" si="30"/>
        <v>2.08</v>
      </c>
      <c r="S121" s="10" t="s">
        <v>16</v>
      </c>
      <c r="T121" s="12"/>
      <c r="U121" s="13" t="s">
        <v>18</v>
      </c>
      <c r="V121" s="157"/>
      <c r="W121" s="157"/>
      <c r="X121" s="157"/>
      <c r="Y121" s="148"/>
      <c r="Z121" s="148"/>
      <c r="AA121" s="148"/>
      <c r="AB121" s="148"/>
      <c r="AC121" s="148"/>
      <c r="AD121" s="148"/>
    </row>
    <row r="122" spans="1:30" ht="15.75" customHeight="1">
      <c r="A122" s="149">
        <f t="shared" si="10"/>
        <v>121</v>
      </c>
      <c r="B122" s="7"/>
      <c r="C122" s="7"/>
      <c r="D122" s="8"/>
      <c r="E122" s="9">
        <v>45333</v>
      </c>
      <c r="F122" s="10">
        <v>18</v>
      </c>
      <c r="G122" s="10"/>
      <c r="H122" s="10">
        <f t="shared" si="31"/>
        <v>18</v>
      </c>
      <c r="I122" s="8">
        <v>45524</v>
      </c>
      <c r="J122" s="7">
        <f t="shared" si="25"/>
        <v>8</v>
      </c>
      <c r="K122" s="11">
        <f t="shared" si="32"/>
        <v>191</v>
      </c>
      <c r="L122" s="10">
        <v>40</v>
      </c>
      <c r="M122" s="10"/>
      <c r="N122" s="10">
        <f t="shared" si="26"/>
        <v>40</v>
      </c>
      <c r="O122" s="10"/>
      <c r="P122" s="10">
        <f t="shared" si="29"/>
        <v>40</v>
      </c>
      <c r="Q122" s="10"/>
      <c r="R122" s="10">
        <f t="shared" si="30"/>
        <v>22</v>
      </c>
      <c r="S122" s="10" t="s">
        <v>19</v>
      </c>
      <c r="T122" s="155"/>
      <c r="U122" s="156" t="s">
        <v>17</v>
      </c>
      <c r="V122" s="157"/>
      <c r="W122" s="157"/>
      <c r="X122" s="157"/>
      <c r="Y122" s="149"/>
      <c r="Z122" s="148"/>
      <c r="AA122" s="148"/>
      <c r="AB122" s="148"/>
      <c r="AC122" s="148"/>
      <c r="AD122" s="148"/>
    </row>
    <row r="123" spans="1:30" ht="15.75" customHeight="1">
      <c r="A123" s="149">
        <f t="shared" si="10"/>
        <v>122</v>
      </c>
      <c r="B123" s="7"/>
      <c r="C123" s="7"/>
      <c r="D123" s="8"/>
      <c r="E123" s="9">
        <v>45421</v>
      </c>
      <c r="F123" s="10">
        <v>0</v>
      </c>
      <c r="G123" s="10"/>
      <c r="H123" s="10">
        <f t="shared" si="31"/>
        <v>0</v>
      </c>
      <c r="I123" s="8">
        <v>45525</v>
      </c>
      <c r="J123" s="7">
        <f t="shared" si="25"/>
        <v>8</v>
      </c>
      <c r="K123" s="11">
        <f t="shared" si="32"/>
        <v>104</v>
      </c>
      <c r="L123" s="10">
        <v>50</v>
      </c>
      <c r="M123" s="10"/>
      <c r="N123" s="10">
        <f t="shared" si="26"/>
        <v>50</v>
      </c>
      <c r="O123" s="10"/>
      <c r="P123" s="10">
        <f t="shared" si="29"/>
        <v>50</v>
      </c>
      <c r="Q123" s="10"/>
      <c r="R123" s="10">
        <f t="shared" si="30"/>
        <v>50</v>
      </c>
      <c r="S123" s="10" t="s">
        <v>19</v>
      </c>
      <c r="T123" s="12"/>
      <c r="U123" s="13" t="s">
        <v>17</v>
      </c>
      <c r="V123" s="157"/>
      <c r="W123" s="157"/>
      <c r="X123" s="157"/>
      <c r="Y123" s="148"/>
      <c r="Z123" s="148"/>
      <c r="AA123" s="148"/>
      <c r="AB123" s="148"/>
      <c r="AC123" s="148"/>
      <c r="AD123" s="148"/>
    </row>
    <row r="124" spans="1:30" ht="15.75" customHeight="1">
      <c r="A124" s="149">
        <f t="shared" si="10"/>
        <v>123</v>
      </c>
      <c r="B124" s="7"/>
      <c r="C124" s="7"/>
      <c r="D124" s="8"/>
      <c r="E124" s="9">
        <v>45508</v>
      </c>
      <c r="F124" s="10">
        <v>20</v>
      </c>
      <c r="G124" s="10"/>
      <c r="H124" s="153">
        <f t="shared" si="31"/>
        <v>20</v>
      </c>
      <c r="I124" s="8">
        <v>45523</v>
      </c>
      <c r="J124" s="7">
        <f t="shared" si="25"/>
        <v>8</v>
      </c>
      <c r="K124" s="11">
        <f t="shared" si="32"/>
        <v>15</v>
      </c>
      <c r="L124" s="10">
        <v>70</v>
      </c>
      <c r="M124" s="10"/>
      <c r="N124" s="10">
        <f t="shared" si="26"/>
        <v>70</v>
      </c>
      <c r="O124" s="10"/>
      <c r="P124" s="10">
        <f t="shared" si="29"/>
        <v>70</v>
      </c>
      <c r="Q124" s="10"/>
      <c r="R124" s="10">
        <f t="shared" si="30"/>
        <v>50</v>
      </c>
      <c r="S124" s="10" t="s">
        <v>19</v>
      </c>
      <c r="T124" s="12"/>
      <c r="U124" s="13" t="s">
        <v>17</v>
      </c>
      <c r="V124" s="14"/>
      <c r="W124" s="157"/>
      <c r="X124" s="157"/>
      <c r="Y124" s="148"/>
      <c r="Z124" s="148"/>
      <c r="AA124" s="148"/>
      <c r="AB124" s="148"/>
      <c r="AC124" s="148"/>
      <c r="AD124" s="148"/>
    </row>
    <row r="125" spans="1:30" ht="15.75" customHeight="1">
      <c r="A125" s="149">
        <f t="shared" si="10"/>
        <v>124</v>
      </c>
      <c r="B125" s="7"/>
      <c r="C125" s="7"/>
      <c r="D125" s="8"/>
      <c r="E125" s="9">
        <v>45508</v>
      </c>
      <c r="F125" s="10">
        <v>20</v>
      </c>
      <c r="G125" s="10"/>
      <c r="H125" s="153">
        <f t="shared" si="31"/>
        <v>20</v>
      </c>
      <c r="I125" s="8">
        <v>45527</v>
      </c>
      <c r="J125" s="7">
        <f t="shared" si="25"/>
        <v>8</v>
      </c>
      <c r="K125" s="11">
        <f t="shared" si="32"/>
        <v>19</v>
      </c>
      <c r="L125" s="10">
        <v>70</v>
      </c>
      <c r="M125" s="10">
        <v>15</v>
      </c>
      <c r="N125" s="10">
        <f t="shared" si="26"/>
        <v>85</v>
      </c>
      <c r="O125" s="10">
        <v>9.2100000000000009</v>
      </c>
      <c r="P125" s="10">
        <f t="shared" si="29"/>
        <v>75.789999999999992</v>
      </c>
      <c r="Q125" s="10">
        <v>4.99</v>
      </c>
      <c r="R125" s="10">
        <f t="shared" si="30"/>
        <v>50.79999999999999</v>
      </c>
      <c r="S125" s="10" t="s">
        <v>16</v>
      </c>
      <c r="T125" s="12"/>
      <c r="U125" s="189" t="s">
        <v>17</v>
      </c>
      <c r="V125" s="14"/>
      <c r="W125" s="14"/>
      <c r="X125" s="157"/>
      <c r="Y125" s="148"/>
      <c r="Z125" s="149"/>
      <c r="AA125" s="149"/>
      <c r="AB125" s="148"/>
      <c r="AC125" s="148"/>
      <c r="AD125" s="148"/>
    </row>
    <row r="126" spans="1:30" ht="15.75" customHeight="1">
      <c r="A126" s="149">
        <f t="shared" si="10"/>
        <v>125</v>
      </c>
      <c r="B126" s="150"/>
      <c r="C126" s="150"/>
      <c r="D126" s="151"/>
      <c r="E126" s="152">
        <v>45508</v>
      </c>
      <c r="F126" s="153">
        <v>40</v>
      </c>
      <c r="G126" s="153">
        <v>30</v>
      </c>
      <c r="H126" s="153">
        <f t="shared" ref="H126:H131" si="33">IF($F126&lt;&gt;"",SUM(F126:G126),"")</f>
        <v>70</v>
      </c>
      <c r="I126" s="151">
        <v>45528</v>
      </c>
      <c r="J126" s="150">
        <f t="shared" ref="J126:J131" si="34">IF(I126="","",MONTH(I126))</f>
        <v>8</v>
      </c>
      <c r="K126" s="154">
        <f t="shared" ref="K126:K131" si="35">IF($I126&lt;&gt;"",SUM(I126-E126),"")</f>
        <v>20</v>
      </c>
      <c r="L126" s="153">
        <v>150</v>
      </c>
      <c r="M126" s="153">
        <v>15</v>
      </c>
      <c r="N126" s="153">
        <f t="shared" ref="N126:N131" si="36">IF($I126&lt;&gt;"",SUM(L126:M126),"")</f>
        <v>165</v>
      </c>
      <c r="O126" s="153">
        <v>4.99</v>
      </c>
      <c r="P126" s="153">
        <f t="shared" ref="P126:P131" si="37">IF(I126="","",N126-O126)</f>
        <v>160.01</v>
      </c>
      <c r="Q126" s="153"/>
      <c r="R126" s="153">
        <f t="shared" ref="R126:R131" si="38">IF(I126="","",P126-H126-Q126)</f>
        <v>90.009999999999991</v>
      </c>
      <c r="S126" s="153" t="s">
        <v>16</v>
      </c>
      <c r="T126" s="155"/>
      <c r="U126" s="156" t="s">
        <v>17</v>
      </c>
      <c r="V126" s="157"/>
      <c r="W126" s="157"/>
      <c r="X126" s="157"/>
      <c r="Y126" s="148"/>
      <c r="Z126" s="149"/>
      <c r="AA126" s="149"/>
      <c r="AB126" s="148"/>
      <c r="AC126" s="148"/>
      <c r="AD126" s="148"/>
    </row>
    <row r="127" spans="1:30" s="148" customFormat="1" ht="15.75" customHeight="1">
      <c r="A127" s="149">
        <f t="shared" si="10"/>
        <v>126</v>
      </c>
      <c r="B127" s="150"/>
      <c r="C127" s="150"/>
      <c r="D127" s="151"/>
      <c r="E127" s="152">
        <v>45508</v>
      </c>
      <c r="F127" s="153">
        <v>10</v>
      </c>
      <c r="G127" s="153"/>
      <c r="H127" s="153">
        <f t="shared" si="33"/>
        <v>10</v>
      </c>
      <c r="I127" s="151">
        <v>45530</v>
      </c>
      <c r="J127" s="150">
        <f t="shared" si="34"/>
        <v>8</v>
      </c>
      <c r="K127" s="154">
        <f t="shared" si="35"/>
        <v>22</v>
      </c>
      <c r="L127" s="153">
        <v>60</v>
      </c>
      <c r="M127" s="153">
        <v>10</v>
      </c>
      <c r="N127" s="153">
        <f t="shared" si="36"/>
        <v>70</v>
      </c>
      <c r="O127" s="153">
        <v>7.65</v>
      </c>
      <c r="P127" s="153">
        <f t="shared" si="37"/>
        <v>62.35</v>
      </c>
      <c r="Q127" s="153">
        <v>9.49</v>
      </c>
      <c r="R127" s="153">
        <f t="shared" si="38"/>
        <v>42.86</v>
      </c>
      <c r="S127" s="153" t="s">
        <v>16</v>
      </c>
      <c r="T127" s="12"/>
      <c r="U127" s="156" t="s">
        <v>17</v>
      </c>
      <c r="V127" s="157"/>
      <c r="W127" s="157"/>
      <c r="X127" s="157"/>
      <c r="Y127" s="149"/>
    </row>
    <row r="128" spans="1:30" ht="15.75" customHeight="1">
      <c r="A128" s="149">
        <f t="shared" si="10"/>
        <v>127</v>
      </c>
      <c r="B128" s="7"/>
      <c r="C128" s="7"/>
      <c r="D128" s="8"/>
      <c r="E128" s="9">
        <v>45508</v>
      </c>
      <c r="F128" s="10">
        <v>0</v>
      </c>
      <c r="G128" s="153"/>
      <c r="H128" s="153">
        <f t="shared" si="33"/>
        <v>0</v>
      </c>
      <c r="I128" s="8">
        <v>45532</v>
      </c>
      <c r="J128" s="7">
        <f t="shared" si="34"/>
        <v>8</v>
      </c>
      <c r="K128" s="11">
        <f t="shared" si="35"/>
        <v>24</v>
      </c>
      <c r="L128" s="10">
        <v>30</v>
      </c>
      <c r="M128" s="10">
        <v>20</v>
      </c>
      <c r="N128" s="10">
        <f t="shared" si="36"/>
        <v>50</v>
      </c>
      <c r="O128" s="10">
        <v>5.57</v>
      </c>
      <c r="P128" s="10">
        <f t="shared" si="37"/>
        <v>44.43</v>
      </c>
      <c r="Q128" s="10">
        <v>4.49</v>
      </c>
      <c r="R128" s="10">
        <f t="shared" si="38"/>
        <v>39.94</v>
      </c>
      <c r="S128" s="10" t="s">
        <v>16</v>
      </c>
      <c r="T128" s="12"/>
      <c r="U128" s="156" t="s">
        <v>17</v>
      </c>
      <c r="V128" s="14"/>
      <c r="W128" s="14"/>
      <c r="X128" s="14"/>
      <c r="Y128" s="149"/>
      <c r="Z128" s="149"/>
      <c r="AA128" s="149"/>
      <c r="AB128" s="148"/>
      <c r="AC128" s="148"/>
      <c r="AD128" s="148"/>
    </row>
    <row r="129" spans="1:30" ht="15.75" customHeight="1">
      <c r="A129" s="149">
        <f t="shared" si="10"/>
        <v>128</v>
      </c>
      <c r="B129" s="150"/>
      <c r="C129" s="150"/>
      <c r="D129" s="151"/>
      <c r="E129" s="152">
        <v>45354</v>
      </c>
      <c r="F129" s="153">
        <v>27</v>
      </c>
      <c r="G129" s="153">
        <v>30</v>
      </c>
      <c r="H129" s="153">
        <f t="shared" si="33"/>
        <v>57</v>
      </c>
      <c r="I129" s="151">
        <v>45532</v>
      </c>
      <c r="J129" s="150">
        <f t="shared" si="34"/>
        <v>8</v>
      </c>
      <c r="K129" s="154">
        <f t="shared" si="35"/>
        <v>178</v>
      </c>
      <c r="L129" s="153">
        <v>180</v>
      </c>
      <c r="M129" s="153"/>
      <c r="N129" s="153">
        <f t="shared" si="36"/>
        <v>180</v>
      </c>
      <c r="O129" s="153"/>
      <c r="P129" s="153">
        <f t="shared" si="37"/>
        <v>180</v>
      </c>
      <c r="Q129" s="153"/>
      <c r="R129" s="153">
        <f t="shared" si="38"/>
        <v>123</v>
      </c>
      <c r="S129" s="153" t="s">
        <v>19</v>
      </c>
      <c r="T129" s="155"/>
      <c r="U129" s="156" t="s">
        <v>17</v>
      </c>
      <c r="V129" s="157"/>
      <c r="W129" s="157"/>
      <c r="X129" s="157"/>
      <c r="Y129" s="148"/>
      <c r="Z129" s="149"/>
      <c r="AA129" s="149"/>
      <c r="AB129" s="148"/>
      <c r="AC129" s="148"/>
      <c r="AD129" s="148"/>
    </row>
    <row r="130" spans="1:30" ht="15.75" customHeight="1">
      <c r="A130" s="149">
        <f t="shared" si="10"/>
        <v>129</v>
      </c>
      <c r="B130" s="7"/>
      <c r="C130" s="7"/>
      <c r="D130" s="8"/>
      <c r="E130" s="9">
        <v>45137</v>
      </c>
      <c r="F130" s="10">
        <v>20</v>
      </c>
      <c r="G130" s="10">
        <v>40</v>
      </c>
      <c r="H130" s="10">
        <f t="shared" si="33"/>
        <v>60</v>
      </c>
      <c r="I130" s="8">
        <v>45533</v>
      </c>
      <c r="J130" s="7">
        <f t="shared" si="34"/>
        <v>8</v>
      </c>
      <c r="K130" s="11">
        <f t="shared" si="35"/>
        <v>396</v>
      </c>
      <c r="L130" s="10">
        <v>100</v>
      </c>
      <c r="M130" s="10">
        <v>40</v>
      </c>
      <c r="N130" s="10">
        <f t="shared" si="36"/>
        <v>140</v>
      </c>
      <c r="O130" s="10">
        <v>14.25</v>
      </c>
      <c r="P130" s="10">
        <f t="shared" si="37"/>
        <v>125.75</v>
      </c>
      <c r="Q130" s="10"/>
      <c r="R130" s="10">
        <f t="shared" si="38"/>
        <v>65.75</v>
      </c>
      <c r="S130" s="10" t="s">
        <v>16</v>
      </c>
      <c r="T130" s="12"/>
      <c r="U130" s="17" t="s">
        <v>97</v>
      </c>
      <c r="V130" s="157"/>
      <c r="W130" s="157"/>
      <c r="X130" s="157"/>
      <c r="Y130" s="149"/>
      <c r="Z130" s="149"/>
      <c r="AA130" s="149"/>
      <c r="AB130" s="148"/>
      <c r="AC130" s="148"/>
      <c r="AD130" s="148"/>
    </row>
    <row r="131" spans="1:30" ht="15.75" customHeight="1">
      <c r="A131" s="149">
        <f t="shared" si="10"/>
        <v>130</v>
      </c>
      <c r="B131" s="150"/>
      <c r="C131" s="190"/>
      <c r="D131" s="151"/>
      <c r="E131" s="152">
        <v>45292</v>
      </c>
      <c r="F131" s="153">
        <v>0</v>
      </c>
      <c r="G131" s="153"/>
      <c r="H131" s="153">
        <f t="shared" si="33"/>
        <v>0</v>
      </c>
      <c r="I131" s="151">
        <v>45534</v>
      </c>
      <c r="J131" s="150">
        <f t="shared" si="34"/>
        <v>8</v>
      </c>
      <c r="K131" s="154">
        <f t="shared" si="35"/>
        <v>242</v>
      </c>
      <c r="L131" s="153">
        <v>40</v>
      </c>
      <c r="M131" s="153">
        <v>20</v>
      </c>
      <c r="N131" s="153">
        <f t="shared" si="36"/>
        <v>60</v>
      </c>
      <c r="O131" s="153">
        <v>6.6</v>
      </c>
      <c r="P131" s="153">
        <f t="shared" si="37"/>
        <v>53.4</v>
      </c>
      <c r="Q131" s="153">
        <v>4.99</v>
      </c>
      <c r="R131" s="153">
        <f t="shared" si="38"/>
        <v>48.41</v>
      </c>
      <c r="S131" s="153" t="s">
        <v>16</v>
      </c>
      <c r="T131" s="12"/>
      <c r="U131" s="156" t="s">
        <v>17</v>
      </c>
      <c r="V131" s="14"/>
      <c r="W131" s="14"/>
      <c r="X131" s="14"/>
      <c r="Y131" s="149"/>
      <c r="Z131" s="149"/>
      <c r="AA131" s="149"/>
      <c r="AB131" s="148"/>
      <c r="AC131" s="148"/>
      <c r="AD131" s="148"/>
    </row>
    <row r="132" spans="1:30" ht="15.75" customHeight="1">
      <c r="A132" s="149">
        <f t="shared" si="10"/>
        <v>131</v>
      </c>
      <c r="B132" s="7"/>
      <c r="C132" s="7"/>
      <c r="D132" s="8"/>
      <c r="E132" s="9">
        <v>45420</v>
      </c>
      <c r="F132" s="10">
        <v>10</v>
      </c>
      <c r="G132" s="10"/>
      <c r="H132" s="10">
        <f t="shared" ref="H132:H137" si="39">IF($F132&lt;&gt;"",SUM(F132:G132),"")</f>
        <v>10</v>
      </c>
      <c r="I132" s="8">
        <v>45535</v>
      </c>
      <c r="J132" s="7">
        <f t="shared" ref="J132:J137" si="40">IF(I132="","",MONTH(I132))</f>
        <v>8</v>
      </c>
      <c r="K132" s="11">
        <f t="shared" ref="K132:K137" si="41">IF($I132&lt;&gt;"",SUM(I132-E132),"")</f>
        <v>115</v>
      </c>
      <c r="L132" s="10">
        <v>70</v>
      </c>
      <c r="M132" s="10">
        <v>10</v>
      </c>
      <c r="N132" s="10">
        <f t="shared" ref="N132:N137" si="42">IF($I132&lt;&gt;"",SUM(L132:M132),"")</f>
        <v>80</v>
      </c>
      <c r="O132" s="10">
        <v>8.69</v>
      </c>
      <c r="P132" s="10">
        <f t="shared" ref="P132:P137" si="43">IF(I132="","",N132-O132)</f>
        <v>71.31</v>
      </c>
      <c r="Q132" s="10">
        <v>9.49</v>
      </c>
      <c r="R132" s="10">
        <f t="shared" ref="R132:R137" si="44">IF(I132="","",P132-H132-Q132)</f>
        <v>51.82</v>
      </c>
      <c r="S132" s="10" t="s">
        <v>16</v>
      </c>
      <c r="T132" s="12"/>
      <c r="U132" s="13" t="s">
        <v>17</v>
      </c>
      <c r="V132" s="157"/>
      <c r="W132" s="157"/>
      <c r="X132" s="157"/>
      <c r="Y132" s="149"/>
      <c r="Z132" s="149"/>
      <c r="AA132" s="149"/>
      <c r="AB132" s="148"/>
      <c r="AC132" s="148"/>
      <c r="AD132" s="148"/>
    </row>
    <row r="133" spans="1:30" ht="15.75" customHeight="1">
      <c r="A133" s="149">
        <f t="shared" si="10"/>
        <v>132</v>
      </c>
      <c r="B133" s="150"/>
      <c r="C133" s="150"/>
      <c r="D133" s="151"/>
      <c r="E133" s="152">
        <v>45508</v>
      </c>
      <c r="F133" s="153">
        <v>5</v>
      </c>
      <c r="G133" s="153">
        <v>40</v>
      </c>
      <c r="H133" s="153">
        <f t="shared" si="39"/>
        <v>45</v>
      </c>
      <c r="I133" s="151">
        <v>45534</v>
      </c>
      <c r="J133" s="150">
        <f t="shared" si="40"/>
        <v>8</v>
      </c>
      <c r="K133" s="154">
        <f t="shared" si="41"/>
        <v>26</v>
      </c>
      <c r="L133" s="153">
        <v>150</v>
      </c>
      <c r="M133" s="153">
        <v>20</v>
      </c>
      <c r="N133" s="153">
        <f t="shared" si="42"/>
        <v>170</v>
      </c>
      <c r="O133" s="153">
        <v>18.07</v>
      </c>
      <c r="P133" s="153">
        <f t="shared" si="43"/>
        <v>151.93</v>
      </c>
      <c r="Q133" s="153">
        <v>4.99</v>
      </c>
      <c r="R133" s="153">
        <f t="shared" si="44"/>
        <v>101.94000000000001</v>
      </c>
      <c r="S133" s="153" t="s">
        <v>16</v>
      </c>
      <c r="T133" s="155"/>
      <c r="U133" s="156" t="s">
        <v>17</v>
      </c>
      <c r="V133" s="157"/>
      <c r="W133" s="157"/>
      <c r="X133" s="14"/>
      <c r="Y133" s="149"/>
      <c r="Z133" s="149"/>
      <c r="AA133" s="149"/>
      <c r="AB133" s="148"/>
      <c r="AC133" s="148"/>
      <c r="AD133" s="148"/>
    </row>
    <row r="134" spans="1:30" ht="15.75" customHeight="1">
      <c r="A134" s="149">
        <f t="shared" si="10"/>
        <v>133</v>
      </c>
      <c r="B134" s="7"/>
      <c r="C134" s="7"/>
      <c r="D134" s="8"/>
      <c r="E134" s="9">
        <v>45165</v>
      </c>
      <c r="F134" s="10">
        <v>0</v>
      </c>
      <c r="G134" s="10"/>
      <c r="H134" s="10">
        <f t="shared" si="39"/>
        <v>0</v>
      </c>
      <c r="I134" s="8">
        <v>45536</v>
      </c>
      <c r="J134" s="7">
        <f t="shared" si="40"/>
        <v>9</v>
      </c>
      <c r="K134" s="11">
        <f t="shared" si="41"/>
        <v>371</v>
      </c>
      <c r="L134" s="10">
        <v>20</v>
      </c>
      <c r="M134" s="10">
        <v>20</v>
      </c>
      <c r="N134" s="10">
        <f t="shared" si="42"/>
        <v>40</v>
      </c>
      <c r="O134" s="10">
        <v>4.5199999999999996</v>
      </c>
      <c r="P134" s="10">
        <f t="shared" si="43"/>
        <v>35.480000000000004</v>
      </c>
      <c r="Q134" s="10">
        <v>4.99</v>
      </c>
      <c r="R134" s="10">
        <f t="shared" si="44"/>
        <v>30.490000000000002</v>
      </c>
      <c r="S134" s="10" t="s">
        <v>16</v>
      </c>
      <c r="T134" s="12"/>
      <c r="U134" s="17" t="s">
        <v>17</v>
      </c>
      <c r="V134" s="157"/>
      <c r="W134" s="157"/>
      <c r="X134" s="157"/>
      <c r="Y134" s="149"/>
      <c r="Z134" s="149"/>
      <c r="AA134" s="149"/>
      <c r="AB134" s="148"/>
      <c r="AC134" s="148"/>
      <c r="AD134" s="148"/>
    </row>
    <row r="135" spans="1:30" ht="15.75" customHeight="1">
      <c r="A135" s="149">
        <f t="shared" si="10"/>
        <v>134</v>
      </c>
      <c r="B135" s="7"/>
      <c r="C135" s="7"/>
      <c r="D135" s="8"/>
      <c r="E135" s="9">
        <v>45508</v>
      </c>
      <c r="F135" s="10">
        <v>15</v>
      </c>
      <c r="G135" s="10"/>
      <c r="H135" s="153">
        <f t="shared" si="39"/>
        <v>15</v>
      </c>
      <c r="I135" s="8">
        <v>45537</v>
      </c>
      <c r="J135" s="7">
        <f t="shared" si="40"/>
        <v>9</v>
      </c>
      <c r="K135" s="11">
        <f t="shared" si="41"/>
        <v>29</v>
      </c>
      <c r="L135" s="10">
        <v>50</v>
      </c>
      <c r="M135" s="10">
        <v>15</v>
      </c>
      <c r="N135" s="10">
        <f t="shared" si="42"/>
        <v>65</v>
      </c>
      <c r="O135" s="10">
        <v>7.13</v>
      </c>
      <c r="P135" s="10">
        <f t="shared" si="43"/>
        <v>57.87</v>
      </c>
      <c r="Q135" s="10">
        <v>4.99</v>
      </c>
      <c r="R135" s="10">
        <f t="shared" si="44"/>
        <v>37.879999999999995</v>
      </c>
      <c r="S135" s="10" t="s">
        <v>16</v>
      </c>
      <c r="T135" s="12"/>
      <c r="U135" s="177" t="s">
        <v>17</v>
      </c>
      <c r="V135" s="14"/>
      <c r="W135" s="14"/>
      <c r="X135" s="14"/>
      <c r="Y135" s="149"/>
      <c r="Z135" s="149"/>
      <c r="AA135" s="149"/>
      <c r="AB135" s="148"/>
      <c r="AC135" s="148"/>
      <c r="AD135" s="148"/>
    </row>
    <row r="136" spans="1:30" ht="15.75" customHeight="1">
      <c r="A136" s="149">
        <f t="shared" si="10"/>
        <v>135</v>
      </c>
      <c r="B136" s="150"/>
      <c r="C136" s="150"/>
      <c r="D136" s="151"/>
      <c r="E136" s="152">
        <v>45508</v>
      </c>
      <c r="F136" s="153">
        <v>10</v>
      </c>
      <c r="G136" s="153">
        <v>27</v>
      </c>
      <c r="H136" s="153">
        <f t="shared" si="39"/>
        <v>37</v>
      </c>
      <c r="I136" s="151">
        <v>45538</v>
      </c>
      <c r="J136" s="150">
        <f t="shared" si="40"/>
        <v>9</v>
      </c>
      <c r="K136" s="154">
        <f t="shared" si="41"/>
        <v>30</v>
      </c>
      <c r="L136" s="153">
        <v>100</v>
      </c>
      <c r="M136" s="153">
        <v>20</v>
      </c>
      <c r="N136" s="153">
        <f t="shared" si="42"/>
        <v>120</v>
      </c>
      <c r="O136" s="153">
        <v>12.85</v>
      </c>
      <c r="P136" s="153">
        <f t="shared" si="43"/>
        <v>107.15</v>
      </c>
      <c r="Q136" s="153">
        <v>14.25</v>
      </c>
      <c r="R136" s="153">
        <f t="shared" si="44"/>
        <v>55.900000000000006</v>
      </c>
      <c r="S136" s="153" t="s">
        <v>16</v>
      </c>
      <c r="T136" s="155"/>
      <c r="U136" s="156" t="s">
        <v>21</v>
      </c>
      <c r="V136" s="14"/>
      <c r="W136" s="14"/>
      <c r="X136" s="157"/>
      <c r="Y136" s="149"/>
      <c r="Z136" s="148"/>
      <c r="AA136" s="148"/>
      <c r="AB136" s="148"/>
      <c r="AC136" s="148"/>
      <c r="AD136" s="148"/>
    </row>
    <row r="137" spans="1:30" s="148" customFormat="1" ht="15.75" customHeight="1">
      <c r="A137" s="149">
        <f t="shared" si="10"/>
        <v>136</v>
      </c>
      <c r="B137" s="7"/>
      <c r="C137" s="7"/>
      <c r="D137" s="8"/>
      <c r="E137" s="9">
        <v>45423</v>
      </c>
      <c r="F137" s="10">
        <v>20</v>
      </c>
      <c r="G137" s="10"/>
      <c r="H137" s="10">
        <f t="shared" si="39"/>
        <v>20</v>
      </c>
      <c r="I137" s="8">
        <v>45539</v>
      </c>
      <c r="J137" s="7">
        <f t="shared" si="40"/>
        <v>9</v>
      </c>
      <c r="K137" s="11">
        <f t="shared" si="41"/>
        <v>116</v>
      </c>
      <c r="L137" s="10">
        <v>160</v>
      </c>
      <c r="M137" s="10"/>
      <c r="N137" s="10">
        <f t="shared" si="42"/>
        <v>160</v>
      </c>
      <c r="O137" s="10"/>
      <c r="P137" s="10">
        <f t="shared" si="43"/>
        <v>160</v>
      </c>
      <c r="Q137" s="10"/>
      <c r="R137" s="10">
        <f t="shared" si="44"/>
        <v>140</v>
      </c>
      <c r="S137" s="10" t="s">
        <v>19</v>
      </c>
      <c r="T137" s="12"/>
      <c r="U137" s="13" t="s">
        <v>17</v>
      </c>
      <c r="V137" s="157"/>
      <c r="W137" s="157"/>
      <c r="X137" s="157"/>
      <c r="Y137" s="149"/>
      <c r="Z137" s="149"/>
      <c r="AA137" s="149"/>
    </row>
    <row r="138" spans="1:30" ht="15.75" customHeight="1">
      <c r="A138" s="149">
        <f t="shared" si="10"/>
        <v>137</v>
      </c>
      <c r="B138" s="150"/>
      <c r="C138" s="150"/>
      <c r="D138" s="151"/>
      <c r="E138" s="152">
        <v>45508</v>
      </c>
      <c r="F138" s="153">
        <v>0</v>
      </c>
      <c r="G138" s="153"/>
      <c r="H138" s="153">
        <f>IF($F138&lt;&gt;"",SUM(F138:G138),"")</f>
        <v>0</v>
      </c>
      <c r="I138" s="151">
        <v>45542</v>
      </c>
      <c r="J138" s="150">
        <f t="shared" ref="J138:J143" si="45">IF(I138="","",MONTH(I138))</f>
        <v>9</v>
      </c>
      <c r="K138" s="154">
        <f t="shared" ref="K138:K143" si="46">IF($I138&lt;&gt;"",SUM(I138-E138),"")</f>
        <v>34</v>
      </c>
      <c r="L138" s="153">
        <v>15</v>
      </c>
      <c r="M138" s="153"/>
      <c r="N138" s="153">
        <f t="shared" ref="N138:N143" si="47">IF($I138&lt;&gt;"",SUM(L138:M138),"")</f>
        <v>15</v>
      </c>
      <c r="O138" s="153"/>
      <c r="P138" s="153">
        <f t="shared" ref="P138:P143" si="48">IF(I138="","",N138-O138)</f>
        <v>15</v>
      </c>
      <c r="Q138" s="153"/>
      <c r="R138" s="153">
        <f t="shared" ref="R138:R143" si="49">IF(I138="","",P138-H138-Q138)</f>
        <v>15</v>
      </c>
      <c r="S138" s="153" t="s">
        <v>19</v>
      </c>
      <c r="T138" s="12"/>
      <c r="U138" s="186" t="s">
        <v>17</v>
      </c>
      <c r="V138" s="14"/>
      <c r="W138" s="14"/>
      <c r="X138" s="157"/>
      <c r="Y138" s="148"/>
      <c r="Z138" s="149"/>
      <c r="AA138" s="149"/>
      <c r="AB138" s="148"/>
      <c r="AC138" s="148"/>
      <c r="AD138" s="148"/>
    </row>
    <row r="139" spans="1:30" ht="15.75" customHeight="1">
      <c r="A139" s="149">
        <f t="shared" si="10"/>
        <v>138</v>
      </c>
      <c r="B139" s="7"/>
      <c r="C139" s="7"/>
      <c r="D139" s="7"/>
      <c r="E139" s="9">
        <v>45081</v>
      </c>
      <c r="F139" s="10">
        <v>20</v>
      </c>
      <c r="G139" s="10"/>
      <c r="H139" s="10">
        <v>20</v>
      </c>
      <c r="I139" s="8">
        <v>45543</v>
      </c>
      <c r="J139" s="7">
        <f t="shared" si="45"/>
        <v>9</v>
      </c>
      <c r="K139" s="11">
        <f t="shared" si="46"/>
        <v>462</v>
      </c>
      <c r="L139" s="10">
        <v>20</v>
      </c>
      <c r="M139" s="10">
        <v>10</v>
      </c>
      <c r="N139" s="10">
        <f t="shared" si="47"/>
        <v>30</v>
      </c>
      <c r="O139" s="10">
        <v>3.48</v>
      </c>
      <c r="P139" s="10">
        <f t="shared" si="48"/>
        <v>26.52</v>
      </c>
      <c r="Q139" s="10">
        <v>9.49</v>
      </c>
      <c r="R139" s="10">
        <f t="shared" si="49"/>
        <v>-2.9700000000000006</v>
      </c>
      <c r="S139" s="10" t="s">
        <v>16</v>
      </c>
      <c r="T139" s="12"/>
      <c r="U139" s="13" t="s">
        <v>17</v>
      </c>
      <c r="V139" s="157"/>
      <c r="W139" s="157"/>
      <c r="X139" s="157"/>
      <c r="Y139" s="149"/>
      <c r="Z139" s="149"/>
      <c r="AA139" s="149"/>
      <c r="AB139" s="148"/>
      <c r="AC139" s="148"/>
      <c r="AD139" s="148"/>
    </row>
    <row r="140" spans="1:30" ht="15.75" customHeight="1">
      <c r="A140" s="149">
        <f t="shared" si="10"/>
        <v>139</v>
      </c>
      <c r="B140" s="7"/>
      <c r="C140" s="7"/>
      <c r="D140" s="8"/>
      <c r="E140" s="9">
        <v>45432</v>
      </c>
      <c r="F140" s="10">
        <v>5</v>
      </c>
      <c r="G140" s="10"/>
      <c r="H140" s="10">
        <f t="shared" ref="H140:H145" si="50">IF($F140&lt;&gt;"",SUM(F140:G140),"")</f>
        <v>5</v>
      </c>
      <c r="I140" s="8">
        <v>45543</v>
      </c>
      <c r="J140" s="7">
        <f t="shared" si="45"/>
        <v>9</v>
      </c>
      <c r="K140" s="11">
        <f t="shared" si="46"/>
        <v>111</v>
      </c>
      <c r="L140" s="10">
        <v>25</v>
      </c>
      <c r="M140" s="10"/>
      <c r="N140" s="10">
        <f t="shared" si="47"/>
        <v>25</v>
      </c>
      <c r="O140" s="10"/>
      <c r="P140" s="10">
        <f t="shared" si="48"/>
        <v>25</v>
      </c>
      <c r="Q140" s="10"/>
      <c r="R140" s="10">
        <f t="shared" si="49"/>
        <v>20</v>
      </c>
      <c r="S140" s="10" t="s">
        <v>19</v>
      </c>
      <c r="T140" s="12"/>
      <c r="U140" s="200" t="s">
        <v>17</v>
      </c>
      <c r="V140" s="157"/>
      <c r="W140" s="157"/>
      <c r="X140" s="14"/>
      <c r="Y140" s="149"/>
      <c r="Z140" s="149"/>
      <c r="AA140" s="149"/>
      <c r="AB140" s="148"/>
      <c r="AC140" s="148"/>
      <c r="AD140" s="148"/>
    </row>
    <row r="141" spans="1:30" ht="15.75" customHeight="1">
      <c r="A141" s="149">
        <f t="shared" si="10"/>
        <v>140</v>
      </c>
      <c r="B141" s="7"/>
      <c r="C141" s="7"/>
      <c r="D141" s="8"/>
      <c r="E141" s="9">
        <v>45508</v>
      </c>
      <c r="F141" s="10">
        <v>10</v>
      </c>
      <c r="G141" s="10"/>
      <c r="H141" s="153">
        <f t="shared" si="50"/>
        <v>10</v>
      </c>
      <c r="I141" s="8">
        <v>45544</v>
      </c>
      <c r="J141" s="7">
        <f t="shared" si="45"/>
        <v>9</v>
      </c>
      <c r="K141" s="11">
        <f t="shared" si="46"/>
        <v>36</v>
      </c>
      <c r="L141" s="10">
        <v>70</v>
      </c>
      <c r="M141" s="10">
        <v>10</v>
      </c>
      <c r="N141" s="10">
        <f t="shared" si="47"/>
        <v>80</v>
      </c>
      <c r="O141" s="10">
        <v>8.69</v>
      </c>
      <c r="P141" s="10">
        <f t="shared" si="48"/>
        <v>71.31</v>
      </c>
      <c r="Q141" s="10">
        <v>9.49</v>
      </c>
      <c r="R141" s="10">
        <f t="shared" si="49"/>
        <v>51.82</v>
      </c>
      <c r="S141" s="10" t="s">
        <v>16</v>
      </c>
      <c r="T141" s="12"/>
      <c r="U141" s="177" t="s">
        <v>17</v>
      </c>
      <c r="V141" s="14"/>
      <c r="W141" s="14"/>
      <c r="X141" s="14"/>
      <c r="Y141" s="149"/>
      <c r="Z141" s="149"/>
      <c r="AA141" s="149"/>
      <c r="AB141" s="148"/>
      <c r="AC141" s="148"/>
      <c r="AD141" s="148"/>
    </row>
    <row r="142" spans="1:30" ht="15.75" customHeight="1">
      <c r="A142" s="149">
        <f t="shared" si="10"/>
        <v>141</v>
      </c>
      <c r="B142" s="150"/>
      <c r="C142" s="150"/>
      <c r="D142" s="151"/>
      <c r="E142" s="152">
        <v>45516</v>
      </c>
      <c r="F142" s="153">
        <v>20</v>
      </c>
      <c r="G142" s="153"/>
      <c r="H142" s="153">
        <f t="shared" si="50"/>
        <v>20</v>
      </c>
      <c r="I142" s="151">
        <v>45548</v>
      </c>
      <c r="J142" s="150">
        <f t="shared" si="45"/>
        <v>9</v>
      </c>
      <c r="K142" s="154">
        <f t="shared" si="46"/>
        <v>32</v>
      </c>
      <c r="L142" s="153">
        <v>140</v>
      </c>
      <c r="M142" s="153">
        <v>10</v>
      </c>
      <c r="N142" s="153">
        <f t="shared" si="47"/>
        <v>150</v>
      </c>
      <c r="O142" s="153">
        <v>15.99</v>
      </c>
      <c r="P142" s="153">
        <f t="shared" si="48"/>
        <v>134.01</v>
      </c>
      <c r="Q142" s="153">
        <v>4.99</v>
      </c>
      <c r="R142" s="153">
        <f t="shared" si="49"/>
        <v>109.02</v>
      </c>
      <c r="S142" s="153" t="s">
        <v>16</v>
      </c>
      <c r="T142" s="12"/>
      <c r="U142" s="13" t="s">
        <v>17</v>
      </c>
      <c r="V142" s="157"/>
      <c r="W142" s="157"/>
      <c r="X142" s="157"/>
      <c r="Y142" s="149"/>
      <c r="Z142" s="149"/>
      <c r="AA142" s="149"/>
      <c r="AB142" s="148"/>
      <c r="AC142" s="148"/>
      <c r="AD142" s="148"/>
    </row>
    <row r="143" spans="1:30" ht="15.75" customHeight="1">
      <c r="A143" s="149">
        <f t="shared" si="10"/>
        <v>142</v>
      </c>
      <c r="B143" s="150"/>
      <c r="C143" s="150"/>
      <c r="D143" s="151"/>
      <c r="E143" s="152">
        <v>45508</v>
      </c>
      <c r="F143" s="153">
        <v>30</v>
      </c>
      <c r="G143" s="153">
        <v>20</v>
      </c>
      <c r="H143" s="153">
        <f t="shared" si="50"/>
        <v>50</v>
      </c>
      <c r="I143" s="151">
        <v>45549</v>
      </c>
      <c r="J143" s="150">
        <f t="shared" si="45"/>
        <v>9</v>
      </c>
      <c r="K143" s="154">
        <f t="shared" si="46"/>
        <v>41</v>
      </c>
      <c r="L143" s="153">
        <v>160</v>
      </c>
      <c r="M143" s="153">
        <v>20</v>
      </c>
      <c r="N143" s="153">
        <f t="shared" si="47"/>
        <v>180</v>
      </c>
      <c r="O143" s="153">
        <v>19.11</v>
      </c>
      <c r="P143" s="153">
        <f t="shared" si="48"/>
        <v>160.88999999999999</v>
      </c>
      <c r="Q143" s="153">
        <v>9.2799999999999994</v>
      </c>
      <c r="R143" s="153">
        <f t="shared" si="49"/>
        <v>101.60999999999999</v>
      </c>
      <c r="S143" s="153" t="s">
        <v>16</v>
      </c>
      <c r="T143" s="155"/>
      <c r="U143" s="156" t="s">
        <v>17</v>
      </c>
      <c r="V143" s="157"/>
      <c r="W143" s="157"/>
      <c r="X143" s="14"/>
      <c r="Y143" s="149"/>
      <c r="Z143" s="149"/>
      <c r="AA143" s="149"/>
      <c r="AB143" s="148"/>
      <c r="AC143" s="148"/>
      <c r="AD143" s="148"/>
    </row>
    <row r="144" spans="1:30" ht="15.75" customHeight="1">
      <c r="A144" s="149">
        <f t="shared" si="10"/>
        <v>143</v>
      </c>
      <c r="B144" s="150"/>
      <c r="C144" s="150"/>
      <c r="D144" s="151"/>
      <c r="E144" s="152">
        <v>45550</v>
      </c>
      <c r="F144" s="153">
        <v>5</v>
      </c>
      <c r="G144" s="153"/>
      <c r="H144" s="153">
        <f t="shared" si="50"/>
        <v>5</v>
      </c>
      <c r="I144" s="151">
        <v>45553</v>
      </c>
      <c r="J144" s="150">
        <f t="shared" ref="J144:J149" si="51">IF(I144="","",MONTH(I144))</f>
        <v>9</v>
      </c>
      <c r="K144" s="154">
        <f t="shared" ref="K144:K149" si="52">IF($I144&lt;&gt;"",SUM(I144-E144),"")</f>
        <v>3</v>
      </c>
      <c r="L144" s="153">
        <v>50</v>
      </c>
      <c r="M144" s="153">
        <v>15</v>
      </c>
      <c r="N144" s="153">
        <f t="shared" ref="N144:N149" si="53">IF($I144&lt;&gt;"",SUM(L144:M144),"")</f>
        <v>65</v>
      </c>
      <c r="O144" s="153">
        <v>7.13</v>
      </c>
      <c r="P144" s="153">
        <f t="shared" ref="P144:P149" si="54">IF(I144="","",N144-O144)</f>
        <v>57.87</v>
      </c>
      <c r="Q144" s="153">
        <v>12.25</v>
      </c>
      <c r="R144" s="153">
        <f t="shared" ref="R144:R149" si="55">IF(I144="","",P144-H144-Q144)</f>
        <v>40.619999999999997</v>
      </c>
      <c r="S144" s="153" t="s">
        <v>16</v>
      </c>
      <c r="T144" s="12"/>
      <c r="U144" s="203" t="s">
        <v>20</v>
      </c>
      <c r="V144" s="14"/>
      <c r="W144" s="14"/>
      <c r="X144" s="14"/>
      <c r="Y144" s="149"/>
      <c r="Z144" s="149"/>
      <c r="AA144" s="149"/>
      <c r="AB144" s="148"/>
      <c r="AC144" s="148"/>
      <c r="AD144" s="148"/>
    </row>
    <row r="145" spans="1:30" ht="15.75" customHeight="1">
      <c r="A145" s="149">
        <f t="shared" si="10"/>
        <v>144</v>
      </c>
      <c r="B145" s="150"/>
      <c r="C145" s="150"/>
      <c r="D145" s="151"/>
      <c r="E145" s="152">
        <v>45550</v>
      </c>
      <c r="F145" s="207">
        <v>10</v>
      </c>
      <c r="G145" s="153"/>
      <c r="H145" s="153">
        <f t="shared" si="50"/>
        <v>10</v>
      </c>
      <c r="I145" s="151">
        <v>45554</v>
      </c>
      <c r="J145" s="150">
        <f t="shared" si="51"/>
        <v>9</v>
      </c>
      <c r="K145" s="154">
        <f t="shared" si="52"/>
        <v>4</v>
      </c>
      <c r="L145" s="153">
        <v>80</v>
      </c>
      <c r="M145" s="153"/>
      <c r="N145" s="153">
        <f t="shared" si="53"/>
        <v>80</v>
      </c>
      <c r="O145" s="153"/>
      <c r="P145" s="153">
        <f t="shared" si="54"/>
        <v>80</v>
      </c>
      <c r="Q145" s="153"/>
      <c r="R145" s="153">
        <f t="shared" si="55"/>
        <v>70</v>
      </c>
      <c r="S145" s="153" t="s">
        <v>19</v>
      </c>
      <c r="T145" s="155"/>
      <c r="U145" s="203" t="s">
        <v>17</v>
      </c>
      <c r="V145" s="14"/>
      <c r="W145" s="14"/>
      <c r="X145" s="14"/>
      <c r="Y145" s="149"/>
      <c r="Z145" s="149"/>
      <c r="AA145" s="149"/>
      <c r="AB145" s="148"/>
      <c r="AC145" s="148"/>
      <c r="AD145" s="148"/>
    </row>
    <row r="146" spans="1:30" ht="15.75" customHeight="1">
      <c r="A146" s="149">
        <f t="shared" si="10"/>
        <v>145</v>
      </c>
      <c r="B146" s="150"/>
      <c r="C146" s="150"/>
      <c r="D146" s="151"/>
      <c r="E146" s="152">
        <v>45550</v>
      </c>
      <c r="F146" s="207">
        <v>0</v>
      </c>
      <c r="G146" s="153"/>
      <c r="H146" s="153">
        <f>IF($F146&lt;&gt;"",SUM(F146:G146),"")</f>
        <v>0</v>
      </c>
      <c r="I146" s="151">
        <v>45555</v>
      </c>
      <c r="J146" s="150">
        <f t="shared" si="51"/>
        <v>9</v>
      </c>
      <c r="K146" s="154">
        <f t="shared" si="52"/>
        <v>5</v>
      </c>
      <c r="L146" s="153">
        <v>50</v>
      </c>
      <c r="M146" s="153"/>
      <c r="N146" s="153">
        <f t="shared" si="53"/>
        <v>50</v>
      </c>
      <c r="O146" s="153"/>
      <c r="P146" s="153">
        <f t="shared" si="54"/>
        <v>50</v>
      </c>
      <c r="Q146" s="153"/>
      <c r="R146" s="153">
        <f t="shared" si="55"/>
        <v>50</v>
      </c>
      <c r="S146" s="153" t="s">
        <v>19</v>
      </c>
      <c r="T146" s="12"/>
      <c r="U146" s="203" t="s">
        <v>17</v>
      </c>
      <c r="V146" s="14"/>
      <c r="W146" s="14"/>
      <c r="X146" s="14"/>
      <c r="Y146" s="149"/>
      <c r="Z146" s="149"/>
      <c r="AA146" s="149"/>
      <c r="AB146" s="148"/>
      <c r="AC146" s="148"/>
      <c r="AD146" s="148"/>
    </row>
    <row r="147" spans="1:30" ht="15.75" customHeight="1">
      <c r="A147" s="149">
        <f t="shared" si="10"/>
        <v>146</v>
      </c>
      <c r="B147" s="150"/>
      <c r="C147" s="150"/>
      <c r="D147" s="151"/>
      <c r="E147" s="152">
        <v>45410</v>
      </c>
      <c r="F147" s="153">
        <v>0</v>
      </c>
      <c r="G147" s="153"/>
      <c r="H147" s="153">
        <f>IF($F147&lt;&gt;"",SUM(F147:G147),"")</f>
        <v>0</v>
      </c>
      <c r="I147" s="151">
        <v>45557</v>
      </c>
      <c r="J147" s="150">
        <f t="shared" si="51"/>
        <v>9</v>
      </c>
      <c r="K147" s="154">
        <f t="shared" si="52"/>
        <v>147</v>
      </c>
      <c r="L147" s="153">
        <v>20</v>
      </c>
      <c r="M147" s="153"/>
      <c r="N147" s="153">
        <f t="shared" si="53"/>
        <v>20</v>
      </c>
      <c r="O147" s="153"/>
      <c r="P147" s="153">
        <f t="shared" si="54"/>
        <v>20</v>
      </c>
      <c r="Q147" s="153"/>
      <c r="R147" s="153">
        <f t="shared" si="55"/>
        <v>20</v>
      </c>
      <c r="S147" s="153" t="s">
        <v>19</v>
      </c>
      <c r="T147" s="12"/>
      <c r="U147" s="210" t="s">
        <v>17</v>
      </c>
      <c r="V147" s="14"/>
      <c r="W147" s="14"/>
      <c r="X147" s="14"/>
      <c r="Y147" s="149"/>
      <c r="Z147" s="149"/>
      <c r="AA147" s="149"/>
      <c r="AB147" s="148"/>
      <c r="AC147" s="148"/>
      <c r="AD147" s="148"/>
    </row>
    <row r="148" spans="1:30" ht="15.75" customHeight="1">
      <c r="A148" s="149">
        <f t="shared" si="10"/>
        <v>147</v>
      </c>
      <c r="B148" s="7"/>
      <c r="C148" s="7"/>
      <c r="D148" s="8"/>
      <c r="E148" s="9">
        <v>45333</v>
      </c>
      <c r="F148" s="10">
        <v>0</v>
      </c>
      <c r="G148" s="10"/>
      <c r="H148" s="10">
        <f>IF($F148&lt;&gt;"",SUM(F148:G148),"")</f>
        <v>0</v>
      </c>
      <c r="I148" s="8">
        <v>45559</v>
      </c>
      <c r="J148" s="7">
        <f t="shared" si="51"/>
        <v>9</v>
      </c>
      <c r="K148" s="11">
        <f t="shared" si="52"/>
        <v>226</v>
      </c>
      <c r="L148" s="10">
        <v>15</v>
      </c>
      <c r="M148" s="10">
        <v>5</v>
      </c>
      <c r="N148" s="10">
        <f t="shared" si="53"/>
        <v>20</v>
      </c>
      <c r="O148" s="10">
        <v>2.4300000000000002</v>
      </c>
      <c r="P148" s="10">
        <f t="shared" si="54"/>
        <v>17.57</v>
      </c>
      <c r="Q148" s="10">
        <v>2.99</v>
      </c>
      <c r="R148" s="10">
        <f t="shared" si="55"/>
        <v>14.58</v>
      </c>
      <c r="S148" s="10" t="s">
        <v>16</v>
      </c>
      <c r="T148" s="12"/>
      <c r="U148" s="214" t="s">
        <v>17</v>
      </c>
      <c r="V148" s="157"/>
      <c r="W148" s="157"/>
      <c r="X148" s="157"/>
      <c r="Y148" s="149"/>
      <c r="Z148" s="149"/>
      <c r="AA148" s="149"/>
      <c r="AB148" s="148"/>
      <c r="AC148" s="148"/>
      <c r="AD148" s="148"/>
    </row>
    <row r="149" spans="1:30" ht="15.75" customHeight="1">
      <c r="A149" s="149">
        <f t="shared" si="10"/>
        <v>148</v>
      </c>
      <c r="B149" s="7"/>
      <c r="C149" s="7"/>
      <c r="D149" s="8"/>
      <c r="E149" s="9">
        <v>45385</v>
      </c>
      <c r="F149" s="10">
        <v>10</v>
      </c>
      <c r="G149" s="10">
        <v>30</v>
      </c>
      <c r="H149" s="10">
        <f>IF($F149&lt;&gt;"",SUM(F149:G149),"")</f>
        <v>40</v>
      </c>
      <c r="I149" s="8">
        <v>45559</v>
      </c>
      <c r="J149" s="7">
        <f t="shared" si="51"/>
        <v>9</v>
      </c>
      <c r="K149" s="11">
        <f t="shared" si="52"/>
        <v>174</v>
      </c>
      <c r="L149" s="10">
        <v>100</v>
      </c>
      <c r="M149" s="10">
        <v>10</v>
      </c>
      <c r="N149" s="10">
        <f t="shared" si="53"/>
        <v>110</v>
      </c>
      <c r="O149" s="10">
        <v>11.82</v>
      </c>
      <c r="P149" s="10">
        <f t="shared" si="54"/>
        <v>98.18</v>
      </c>
      <c r="Q149" s="10">
        <v>9.49</v>
      </c>
      <c r="R149" s="10">
        <f t="shared" si="55"/>
        <v>48.690000000000005</v>
      </c>
      <c r="S149" s="10" t="s">
        <v>16</v>
      </c>
      <c r="T149" s="12"/>
      <c r="U149" s="214" t="s">
        <v>17</v>
      </c>
      <c r="V149" s="157"/>
      <c r="W149" s="157"/>
      <c r="X149" s="157"/>
      <c r="Y149" s="149"/>
      <c r="Z149" s="149"/>
      <c r="AA149" s="149"/>
      <c r="AB149" s="148"/>
      <c r="AC149" s="148"/>
      <c r="AD149" s="148"/>
    </row>
    <row r="150" spans="1:30" s="148" customFormat="1" ht="15.75" customHeight="1">
      <c r="A150" s="149">
        <f t="shared" si="10"/>
        <v>149</v>
      </c>
      <c r="B150" s="150"/>
      <c r="C150" s="150"/>
      <c r="D150" s="151"/>
      <c r="E150" s="152">
        <v>37523</v>
      </c>
      <c r="F150" s="153">
        <v>150</v>
      </c>
      <c r="G150" s="153"/>
      <c r="H150" s="153">
        <f>IF($F150&lt;&gt;"",SUM(F150:G150),"")</f>
        <v>150</v>
      </c>
      <c r="I150" s="151">
        <v>45560</v>
      </c>
      <c r="J150" s="150">
        <f t="shared" ref="J150:J155" si="56">IF(I150="","",MONTH(I150))</f>
        <v>9</v>
      </c>
      <c r="K150" s="154">
        <f t="shared" ref="K150:K155" si="57">IF($I150&lt;&gt;"",SUM(I150-E150),"")</f>
        <v>8037</v>
      </c>
      <c r="L150" s="153">
        <v>300</v>
      </c>
      <c r="M150" s="153">
        <v>40</v>
      </c>
      <c r="N150" s="153">
        <f t="shared" ref="N150:N155" si="58">IF($I150&lt;&gt;"",SUM(L150:M150),"")</f>
        <v>340</v>
      </c>
      <c r="O150" s="153">
        <v>42.31</v>
      </c>
      <c r="P150" s="153">
        <f t="shared" ref="P150:P155" si="59">IF(I150="","",N150-O150)</f>
        <v>297.69</v>
      </c>
      <c r="Q150" s="153">
        <v>14.25</v>
      </c>
      <c r="R150" s="153">
        <f t="shared" ref="R150:R155" si="60">IF(I150="","",P150-H150-Q150)</f>
        <v>133.44</v>
      </c>
      <c r="S150" s="153" t="s">
        <v>16</v>
      </c>
      <c r="T150" s="155"/>
      <c r="U150" s="211" t="s">
        <v>103</v>
      </c>
      <c r="V150" s="14"/>
      <c r="W150" s="14"/>
      <c r="X150" s="14"/>
      <c r="Y150" s="149"/>
      <c r="Z150" s="149"/>
      <c r="AA150" s="149"/>
    </row>
    <row r="151" spans="1:30" ht="15.75" customHeight="1">
      <c r="A151" s="149">
        <f t="shared" si="10"/>
        <v>150</v>
      </c>
      <c r="B151" s="215"/>
      <c r="C151" s="215"/>
      <c r="D151" s="216"/>
      <c r="E151" s="217">
        <v>37523</v>
      </c>
      <c r="F151" s="218">
        <v>0</v>
      </c>
      <c r="G151" s="218"/>
      <c r="H151" s="218">
        <f>IF($L151&lt;&gt;"",SUM(F151:G151),"")</f>
        <v>0</v>
      </c>
      <c r="I151" s="216">
        <v>45561</v>
      </c>
      <c r="J151" s="215">
        <f t="shared" si="56"/>
        <v>9</v>
      </c>
      <c r="K151" s="219">
        <f t="shared" si="57"/>
        <v>8038</v>
      </c>
      <c r="L151" s="218">
        <v>80</v>
      </c>
      <c r="M151" s="218"/>
      <c r="N151" s="218">
        <f t="shared" si="58"/>
        <v>80</v>
      </c>
      <c r="O151" s="218"/>
      <c r="P151" s="218">
        <f t="shared" si="59"/>
        <v>80</v>
      </c>
      <c r="Q151" s="218"/>
      <c r="R151" s="218">
        <f t="shared" si="60"/>
        <v>80</v>
      </c>
      <c r="S151" s="218" t="s">
        <v>19</v>
      </c>
      <c r="T151" s="155"/>
      <c r="U151" s="211" t="s">
        <v>17</v>
      </c>
      <c r="V151" s="14"/>
      <c r="W151" s="14"/>
      <c r="X151" s="14"/>
      <c r="Y151" s="149"/>
      <c r="Z151" s="149"/>
      <c r="AA151" s="149"/>
      <c r="AB151" s="148"/>
      <c r="AC151" s="148"/>
      <c r="AD151" s="148"/>
    </row>
    <row r="152" spans="1:30" s="148" customFormat="1" ht="15.75" customHeight="1">
      <c r="A152" s="149">
        <f t="shared" si="10"/>
        <v>151</v>
      </c>
      <c r="B152" s="150"/>
      <c r="C152" s="150"/>
      <c r="D152" s="151"/>
      <c r="E152" s="152">
        <v>45559</v>
      </c>
      <c r="F152" s="153">
        <v>0</v>
      </c>
      <c r="G152" s="153"/>
      <c r="H152" s="153">
        <f>IF($F152&lt;&gt;"",SUM(F152:G152),"")</f>
        <v>0</v>
      </c>
      <c r="I152" s="151">
        <v>45561</v>
      </c>
      <c r="J152" s="150">
        <f t="shared" si="56"/>
        <v>9</v>
      </c>
      <c r="K152" s="154">
        <f t="shared" si="57"/>
        <v>2</v>
      </c>
      <c r="L152" s="153">
        <v>60</v>
      </c>
      <c r="M152" s="153">
        <v>10</v>
      </c>
      <c r="N152" s="153">
        <f t="shared" si="58"/>
        <v>70</v>
      </c>
      <c r="O152" s="153">
        <v>7.65</v>
      </c>
      <c r="P152" s="153">
        <f t="shared" si="59"/>
        <v>62.35</v>
      </c>
      <c r="Q152" s="153">
        <v>13.49</v>
      </c>
      <c r="R152" s="153">
        <f t="shared" si="60"/>
        <v>48.86</v>
      </c>
      <c r="S152" s="153" t="s">
        <v>16</v>
      </c>
      <c r="T152" s="12"/>
      <c r="U152" s="210" t="s">
        <v>20</v>
      </c>
      <c r="V152" s="14"/>
      <c r="W152" s="14"/>
      <c r="X152" s="14"/>
      <c r="Y152" s="149"/>
      <c r="Z152" s="149"/>
      <c r="AA152" s="149"/>
    </row>
    <row r="153" spans="1:30" ht="15.75" customHeight="1">
      <c r="A153" s="149">
        <f t="shared" si="10"/>
        <v>152</v>
      </c>
      <c r="B153" s="7"/>
      <c r="C153" s="7"/>
      <c r="D153" s="8"/>
      <c r="E153" s="9">
        <v>45165</v>
      </c>
      <c r="F153" s="10">
        <v>10</v>
      </c>
      <c r="G153" s="10"/>
      <c r="H153" s="10">
        <f>IF($F153&lt;&gt;"",SUM(F153:G153),"")</f>
        <v>10</v>
      </c>
      <c r="I153" s="8">
        <v>45562</v>
      </c>
      <c r="J153" s="7">
        <f t="shared" si="56"/>
        <v>9</v>
      </c>
      <c r="K153" s="11">
        <f t="shared" si="57"/>
        <v>397</v>
      </c>
      <c r="L153" s="10">
        <v>60</v>
      </c>
      <c r="M153" s="10">
        <v>20</v>
      </c>
      <c r="N153" s="10">
        <f t="shared" si="58"/>
        <v>80</v>
      </c>
      <c r="O153" s="10">
        <v>8.69</v>
      </c>
      <c r="P153" s="10">
        <f t="shared" si="59"/>
        <v>71.31</v>
      </c>
      <c r="Q153" s="10">
        <v>14.25</v>
      </c>
      <c r="R153" s="10">
        <f t="shared" si="60"/>
        <v>47.06</v>
      </c>
      <c r="S153" s="10" t="s">
        <v>16</v>
      </c>
      <c r="T153" s="12"/>
      <c r="U153" s="17" t="s">
        <v>20</v>
      </c>
      <c r="V153" s="157"/>
      <c r="W153" s="157"/>
      <c r="X153" s="157"/>
      <c r="Y153" s="149"/>
      <c r="Z153" s="149"/>
      <c r="AA153" s="149"/>
      <c r="AB153" s="148"/>
      <c r="AC153" s="148"/>
      <c r="AD153" s="148"/>
    </row>
    <row r="154" spans="1:30" ht="15.75" customHeight="1">
      <c r="A154" s="149">
        <f t="shared" si="10"/>
        <v>153</v>
      </c>
      <c r="B154" s="150"/>
      <c r="C154" s="150"/>
      <c r="D154" s="151"/>
      <c r="E154" s="152">
        <v>45459</v>
      </c>
      <c r="F154" s="153">
        <v>20</v>
      </c>
      <c r="G154" s="153">
        <v>67</v>
      </c>
      <c r="H154" s="153">
        <f>IF($F154&lt;&gt;"",SUM(F154:G154),"")</f>
        <v>87</v>
      </c>
      <c r="I154" s="151">
        <v>45561</v>
      </c>
      <c r="J154" s="150">
        <f t="shared" si="56"/>
        <v>9</v>
      </c>
      <c r="K154" s="154">
        <f t="shared" si="57"/>
        <v>102</v>
      </c>
      <c r="L154" s="153">
        <v>170</v>
      </c>
      <c r="M154" s="153">
        <v>20</v>
      </c>
      <c r="N154" s="153">
        <f t="shared" si="58"/>
        <v>190</v>
      </c>
      <c r="O154" s="153">
        <v>20.149999999999999</v>
      </c>
      <c r="P154" s="153">
        <f t="shared" si="59"/>
        <v>169.85</v>
      </c>
      <c r="Q154" s="153">
        <v>9.98</v>
      </c>
      <c r="R154" s="153">
        <f t="shared" si="60"/>
        <v>72.86999999999999</v>
      </c>
      <c r="S154" s="153" t="s">
        <v>16</v>
      </c>
      <c r="T154" s="155"/>
      <c r="U154" s="156" t="s">
        <v>17</v>
      </c>
      <c r="V154" s="14"/>
      <c r="W154" s="14"/>
      <c r="X154" s="14"/>
      <c r="Y154" s="149"/>
      <c r="Z154" s="149"/>
      <c r="AA154" s="149"/>
      <c r="AB154" s="148"/>
      <c r="AC154" s="148"/>
      <c r="AD154" s="148"/>
    </row>
    <row r="155" spans="1:30" ht="15.75" customHeight="1">
      <c r="A155" s="149">
        <f t="shared" si="10"/>
        <v>154</v>
      </c>
      <c r="B155" s="150"/>
      <c r="C155" s="150"/>
      <c r="D155" s="151"/>
      <c r="E155" s="152">
        <v>45403</v>
      </c>
      <c r="F155" s="153">
        <v>20</v>
      </c>
      <c r="G155" s="153"/>
      <c r="H155" s="153">
        <v>30</v>
      </c>
      <c r="I155" s="151">
        <v>45562</v>
      </c>
      <c r="J155" s="150">
        <f t="shared" si="56"/>
        <v>9</v>
      </c>
      <c r="K155" s="154">
        <f t="shared" si="57"/>
        <v>159</v>
      </c>
      <c r="L155" s="153">
        <v>100</v>
      </c>
      <c r="M155" s="153">
        <v>15</v>
      </c>
      <c r="N155" s="153">
        <f t="shared" si="58"/>
        <v>115</v>
      </c>
      <c r="O155" s="153">
        <v>12.33</v>
      </c>
      <c r="P155" s="153">
        <f t="shared" si="59"/>
        <v>102.67</v>
      </c>
      <c r="Q155" s="153">
        <v>30</v>
      </c>
      <c r="R155" s="153">
        <f t="shared" si="60"/>
        <v>42.67</v>
      </c>
      <c r="S155" s="153" t="s">
        <v>16</v>
      </c>
      <c r="T155" s="155"/>
      <c r="U155" s="156" t="s">
        <v>17</v>
      </c>
      <c r="V155" s="157"/>
      <c r="W155" s="157"/>
      <c r="X155" s="157"/>
      <c r="Y155" s="149"/>
      <c r="Z155" s="149"/>
      <c r="AA155" s="149"/>
      <c r="AB155" s="148"/>
      <c r="AC155" s="148"/>
      <c r="AD155" s="148"/>
    </row>
    <row r="156" spans="1:30" s="148" customFormat="1" ht="15.75" customHeight="1">
      <c r="A156" s="149">
        <f t="shared" si="10"/>
        <v>155</v>
      </c>
      <c r="B156" s="150"/>
      <c r="C156" s="150"/>
      <c r="D156" s="151"/>
      <c r="E156" s="152">
        <v>37523</v>
      </c>
      <c r="F156" s="153">
        <v>0</v>
      </c>
      <c r="G156" s="153"/>
      <c r="H156" s="153">
        <f>IF($F156&lt;&gt;"",SUM(F156:G156),"")</f>
        <v>0</v>
      </c>
      <c r="I156" s="151">
        <v>45587</v>
      </c>
      <c r="J156" s="150">
        <f t="shared" ref="J156:J161" si="61">IF(I156="","",MONTH(I156))</f>
        <v>10</v>
      </c>
      <c r="K156" s="154">
        <f t="shared" ref="K156:K161" si="62">IF($I156&lt;&gt;"",SUM(I156-E156),"")</f>
        <v>8064</v>
      </c>
      <c r="L156" s="153">
        <v>60</v>
      </c>
      <c r="M156" s="153">
        <v>30</v>
      </c>
      <c r="N156" s="153">
        <f t="shared" ref="N156:N161" si="63">IF($I156&lt;&gt;"",SUM(L156:M156),"")</f>
        <v>90</v>
      </c>
      <c r="O156" s="153">
        <v>9.73</v>
      </c>
      <c r="P156" s="153">
        <f t="shared" ref="P156:P161" si="64">IF(I156="","",N156-O156)</f>
        <v>80.27</v>
      </c>
      <c r="Q156" s="153">
        <v>14.25</v>
      </c>
      <c r="R156" s="153">
        <f t="shared" ref="R156:R161" si="65">IF(I156="","",P156-H156-Q156)</f>
        <v>66.02</v>
      </c>
      <c r="S156" s="153" t="s">
        <v>16</v>
      </c>
      <c r="T156" s="155"/>
      <c r="U156" s="156" t="s">
        <v>104</v>
      </c>
      <c r="V156" s="157"/>
      <c r="W156" s="157"/>
      <c r="X156" s="157"/>
      <c r="Y156" s="149"/>
      <c r="Z156" s="149"/>
      <c r="AA156" s="149"/>
    </row>
    <row r="157" spans="1:30" ht="15.75" customHeight="1">
      <c r="A157" s="149">
        <f t="shared" si="10"/>
        <v>156</v>
      </c>
      <c r="B157" s="150"/>
      <c r="C157" s="150"/>
      <c r="D157" s="151"/>
      <c r="E157" s="152">
        <v>45585</v>
      </c>
      <c r="F157" s="153">
        <v>30</v>
      </c>
      <c r="G157" s="153"/>
      <c r="H157" s="153">
        <f>IF($F157&lt;&gt;"",SUM(F157:G157),"")</f>
        <v>30</v>
      </c>
      <c r="I157" s="151">
        <v>45588</v>
      </c>
      <c r="J157" s="150">
        <f t="shared" si="61"/>
        <v>10</v>
      </c>
      <c r="K157" s="154">
        <f t="shared" si="62"/>
        <v>3</v>
      </c>
      <c r="L157" s="153">
        <v>110</v>
      </c>
      <c r="M157" s="153"/>
      <c r="N157" s="153">
        <f t="shared" si="63"/>
        <v>110</v>
      </c>
      <c r="O157" s="153"/>
      <c r="P157" s="153">
        <f t="shared" si="64"/>
        <v>110</v>
      </c>
      <c r="Q157" s="153"/>
      <c r="R157" s="153">
        <f t="shared" si="65"/>
        <v>80</v>
      </c>
      <c r="S157" s="153" t="s">
        <v>19</v>
      </c>
      <c r="T157" s="12"/>
      <c r="U157" s="222" t="s">
        <v>17</v>
      </c>
      <c r="V157" s="14"/>
      <c r="W157" s="14"/>
      <c r="X157" s="14"/>
      <c r="Y157" s="149"/>
      <c r="Z157" s="149"/>
      <c r="AA157" s="149"/>
      <c r="AB157" s="148"/>
      <c r="AC157" s="148"/>
      <c r="AD157" s="148"/>
    </row>
    <row r="158" spans="1:30" ht="15.75" customHeight="1">
      <c r="A158" s="149">
        <f t="shared" si="10"/>
        <v>157</v>
      </c>
      <c r="B158" s="150"/>
      <c r="C158" s="150"/>
      <c r="D158" s="151"/>
      <c r="E158" s="152">
        <v>45508</v>
      </c>
      <c r="F158" s="153">
        <v>30</v>
      </c>
      <c r="G158" s="153"/>
      <c r="H158" s="153">
        <f>IF($F158&lt;&gt;"",SUM(F158:G158),"")</f>
        <v>30</v>
      </c>
      <c r="I158" s="151">
        <v>45590</v>
      </c>
      <c r="J158" s="150">
        <f t="shared" si="61"/>
        <v>10</v>
      </c>
      <c r="K158" s="154">
        <f t="shared" si="62"/>
        <v>82</v>
      </c>
      <c r="L158" s="153">
        <v>50</v>
      </c>
      <c r="M158" s="153">
        <v>10</v>
      </c>
      <c r="N158" s="153">
        <f t="shared" si="63"/>
        <v>60</v>
      </c>
      <c r="O158" s="153">
        <v>6.6</v>
      </c>
      <c r="P158" s="153">
        <f t="shared" si="64"/>
        <v>53.4</v>
      </c>
      <c r="Q158" s="153">
        <v>4.99</v>
      </c>
      <c r="R158" s="153">
        <f t="shared" si="65"/>
        <v>18.409999999999997</v>
      </c>
      <c r="S158" s="153" t="s">
        <v>16</v>
      </c>
      <c r="T158" s="155"/>
      <c r="U158" s="156" t="s">
        <v>17</v>
      </c>
      <c r="V158" s="14"/>
      <c r="W158" s="14"/>
      <c r="X158" s="14"/>
      <c r="Y158" s="149"/>
      <c r="Z158" s="149"/>
      <c r="AA158" s="149"/>
      <c r="AB158" s="148"/>
      <c r="AC158" s="148"/>
      <c r="AD158" s="148"/>
    </row>
    <row r="159" spans="1:30" ht="15.75" customHeight="1">
      <c r="A159" s="149">
        <f t="shared" si="10"/>
        <v>158</v>
      </c>
      <c r="B159" s="150"/>
      <c r="C159" s="150"/>
      <c r="D159" s="151"/>
      <c r="E159" s="152">
        <v>45550</v>
      </c>
      <c r="F159" s="207">
        <v>40</v>
      </c>
      <c r="G159" s="153">
        <v>30</v>
      </c>
      <c r="H159" s="153">
        <f>IF($F159&lt;&gt;"",SUM(F159:G159),"")</f>
        <v>70</v>
      </c>
      <c r="I159" s="151">
        <v>45589</v>
      </c>
      <c r="J159" s="150">
        <f t="shared" si="61"/>
        <v>10</v>
      </c>
      <c r="K159" s="154">
        <f t="shared" si="62"/>
        <v>39</v>
      </c>
      <c r="L159" s="153">
        <v>120</v>
      </c>
      <c r="M159" s="153">
        <v>25</v>
      </c>
      <c r="N159" s="153">
        <f t="shared" si="63"/>
        <v>145</v>
      </c>
      <c r="O159" s="153">
        <v>15.46</v>
      </c>
      <c r="P159" s="153">
        <f t="shared" si="64"/>
        <v>129.54</v>
      </c>
      <c r="Q159" s="153">
        <v>4.99</v>
      </c>
      <c r="R159" s="153">
        <f t="shared" si="65"/>
        <v>54.54999999999999</v>
      </c>
      <c r="S159" s="153" t="s">
        <v>16</v>
      </c>
      <c r="T159" s="155"/>
      <c r="U159" s="156" t="s">
        <v>17</v>
      </c>
      <c r="V159" s="157"/>
      <c r="W159" s="157"/>
      <c r="X159" s="157"/>
      <c r="Y159" s="149"/>
      <c r="Z159" s="149"/>
      <c r="AA159" s="149"/>
      <c r="AB159" s="148"/>
      <c r="AC159" s="148"/>
      <c r="AD159" s="148"/>
    </row>
    <row r="160" spans="1:30" ht="15.75" customHeight="1">
      <c r="A160" s="149">
        <f t="shared" ref="A160:A229" si="66">A159+1</f>
        <v>159</v>
      </c>
      <c r="B160" s="150"/>
      <c r="C160" s="150"/>
      <c r="D160" s="151"/>
      <c r="E160" s="152">
        <v>45523</v>
      </c>
      <c r="F160" s="153">
        <v>10</v>
      </c>
      <c r="G160" s="153"/>
      <c r="H160" s="153">
        <v>10</v>
      </c>
      <c r="I160" s="151">
        <v>45589</v>
      </c>
      <c r="J160" s="150">
        <f t="shared" si="61"/>
        <v>10</v>
      </c>
      <c r="K160" s="154">
        <f t="shared" si="62"/>
        <v>66</v>
      </c>
      <c r="L160" s="153">
        <v>30</v>
      </c>
      <c r="M160" s="153"/>
      <c r="N160" s="153">
        <f t="shared" si="63"/>
        <v>30</v>
      </c>
      <c r="O160" s="153"/>
      <c r="P160" s="153">
        <f t="shared" si="64"/>
        <v>30</v>
      </c>
      <c r="Q160" s="153"/>
      <c r="R160" s="153">
        <f t="shared" si="65"/>
        <v>20</v>
      </c>
      <c r="S160" s="153" t="s">
        <v>19</v>
      </c>
      <c r="T160" s="155"/>
      <c r="U160" s="156" t="s">
        <v>17</v>
      </c>
      <c r="V160" s="157"/>
      <c r="W160" s="157"/>
      <c r="X160" s="157"/>
      <c r="Y160" s="149"/>
      <c r="Z160" s="149"/>
      <c r="AA160" s="149"/>
      <c r="AB160" s="148"/>
      <c r="AC160" s="148"/>
      <c r="AD160" s="148"/>
    </row>
    <row r="161" spans="1:30" ht="15.75" customHeight="1">
      <c r="A161" s="149">
        <f t="shared" si="66"/>
        <v>160</v>
      </c>
      <c r="B161" s="7"/>
      <c r="C161" s="7"/>
      <c r="D161" s="8"/>
      <c r="E161" s="9">
        <v>45458</v>
      </c>
      <c r="F161" s="10">
        <v>20</v>
      </c>
      <c r="G161" s="10"/>
      <c r="H161" s="153">
        <f>IF($F161&lt;&gt;"",SUM(F161:G161),"")</f>
        <v>20</v>
      </c>
      <c r="I161" s="8">
        <v>45539</v>
      </c>
      <c r="J161" s="7">
        <f t="shared" si="61"/>
        <v>9</v>
      </c>
      <c r="K161" s="11">
        <f t="shared" si="62"/>
        <v>81</v>
      </c>
      <c r="L161" s="10">
        <v>35</v>
      </c>
      <c r="M161" s="10">
        <v>10</v>
      </c>
      <c r="N161" s="10">
        <f t="shared" si="63"/>
        <v>45</v>
      </c>
      <c r="O161" s="10">
        <v>5.04</v>
      </c>
      <c r="P161" s="10">
        <f t="shared" si="64"/>
        <v>39.96</v>
      </c>
      <c r="Q161" s="10">
        <v>4.99</v>
      </c>
      <c r="R161" s="10">
        <f t="shared" si="65"/>
        <v>14.97</v>
      </c>
      <c r="S161" s="10" t="s">
        <v>16</v>
      </c>
      <c r="T161" s="12"/>
      <c r="U161" s="156" t="s">
        <v>17</v>
      </c>
      <c r="V161" s="14"/>
      <c r="W161" s="14"/>
      <c r="X161" s="14"/>
      <c r="Y161" s="149"/>
      <c r="Z161" s="149"/>
      <c r="AA161" s="149"/>
      <c r="AB161" s="148"/>
      <c r="AC161" s="148"/>
      <c r="AD161" s="148"/>
    </row>
    <row r="162" spans="1:30" ht="15.75" customHeight="1">
      <c r="A162" s="149">
        <f t="shared" si="66"/>
        <v>161</v>
      </c>
      <c r="B162" s="150"/>
      <c r="C162" s="150"/>
      <c r="D162" s="151"/>
      <c r="E162" s="152">
        <v>45523</v>
      </c>
      <c r="F162" s="153">
        <v>0</v>
      </c>
      <c r="G162" s="153"/>
      <c r="H162" s="153">
        <f>IF($F162&lt;&gt;"",SUM(F162:G162),"")</f>
        <v>0</v>
      </c>
      <c r="I162" s="151">
        <v>45596</v>
      </c>
      <c r="J162" s="150">
        <f t="shared" ref="J162:J167" si="67">IF(I162="","",MONTH(I162))</f>
        <v>10</v>
      </c>
      <c r="K162" s="154">
        <f t="shared" ref="K162:K167" si="68">IF($I162&lt;&gt;"",SUM(I162-E162),"")</f>
        <v>73</v>
      </c>
      <c r="L162" s="153">
        <v>130</v>
      </c>
      <c r="M162" s="153">
        <v>20</v>
      </c>
      <c r="N162" s="153">
        <f t="shared" ref="N162:N167" si="69">IF($I162&lt;&gt;"",SUM(L162:M162),"")</f>
        <v>150</v>
      </c>
      <c r="O162" s="153">
        <v>15.99</v>
      </c>
      <c r="P162" s="153">
        <f t="shared" ref="P162:P167" si="70">IF(I162="","",N162-O162)</f>
        <v>134.01</v>
      </c>
      <c r="Q162" s="153">
        <v>4.99</v>
      </c>
      <c r="R162" s="153">
        <f t="shared" ref="R162:R167" si="71">IF(I162="","",P162-H162-Q162)</f>
        <v>129.01999999999998</v>
      </c>
      <c r="S162" s="153" t="s">
        <v>16</v>
      </c>
      <c r="T162" s="12"/>
      <c r="U162" s="186" t="s">
        <v>17</v>
      </c>
      <c r="V162" s="157"/>
      <c r="W162" s="157"/>
      <c r="X162" s="157"/>
      <c r="Y162" s="149"/>
      <c r="Z162" s="149"/>
      <c r="AA162" s="149"/>
      <c r="AB162" s="148"/>
      <c r="AC162" s="148"/>
      <c r="AD162" s="148"/>
    </row>
    <row r="163" spans="1:30" ht="15.75" customHeight="1">
      <c r="A163" s="149">
        <f t="shared" si="66"/>
        <v>162</v>
      </c>
      <c r="B163" s="7"/>
      <c r="C163" s="7"/>
      <c r="D163" s="8"/>
      <c r="E163" s="9">
        <v>45459</v>
      </c>
      <c r="F163" s="10">
        <v>30</v>
      </c>
      <c r="G163" s="10"/>
      <c r="H163" s="10">
        <f>IF($F163&lt;&gt;"",SUM(F163:G163),"")</f>
        <v>30</v>
      </c>
      <c r="I163" s="8">
        <v>45597</v>
      </c>
      <c r="J163" s="7">
        <f t="shared" si="67"/>
        <v>11</v>
      </c>
      <c r="K163" s="11">
        <f t="shared" si="68"/>
        <v>138</v>
      </c>
      <c r="L163" s="10">
        <v>80</v>
      </c>
      <c r="M163" s="10">
        <v>15</v>
      </c>
      <c r="N163" s="10">
        <f t="shared" si="69"/>
        <v>95</v>
      </c>
      <c r="O163" s="10">
        <v>10.25</v>
      </c>
      <c r="P163" s="10">
        <f t="shared" si="70"/>
        <v>84.75</v>
      </c>
      <c r="Q163" s="10">
        <v>9.49</v>
      </c>
      <c r="R163" s="10">
        <f t="shared" si="71"/>
        <v>45.26</v>
      </c>
      <c r="S163" s="10" t="s">
        <v>16</v>
      </c>
      <c r="T163" s="155"/>
      <c r="U163" s="156" t="s">
        <v>17</v>
      </c>
      <c r="V163" s="157"/>
      <c r="W163" s="14"/>
      <c r="X163" s="14"/>
      <c r="Y163" s="149"/>
      <c r="Z163" s="149"/>
      <c r="AA163" s="149"/>
      <c r="AB163" s="148"/>
      <c r="AC163" s="148"/>
      <c r="AD163" s="148"/>
    </row>
    <row r="164" spans="1:30" ht="15.75" customHeight="1">
      <c r="A164" s="149">
        <f t="shared" si="66"/>
        <v>163</v>
      </c>
      <c r="B164" s="7"/>
      <c r="C164" s="7"/>
      <c r="D164" s="8"/>
      <c r="E164" s="9">
        <v>45445</v>
      </c>
      <c r="F164" s="10">
        <v>20</v>
      </c>
      <c r="G164" s="10">
        <v>20</v>
      </c>
      <c r="H164" s="10">
        <f>IF($F164&lt;&gt;"",SUM(F164:G164),"")</f>
        <v>40</v>
      </c>
      <c r="I164" s="8">
        <v>45599</v>
      </c>
      <c r="J164" s="7">
        <f t="shared" si="67"/>
        <v>11</v>
      </c>
      <c r="K164" s="11">
        <f t="shared" si="68"/>
        <v>154</v>
      </c>
      <c r="L164" s="10">
        <v>40</v>
      </c>
      <c r="M164" s="10"/>
      <c r="N164" s="10">
        <f t="shared" si="69"/>
        <v>40</v>
      </c>
      <c r="O164" s="10"/>
      <c r="P164" s="10">
        <f t="shared" si="70"/>
        <v>40</v>
      </c>
      <c r="Q164" s="10"/>
      <c r="R164" s="10">
        <f t="shared" si="71"/>
        <v>0</v>
      </c>
      <c r="S164" s="10" t="s">
        <v>19</v>
      </c>
      <c r="T164" s="155"/>
      <c r="U164" s="156" t="s">
        <v>17</v>
      </c>
      <c r="V164" s="157"/>
      <c r="W164" s="14"/>
      <c r="X164" s="14"/>
      <c r="Y164" s="149"/>
      <c r="Z164" s="149"/>
      <c r="AA164" s="149"/>
      <c r="AB164" s="148"/>
      <c r="AC164" s="148"/>
      <c r="AD164" s="148"/>
    </row>
    <row r="165" spans="1:30" ht="15.75" customHeight="1">
      <c r="A165" s="149">
        <f t="shared" si="66"/>
        <v>164</v>
      </c>
      <c r="B165" s="150"/>
      <c r="C165" s="150"/>
      <c r="D165" s="151"/>
      <c r="E165" s="152">
        <v>45550</v>
      </c>
      <c r="F165" s="207">
        <v>100</v>
      </c>
      <c r="G165" s="153"/>
      <c r="H165" s="153">
        <f>IF($F165&lt;&gt;"",SUM(F165:G165),"")</f>
        <v>100</v>
      </c>
      <c r="I165" s="151">
        <v>45600</v>
      </c>
      <c r="J165" s="150">
        <f t="shared" si="67"/>
        <v>11</v>
      </c>
      <c r="K165" s="154">
        <f t="shared" si="68"/>
        <v>50</v>
      </c>
      <c r="L165" s="153">
        <v>150</v>
      </c>
      <c r="M165" s="153">
        <v>30</v>
      </c>
      <c r="N165" s="153">
        <f t="shared" si="69"/>
        <v>180</v>
      </c>
      <c r="O165" s="153">
        <v>19.11</v>
      </c>
      <c r="P165" s="153">
        <f t="shared" si="70"/>
        <v>160.88999999999999</v>
      </c>
      <c r="Q165" s="153">
        <v>14.25</v>
      </c>
      <c r="R165" s="153">
        <f t="shared" si="71"/>
        <v>46.639999999999986</v>
      </c>
      <c r="S165" s="153" t="s">
        <v>16</v>
      </c>
      <c r="T165" s="155"/>
      <c r="U165" s="156" t="s">
        <v>20</v>
      </c>
      <c r="V165" s="157"/>
      <c r="W165" s="157"/>
      <c r="X165" s="157"/>
      <c r="Y165" s="149"/>
      <c r="Z165" s="149"/>
      <c r="AA165" s="149"/>
      <c r="AB165" s="148"/>
      <c r="AC165" s="148"/>
      <c r="AD165" s="148"/>
    </row>
    <row r="166" spans="1:30" ht="15.75" customHeight="1">
      <c r="A166" s="149">
        <f t="shared" si="66"/>
        <v>165</v>
      </c>
      <c r="B166" s="150"/>
      <c r="C166" s="150"/>
      <c r="D166" s="151"/>
      <c r="E166" s="152">
        <v>37523</v>
      </c>
      <c r="F166" s="153">
        <v>0</v>
      </c>
      <c r="G166" s="153"/>
      <c r="H166" s="153">
        <f>IF($L166&lt;&gt;"",SUM(F166:G166),"")</f>
        <v>0</v>
      </c>
      <c r="I166" s="151">
        <v>45602</v>
      </c>
      <c r="J166" s="150">
        <f t="shared" si="67"/>
        <v>11</v>
      </c>
      <c r="K166" s="154">
        <f t="shared" si="68"/>
        <v>8079</v>
      </c>
      <c r="L166" s="153">
        <v>60</v>
      </c>
      <c r="M166" s="153">
        <v>25</v>
      </c>
      <c r="N166" s="153">
        <f t="shared" si="69"/>
        <v>85</v>
      </c>
      <c r="O166" s="153">
        <v>9.2100000000000009</v>
      </c>
      <c r="P166" s="153">
        <f t="shared" si="70"/>
        <v>75.789999999999992</v>
      </c>
      <c r="Q166" s="153">
        <v>14.25</v>
      </c>
      <c r="R166" s="153">
        <f t="shared" si="71"/>
        <v>61.539999999999992</v>
      </c>
      <c r="S166" s="153" t="s">
        <v>16</v>
      </c>
      <c r="T166" s="155"/>
      <c r="U166" s="156" t="s">
        <v>20</v>
      </c>
      <c r="V166" s="157"/>
      <c r="W166" s="157"/>
      <c r="X166" s="157"/>
      <c r="Y166" s="149"/>
      <c r="Z166" s="149"/>
      <c r="AA166" s="149"/>
      <c r="AB166" s="148"/>
      <c r="AC166" s="148"/>
      <c r="AD166" s="148"/>
    </row>
    <row r="167" spans="1:30" ht="15.75" customHeight="1">
      <c r="A167" s="149">
        <f t="shared" si="66"/>
        <v>166</v>
      </c>
      <c r="B167" s="7"/>
      <c r="C167" s="7"/>
      <c r="D167" s="8"/>
      <c r="E167" s="9">
        <v>45508</v>
      </c>
      <c r="F167" s="10">
        <v>20</v>
      </c>
      <c r="G167" s="10"/>
      <c r="H167" s="153">
        <f t="shared" ref="H167:H172" si="72">IF($F167&lt;&gt;"",SUM(F167:G167),"")</f>
        <v>20</v>
      </c>
      <c r="I167" s="8">
        <v>45603</v>
      </c>
      <c r="J167" s="7">
        <f t="shared" si="67"/>
        <v>11</v>
      </c>
      <c r="K167" s="11">
        <f t="shared" si="68"/>
        <v>95</v>
      </c>
      <c r="L167" s="10">
        <v>60</v>
      </c>
      <c r="M167" s="10"/>
      <c r="N167" s="10">
        <f t="shared" si="69"/>
        <v>60</v>
      </c>
      <c r="O167" s="10"/>
      <c r="P167" s="10">
        <f t="shared" si="70"/>
        <v>60</v>
      </c>
      <c r="Q167" s="10"/>
      <c r="R167" s="10">
        <f t="shared" si="71"/>
        <v>40</v>
      </c>
      <c r="S167" s="10" t="s">
        <v>19</v>
      </c>
      <c r="T167" s="12"/>
      <c r="U167" s="177" t="s">
        <v>17</v>
      </c>
      <c r="V167" s="14"/>
      <c r="W167" s="14"/>
      <c r="X167" s="157"/>
      <c r="Y167" s="149"/>
      <c r="Z167" s="149"/>
      <c r="AA167" s="149"/>
      <c r="AB167" s="148"/>
      <c r="AC167" s="148"/>
      <c r="AD167" s="148"/>
    </row>
    <row r="168" spans="1:30" s="148" customFormat="1" ht="15.75" customHeight="1">
      <c r="A168" s="149">
        <f t="shared" si="66"/>
        <v>167</v>
      </c>
      <c r="B168" s="150"/>
      <c r="C168" s="150"/>
      <c r="D168" s="151"/>
      <c r="E168" s="152">
        <v>45137</v>
      </c>
      <c r="F168" s="153">
        <v>17.5</v>
      </c>
      <c r="G168" s="153">
        <v>0</v>
      </c>
      <c r="H168" s="153">
        <f t="shared" si="72"/>
        <v>17.5</v>
      </c>
      <c r="I168" s="151">
        <v>45603</v>
      </c>
      <c r="J168" s="150">
        <f t="shared" ref="J168:J172" si="73">IF(I168="","",MONTH(I168))</f>
        <v>11</v>
      </c>
      <c r="K168" s="154">
        <f t="shared" ref="K168:K172" si="74">IF($I168&lt;&gt;"",SUM(I168-E168),"")</f>
        <v>466</v>
      </c>
      <c r="L168" s="153">
        <v>20</v>
      </c>
      <c r="M168" s="153"/>
      <c r="N168" s="153">
        <f t="shared" ref="N168:N172" si="75">IF($I168&lt;&gt;"",SUM(L168:M168),"")</f>
        <v>20</v>
      </c>
      <c r="O168" s="153"/>
      <c r="P168" s="153">
        <f t="shared" ref="P168:P172" si="76">IF(I168="","",N168-O168)</f>
        <v>20</v>
      </c>
      <c r="Q168" s="153"/>
      <c r="R168" s="153">
        <f t="shared" ref="R168:R172" si="77">IF(I168="","",P168-H168-Q168)</f>
        <v>2.5</v>
      </c>
      <c r="S168" s="153" t="s">
        <v>19</v>
      </c>
      <c r="T168" s="155"/>
      <c r="U168" s="163" t="s">
        <v>17</v>
      </c>
      <c r="V168" s="157"/>
      <c r="W168" s="157"/>
      <c r="X168" s="157"/>
      <c r="Y168" s="149"/>
      <c r="Z168" s="149"/>
      <c r="AA168" s="149"/>
    </row>
    <row r="169" spans="1:30" ht="15.75" customHeight="1">
      <c r="A169" s="149">
        <f t="shared" si="66"/>
        <v>168</v>
      </c>
      <c r="B169" s="150"/>
      <c r="C169" s="150"/>
      <c r="D169" s="151"/>
      <c r="E169" s="152">
        <v>45508</v>
      </c>
      <c r="F169" s="153">
        <v>5</v>
      </c>
      <c r="G169" s="153">
        <v>30</v>
      </c>
      <c r="H169" s="153">
        <f t="shared" si="72"/>
        <v>35</v>
      </c>
      <c r="I169" s="151">
        <v>45604</v>
      </c>
      <c r="J169" s="150">
        <f t="shared" si="73"/>
        <v>11</v>
      </c>
      <c r="K169" s="154">
        <f t="shared" si="74"/>
        <v>96</v>
      </c>
      <c r="L169" s="153">
        <v>70</v>
      </c>
      <c r="M169" s="153"/>
      <c r="N169" s="153">
        <f t="shared" si="75"/>
        <v>70</v>
      </c>
      <c r="O169" s="153"/>
      <c r="P169" s="153">
        <f t="shared" si="76"/>
        <v>70</v>
      </c>
      <c r="Q169" s="153"/>
      <c r="R169" s="153">
        <f t="shared" si="77"/>
        <v>35</v>
      </c>
      <c r="S169" s="153" t="s">
        <v>19</v>
      </c>
      <c r="T169" s="155"/>
      <c r="U169" s="156" t="s">
        <v>17</v>
      </c>
      <c r="V169" s="14"/>
      <c r="W169" s="14"/>
      <c r="X169" s="14"/>
      <c r="Y169" s="149"/>
      <c r="Z169" s="149"/>
      <c r="AA169" s="149"/>
      <c r="AB169" s="148"/>
      <c r="AC169" s="148"/>
      <c r="AD169" s="148"/>
    </row>
    <row r="170" spans="1:30" ht="15.75" customHeight="1">
      <c r="A170" s="149">
        <f t="shared" si="66"/>
        <v>169</v>
      </c>
      <c r="B170" s="150"/>
      <c r="C170" s="150"/>
      <c r="D170" s="151"/>
      <c r="E170" s="152">
        <v>45508</v>
      </c>
      <c r="F170" s="153">
        <v>0</v>
      </c>
      <c r="G170" s="153">
        <v>30</v>
      </c>
      <c r="H170" s="153">
        <f t="shared" si="72"/>
        <v>30</v>
      </c>
      <c r="I170" s="151">
        <v>45604</v>
      </c>
      <c r="J170" s="150">
        <f t="shared" si="73"/>
        <v>11</v>
      </c>
      <c r="K170" s="154">
        <f t="shared" si="74"/>
        <v>96</v>
      </c>
      <c r="L170" s="153">
        <v>50</v>
      </c>
      <c r="M170" s="153"/>
      <c r="N170" s="153">
        <f t="shared" si="75"/>
        <v>50</v>
      </c>
      <c r="O170" s="153"/>
      <c r="P170" s="153">
        <f t="shared" si="76"/>
        <v>50</v>
      </c>
      <c r="Q170" s="153"/>
      <c r="R170" s="153">
        <f t="shared" si="77"/>
        <v>20</v>
      </c>
      <c r="S170" s="153" t="s">
        <v>19</v>
      </c>
      <c r="T170" s="12"/>
      <c r="U170" s="186" t="s">
        <v>17</v>
      </c>
      <c r="V170" s="157"/>
      <c r="W170" s="157"/>
      <c r="X170" s="157"/>
      <c r="Y170" s="149"/>
      <c r="Z170" s="149"/>
      <c r="AA170" s="149"/>
      <c r="AB170" s="148"/>
      <c r="AC170" s="148"/>
      <c r="AD170" s="148"/>
    </row>
    <row r="171" spans="1:30" ht="15.75" customHeight="1">
      <c r="A171" s="149">
        <f t="shared" si="66"/>
        <v>170</v>
      </c>
      <c r="B171" s="150"/>
      <c r="C171" s="150"/>
      <c r="D171" s="151"/>
      <c r="E171" s="152">
        <v>45550</v>
      </c>
      <c r="F171" s="153">
        <v>0</v>
      </c>
      <c r="G171" s="153"/>
      <c r="H171" s="153">
        <f t="shared" si="72"/>
        <v>0</v>
      </c>
      <c r="I171" s="151">
        <v>45604</v>
      </c>
      <c r="J171" s="150">
        <f t="shared" si="73"/>
        <v>11</v>
      </c>
      <c r="K171" s="154">
        <f t="shared" si="74"/>
        <v>54</v>
      </c>
      <c r="L171" s="153">
        <v>60</v>
      </c>
      <c r="M171" s="153"/>
      <c r="N171" s="153">
        <f t="shared" si="75"/>
        <v>60</v>
      </c>
      <c r="O171" s="153"/>
      <c r="P171" s="153">
        <f t="shared" si="76"/>
        <v>60</v>
      </c>
      <c r="Q171" s="153"/>
      <c r="R171" s="153">
        <f t="shared" si="77"/>
        <v>60</v>
      </c>
      <c r="S171" s="153" t="s">
        <v>19</v>
      </c>
      <c r="T171" s="12"/>
      <c r="U171" s="210" t="s">
        <v>17</v>
      </c>
      <c r="V171" s="14"/>
      <c r="W171" s="14"/>
      <c r="X171" s="14"/>
      <c r="Y171" s="149"/>
      <c r="Z171" s="149"/>
      <c r="AA171" s="149"/>
      <c r="AB171" s="148"/>
      <c r="AC171" s="148"/>
      <c r="AD171" s="148"/>
    </row>
    <row r="172" spans="1:30" ht="15.75" customHeight="1">
      <c r="A172" s="149">
        <f t="shared" si="66"/>
        <v>171</v>
      </c>
      <c r="B172" s="150"/>
      <c r="C172" s="150"/>
      <c r="D172" s="151"/>
      <c r="E172" s="152">
        <v>45564</v>
      </c>
      <c r="F172" s="153">
        <v>10</v>
      </c>
      <c r="G172" s="153"/>
      <c r="H172" s="153">
        <f t="shared" si="72"/>
        <v>10</v>
      </c>
      <c r="I172" s="151">
        <v>45606</v>
      </c>
      <c r="J172" s="150">
        <f t="shared" si="73"/>
        <v>11</v>
      </c>
      <c r="K172" s="154">
        <f t="shared" si="74"/>
        <v>42</v>
      </c>
      <c r="L172" s="153">
        <v>40</v>
      </c>
      <c r="M172" s="153"/>
      <c r="N172" s="153">
        <f t="shared" si="75"/>
        <v>40</v>
      </c>
      <c r="O172" s="153"/>
      <c r="P172" s="153">
        <f t="shared" si="76"/>
        <v>40</v>
      </c>
      <c r="Q172" s="153"/>
      <c r="R172" s="153">
        <f t="shared" si="77"/>
        <v>30</v>
      </c>
      <c r="S172" s="153" t="s">
        <v>19</v>
      </c>
      <c r="T172" s="12"/>
      <c r="U172" s="210" t="s">
        <v>17</v>
      </c>
      <c r="V172" s="14"/>
      <c r="W172" s="14"/>
      <c r="X172" s="14"/>
      <c r="Y172" s="149"/>
      <c r="Z172" s="6"/>
      <c r="AA172" s="6"/>
    </row>
    <row r="173" spans="1:30" ht="15.75" customHeight="1">
      <c r="A173" s="149">
        <f t="shared" si="66"/>
        <v>172</v>
      </c>
      <c r="B173" s="150"/>
      <c r="C173" s="150"/>
      <c r="D173" s="151"/>
      <c r="E173" s="152">
        <v>45559</v>
      </c>
      <c r="F173" s="153">
        <v>0</v>
      </c>
      <c r="G173" s="153">
        <v>40</v>
      </c>
      <c r="H173" s="153">
        <f>IF($L173&lt;&gt;"",SUM(F173:G173),"")</f>
        <v>40</v>
      </c>
      <c r="I173" s="151">
        <v>45609</v>
      </c>
      <c r="J173" s="150">
        <f t="shared" ref="J173:J178" si="78">IF(I173="","",MONTH(I173))</f>
        <v>11</v>
      </c>
      <c r="K173" s="154">
        <f t="shared" ref="K173:K178" si="79">IF($I173&lt;&gt;"",SUM(I173-E173),"")</f>
        <v>50</v>
      </c>
      <c r="L173" s="153">
        <v>250</v>
      </c>
      <c r="M173" s="153">
        <v>20</v>
      </c>
      <c r="N173" s="153">
        <f t="shared" ref="N173:N178" si="80">IF($I173&lt;&gt;"",SUM(L173:M173),"")</f>
        <v>270</v>
      </c>
      <c r="O173" s="153">
        <v>28.49</v>
      </c>
      <c r="P173" s="153">
        <f t="shared" ref="P173:P178" si="81">IF(I173="","",N173-O173)</f>
        <v>241.51</v>
      </c>
      <c r="Q173" s="153">
        <v>4.99</v>
      </c>
      <c r="R173" s="153">
        <f t="shared" ref="R173:R178" si="82">IF(I173="","",P173-H173-Q173)</f>
        <v>196.51999999999998</v>
      </c>
      <c r="S173" s="153" t="s">
        <v>16</v>
      </c>
      <c r="T173" s="155"/>
      <c r="U173" s="236" t="s">
        <v>17</v>
      </c>
      <c r="V173" s="157"/>
      <c r="W173" s="157"/>
      <c r="X173" s="157"/>
      <c r="Y173" s="6"/>
      <c r="Z173" s="6"/>
      <c r="AA173" s="6"/>
    </row>
    <row r="174" spans="1:30" ht="15.75" customHeight="1">
      <c r="A174" s="149">
        <f t="shared" si="66"/>
        <v>173</v>
      </c>
      <c r="B174" s="143"/>
      <c r="C174" s="143"/>
      <c r="D174" s="143"/>
      <c r="E174" s="145">
        <v>45088</v>
      </c>
      <c r="F174" s="146">
        <v>15</v>
      </c>
      <c r="G174" s="146"/>
      <c r="H174" s="146">
        <f>IF($F174&lt;&gt;"",SUM(F174:G174),"")</f>
        <v>15</v>
      </c>
      <c r="I174" s="144">
        <v>45611</v>
      </c>
      <c r="J174" s="143">
        <f t="shared" si="78"/>
        <v>11</v>
      </c>
      <c r="K174" s="147">
        <f t="shared" si="79"/>
        <v>523</v>
      </c>
      <c r="L174" s="146">
        <v>50</v>
      </c>
      <c r="M174" s="146">
        <v>23</v>
      </c>
      <c r="N174" s="146">
        <f t="shared" si="80"/>
        <v>73</v>
      </c>
      <c r="O174" s="146">
        <v>7.96</v>
      </c>
      <c r="P174" s="146">
        <f t="shared" si="81"/>
        <v>65.040000000000006</v>
      </c>
      <c r="Q174" s="146">
        <v>14.25</v>
      </c>
      <c r="R174" s="146">
        <f t="shared" si="82"/>
        <v>35.790000000000006</v>
      </c>
      <c r="S174" s="146" t="s">
        <v>16</v>
      </c>
      <c r="T174" s="155"/>
      <c r="U174" s="236" t="s">
        <v>17</v>
      </c>
      <c r="V174" s="148"/>
      <c r="W174" s="157"/>
      <c r="X174" s="157"/>
      <c r="Y174" s="6"/>
      <c r="Z174" s="6"/>
      <c r="AA174" s="6"/>
    </row>
    <row r="175" spans="1:30" ht="15.75" customHeight="1">
      <c r="A175" s="149">
        <f t="shared" si="66"/>
        <v>174</v>
      </c>
      <c r="B175" s="160"/>
      <c r="C175" s="160"/>
      <c r="D175" s="159"/>
      <c r="E175" s="161">
        <v>45292</v>
      </c>
      <c r="F175" s="158">
        <v>30</v>
      </c>
      <c r="G175" s="158"/>
      <c r="H175" s="158">
        <f>IF($F175&lt;&gt;"",SUM(F175:G175),"")</f>
        <v>30</v>
      </c>
      <c r="I175" s="159">
        <v>45610</v>
      </c>
      <c r="J175" s="160">
        <f t="shared" si="78"/>
        <v>11</v>
      </c>
      <c r="K175" s="162">
        <f t="shared" si="79"/>
        <v>318</v>
      </c>
      <c r="L175" s="158">
        <v>55</v>
      </c>
      <c r="M175" s="158"/>
      <c r="N175" s="158">
        <f t="shared" si="80"/>
        <v>55</v>
      </c>
      <c r="O175" s="158"/>
      <c r="P175" s="158">
        <f t="shared" si="81"/>
        <v>55</v>
      </c>
      <c r="Q175" s="158">
        <v>15.25</v>
      </c>
      <c r="R175" s="158">
        <f t="shared" si="82"/>
        <v>9.75</v>
      </c>
      <c r="S175" s="158" t="s">
        <v>19</v>
      </c>
      <c r="T175" s="155"/>
      <c r="U175" s="156" t="s">
        <v>22</v>
      </c>
      <c r="V175" s="157"/>
      <c r="W175" s="157"/>
      <c r="X175" s="157"/>
      <c r="Y175" s="6"/>
      <c r="Z175" s="6"/>
      <c r="AA175" s="6"/>
    </row>
    <row r="176" spans="1:30" ht="15.75" customHeight="1">
      <c r="A176" s="149">
        <f t="shared" si="66"/>
        <v>175</v>
      </c>
      <c r="B176" s="7"/>
      <c r="C176" s="7"/>
      <c r="D176" s="8"/>
      <c r="E176" s="9">
        <v>45431</v>
      </c>
      <c r="F176" s="10">
        <v>5</v>
      </c>
      <c r="G176" s="10"/>
      <c r="H176" s="10">
        <f>IF($F176&lt;&gt;"",SUM(F176:G176),"")</f>
        <v>5</v>
      </c>
      <c r="I176" s="8">
        <v>45604</v>
      </c>
      <c r="J176" s="7">
        <f t="shared" si="78"/>
        <v>11</v>
      </c>
      <c r="K176" s="11">
        <f t="shared" si="79"/>
        <v>173</v>
      </c>
      <c r="L176" s="10">
        <v>20</v>
      </c>
      <c r="M176" s="10"/>
      <c r="N176" s="10">
        <f t="shared" si="80"/>
        <v>20</v>
      </c>
      <c r="O176" s="10"/>
      <c r="P176" s="10">
        <f t="shared" si="81"/>
        <v>20</v>
      </c>
      <c r="Q176" s="10"/>
      <c r="R176" s="10">
        <f t="shared" si="82"/>
        <v>15</v>
      </c>
      <c r="S176" s="10" t="s">
        <v>19</v>
      </c>
      <c r="T176" s="12"/>
      <c r="U176" s="163" t="s">
        <v>17</v>
      </c>
      <c r="V176" s="157"/>
      <c r="W176" s="157"/>
      <c r="X176" s="14"/>
      <c r="Y176" s="6"/>
      <c r="Z176" s="6"/>
      <c r="AA176" s="6"/>
    </row>
    <row r="177" spans="1:28" s="148" customFormat="1" ht="15.75" customHeight="1">
      <c r="A177" s="149">
        <f t="shared" si="66"/>
        <v>176</v>
      </c>
      <c r="B177" s="150"/>
      <c r="C177" s="150"/>
      <c r="D177" s="151"/>
      <c r="E177" s="152">
        <v>45550</v>
      </c>
      <c r="F177" s="207">
        <v>5</v>
      </c>
      <c r="G177" s="153"/>
      <c r="H177" s="153">
        <f>IF($F177&lt;&gt;"",SUM(F177:G177),"")</f>
        <v>5</v>
      </c>
      <c r="I177" s="151">
        <v>45611</v>
      </c>
      <c r="J177" s="150">
        <f t="shared" si="78"/>
        <v>11</v>
      </c>
      <c r="K177" s="154">
        <f t="shared" si="79"/>
        <v>61</v>
      </c>
      <c r="L177" s="153">
        <v>35</v>
      </c>
      <c r="M177" s="153"/>
      <c r="N177" s="153">
        <f t="shared" si="80"/>
        <v>35</v>
      </c>
      <c r="O177" s="153"/>
      <c r="P177" s="153">
        <f t="shared" si="81"/>
        <v>35</v>
      </c>
      <c r="Q177" s="153">
        <v>10</v>
      </c>
      <c r="R177" s="153">
        <f t="shared" si="82"/>
        <v>20</v>
      </c>
      <c r="S177" s="153" t="s">
        <v>19</v>
      </c>
      <c r="T177" s="155"/>
      <c r="U177" s="156" t="s">
        <v>17</v>
      </c>
      <c r="V177" s="157"/>
      <c r="W177" s="157"/>
      <c r="X177" s="157"/>
      <c r="Y177" s="6"/>
      <c r="Z177" s="6"/>
      <c r="AA177" s="6"/>
      <c r="AB177"/>
    </row>
    <row r="178" spans="1:28" ht="15.75" customHeight="1">
      <c r="A178" s="149">
        <f t="shared" si="66"/>
        <v>177</v>
      </c>
      <c r="B178" s="7"/>
      <c r="C178" s="7"/>
      <c r="D178" s="8"/>
      <c r="E178" s="9">
        <v>45333</v>
      </c>
      <c r="F178" s="10">
        <v>18</v>
      </c>
      <c r="G178" s="10"/>
      <c r="H178" s="10">
        <f>IF($F178&lt;&gt;"",SUM(F178:G178),"")</f>
        <v>18</v>
      </c>
      <c r="I178" s="8">
        <v>45612</v>
      </c>
      <c r="J178" s="7">
        <f t="shared" si="78"/>
        <v>11</v>
      </c>
      <c r="K178" s="11">
        <f t="shared" si="79"/>
        <v>279</v>
      </c>
      <c r="L178" s="10">
        <v>10</v>
      </c>
      <c r="M178" s="10">
        <v>15</v>
      </c>
      <c r="N178" s="10">
        <f t="shared" si="80"/>
        <v>25</v>
      </c>
      <c r="O178" s="10">
        <v>2.96</v>
      </c>
      <c r="P178" s="10">
        <f t="shared" si="81"/>
        <v>22.04</v>
      </c>
      <c r="Q178" s="10">
        <v>4.99</v>
      </c>
      <c r="R178" s="10">
        <f t="shared" si="82"/>
        <v>-0.95000000000000107</v>
      </c>
      <c r="S178" s="10" t="s">
        <v>16</v>
      </c>
      <c r="T178" s="155"/>
      <c r="U178" s="156" t="s">
        <v>17</v>
      </c>
      <c r="V178" s="157"/>
      <c r="W178" s="157"/>
      <c r="X178" s="157"/>
      <c r="Y178" s="6"/>
      <c r="Z178" s="6"/>
      <c r="AA178" s="6"/>
    </row>
    <row r="179" spans="1:28" s="172" customFormat="1" ht="15.75" customHeight="1">
      <c r="A179" s="149">
        <f t="shared" si="66"/>
        <v>178</v>
      </c>
      <c r="B179" s="7"/>
      <c r="C179" s="7"/>
      <c r="D179" s="8"/>
      <c r="E179" s="9">
        <v>45508</v>
      </c>
      <c r="F179" s="10">
        <v>0</v>
      </c>
      <c r="G179" s="10"/>
      <c r="H179" s="153">
        <v>10</v>
      </c>
      <c r="I179" s="8">
        <v>45615</v>
      </c>
      <c r="J179" s="7">
        <f t="shared" ref="J179:J183" si="83">IF(I179="","",MONTH(I179))</f>
        <v>11</v>
      </c>
      <c r="K179" s="11">
        <f t="shared" ref="K179:K183" si="84">IF($I179&lt;&gt;"",SUM(I179-E179),"")</f>
        <v>107</v>
      </c>
      <c r="L179" s="10">
        <v>30</v>
      </c>
      <c r="M179" s="10">
        <v>30</v>
      </c>
      <c r="N179" s="10">
        <f t="shared" ref="N179:N183" si="85">IF($I179&lt;&gt;"",SUM(L179:M179),"")</f>
        <v>60</v>
      </c>
      <c r="O179" s="10">
        <v>7.75</v>
      </c>
      <c r="P179" s="10">
        <f t="shared" ref="P179:P184" si="86">IF(I179="","",N179-O179)</f>
        <v>52.25</v>
      </c>
      <c r="Q179" s="10">
        <v>14.25</v>
      </c>
      <c r="R179" s="10">
        <f t="shared" ref="R179:R184" si="87">IF(I179="","",P179-H179-Q179)</f>
        <v>28</v>
      </c>
      <c r="S179" s="10" t="s">
        <v>16</v>
      </c>
      <c r="T179" s="12"/>
      <c r="U179" s="177" t="s">
        <v>29</v>
      </c>
      <c r="V179" s="157"/>
      <c r="W179" s="157"/>
      <c r="X179" s="14"/>
      <c r="Y179" s="6"/>
      <c r="Z179" s="173"/>
      <c r="AA179" s="173"/>
    </row>
    <row r="180" spans="1:28" ht="15.75" customHeight="1">
      <c r="A180" s="149">
        <f t="shared" si="66"/>
        <v>179</v>
      </c>
      <c r="B180" s="150"/>
      <c r="C180" s="150"/>
      <c r="D180" s="151"/>
      <c r="E180" s="152">
        <v>45550</v>
      </c>
      <c r="F180" s="207">
        <v>20</v>
      </c>
      <c r="G180" s="153"/>
      <c r="H180" s="153">
        <f t="shared" ref="H180:H184" si="88">IF($F180&lt;&gt;"",SUM(F180:G180),"")</f>
        <v>20</v>
      </c>
      <c r="I180" s="151">
        <v>45615</v>
      </c>
      <c r="J180" s="150">
        <f t="shared" si="83"/>
        <v>11</v>
      </c>
      <c r="K180" s="154">
        <f t="shared" si="84"/>
        <v>65</v>
      </c>
      <c r="L180" s="153">
        <v>25</v>
      </c>
      <c r="M180" s="153">
        <v>23</v>
      </c>
      <c r="N180" s="153">
        <f t="shared" si="85"/>
        <v>48</v>
      </c>
      <c r="O180" s="153">
        <v>5.35</v>
      </c>
      <c r="P180" s="153">
        <f t="shared" si="86"/>
        <v>42.65</v>
      </c>
      <c r="Q180" s="153">
        <v>4.99</v>
      </c>
      <c r="R180" s="153">
        <f t="shared" si="87"/>
        <v>17.659999999999997</v>
      </c>
      <c r="S180" s="153" t="s">
        <v>16</v>
      </c>
      <c r="T180" s="155"/>
      <c r="U180" s="156" t="s">
        <v>17</v>
      </c>
      <c r="V180" s="157"/>
      <c r="W180" s="157"/>
      <c r="X180" s="157"/>
      <c r="Y180" s="173"/>
      <c r="Z180" s="6"/>
      <c r="AA180" s="6"/>
    </row>
    <row r="181" spans="1:28" s="148" customFormat="1" ht="15.75" customHeight="1">
      <c r="A181" s="149">
        <f t="shared" si="66"/>
        <v>180</v>
      </c>
      <c r="B181" s="7"/>
      <c r="C181" s="7"/>
      <c r="D181" s="8"/>
      <c r="E181" s="9">
        <v>45431</v>
      </c>
      <c r="F181" s="10">
        <v>5</v>
      </c>
      <c r="G181" s="10"/>
      <c r="H181" s="10">
        <f t="shared" si="88"/>
        <v>5</v>
      </c>
      <c r="I181" s="8">
        <v>45622</v>
      </c>
      <c r="J181" s="7">
        <f t="shared" si="83"/>
        <v>11</v>
      </c>
      <c r="K181" s="11">
        <f t="shared" si="84"/>
        <v>191</v>
      </c>
      <c r="L181" s="10">
        <v>30</v>
      </c>
      <c r="M181" s="10">
        <v>20</v>
      </c>
      <c r="N181" s="10">
        <f t="shared" si="85"/>
        <v>50</v>
      </c>
      <c r="O181" s="10">
        <v>5.57</v>
      </c>
      <c r="P181" s="10">
        <f t="shared" si="86"/>
        <v>44.43</v>
      </c>
      <c r="Q181" s="10">
        <v>14.25</v>
      </c>
      <c r="R181" s="10">
        <f t="shared" si="87"/>
        <v>25.18</v>
      </c>
      <c r="S181" s="10" t="s">
        <v>16</v>
      </c>
      <c r="T181" s="155"/>
      <c r="U181" s="156" t="s">
        <v>152</v>
      </c>
      <c r="V181" s="157"/>
      <c r="W181" s="14"/>
      <c r="X181" s="14"/>
      <c r="Y181" s="6"/>
      <c r="Z181" s="149"/>
      <c r="AA181" s="149"/>
    </row>
    <row r="182" spans="1:28" ht="15.75" customHeight="1">
      <c r="A182" s="149">
        <f t="shared" si="66"/>
        <v>181</v>
      </c>
      <c r="B182" s="150"/>
      <c r="C182" s="150"/>
      <c r="D182" s="151"/>
      <c r="E182" s="152">
        <v>45564</v>
      </c>
      <c r="F182" s="153">
        <v>12</v>
      </c>
      <c r="G182" s="153"/>
      <c r="H182" s="153">
        <f t="shared" si="88"/>
        <v>12</v>
      </c>
      <c r="I182" s="151">
        <v>45623</v>
      </c>
      <c r="J182" s="7">
        <f t="shared" si="83"/>
        <v>11</v>
      </c>
      <c r="K182" s="11">
        <f t="shared" si="84"/>
        <v>59</v>
      </c>
      <c r="L182" s="153">
        <v>150</v>
      </c>
      <c r="M182" s="153">
        <v>20</v>
      </c>
      <c r="N182" s="153">
        <f t="shared" si="85"/>
        <v>170</v>
      </c>
      <c r="O182" s="10">
        <v>18.07</v>
      </c>
      <c r="P182" s="10">
        <f t="shared" si="86"/>
        <v>151.93</v>
      </c>
      <c r="Q182" s="10">
        <v>4.99</v>
      </c>
      <c r="R182" s="10">
        <f t="shared" si="87"/>
        <v>134.94</v>
      </c>
      <c r="S182" s="10" t="s">
        <v>16</v>
      </c>
      <c r="T182" s="12"/>
      <c r="U182" s="222" t="s">
        <v>17</v>
      </c>
      <c r="V182" s="14"/>
      <c r="W182" s="14"/>
      <c r="X182" s="14"/>
      <c r="Y182" s="149"/>
      <c r="Z182" s="6"/>
      <c r="AA182" s="6"/>
    </row>
    <row r="183" spans="1:28" ht="15.75" customHeight="1">
      <c r="A183" s="149">
        <f t="shared" si="66"/>
        <v>182</v>
      </c>
      <c r="B183" s="7"/>
      <c r="C183" s="7"/>
      <c r="D183" s="8"/>
      <c r="E183" s="9">
        <v>45432</v>
      </c>
      <c r="F183" s="10">
        <v>15</v>
      </c>
      <c r="G183" s="10"/>
      <c r="H183" s="10">
        <f t="shared" si="88"/>
        <v>15</v>
      </c>
      <c r="I183" s="8">
        <v>45624</v>
      </c>
      <c r="J183" s="7">
        <f t="shared" si="83"/>
        <v>11</v>
      </c>
      <c r="K183" s="11">
        <f t="shared" si="84"/>
        <v>192</v>
      </c>
      <c r="L183" s="10">
        <v>30</v>
      </c>
      <c r="M183" s="10">
        <v>20</v>
      </c>
      <c r="N183" s="10">
        <f t="shared" si="85"/>
        <v>50</v>
      </c>
      <c r="O183" s="10">
        <v>5.57</v>
      </c>
      <c r="P183" s="10">
        <f t="shared" si="86"/>
        <v>44.43</v>
      </c>
      <c r="Q183" s="10">
        <v>4.99</v>
      </c>
      <c r="R183" s="10">
        <f t="shared" si="87"/>
        <v>24.439999999999998</v>
      </c>
      <c r="S183" s="10" t="s">
        <v>16</v>
      </c>
      <c r="T183" s="12"/>
      <c r="U183" s="13" t="s">
        <v>17</v>
      </c>
      <c r="V183" s="157"/>
      <c r="W183" s="14"/>
      <c r="X183" s="14"/>
      <c r="Y183" s="6"/>
      <c r="Z183" s="6"/>
      <c r="AA183" s="6"/>
    </row>
    <row r="184" spans="1:28" s="175" customFormat="1" ht="15.75" customHeight="1">
      <c r="A184" s="149">
        <f t="shared" si="66"/>
        <v>183</v>
      </c>
      <c r="B184" s="7"/>
      <c r="C184" s="7"/>
      <c r="D184" s="8"/>
      <c r="E184" s="9">
        <v>45459</v>
      </c>
      <c r="F184" s="10">
        <v>50</v>
      </c>
      <c r="G184" s="10"/>
      <c r="H184" s="10">
        <f t="shared" si="88"/>
        <v>50</v>
      </c>
      <c r="I184" s="8">
        <v>45625</v>
      </c>
      <c r="J184" s="7">
        <f t="shared" ref="J184:J189" si="89">IF(I184="","",MONTH(I184))</f>
        <v>11</v>
      </c>
      <c r="K184" s="11">
        <f t="shared" ref="K184:K189" si="90">IF($I184&lt;&gt;"",SUM(I184-E184),"")</f>
        <v>166</v>
      </c>
      <c r="L184" s="10">
        <v>100</v>
      </c>
      <c r="M184" s="10">
        <v>25</v>
      </c>
      <c r="N184" s="10">
        <f t="shared" ref="N184:N189" si="91">IF($I184&lt;&gt;"",SUM(L184:M184),"")</f>
        <v>125</v>
      </c>
      <c r="O184" s="10">
        <v>13.38</v>
      </c>
      <c r="P184" s="10">
        <f t="shared" si="86"/>
        <v>111.62</v>
      </c>
      <c r="Q184" s="10">
        <v>14.25</v>
      </c>
      <c r="R184" s="10">
        <f t="shared" si="87"/>
        <v>47.370000000000005</v>
      </c>
      <c r="S184" s="10" t="s">
        <v>16</v>
      </c>
      <c r="T184" s="155"/>
      <c r="U184" s="156" t="s">
        <v>21</v>
      </c>
      <c r="V184" s="14"/>
      <c r="W184" s="157"/>
      <c r="X184" s="14"/>
      <c r="Y184" s="6"/>
      <c r="Z184" s="176"/>
      <c r="AA184" s="176"/>
    </row>
    <row r="185" spans="1:28" s="175" customFormat="1" ht="15.75" customHeight="1">
      <c r="A185" s="149">
        <f t="shared" si="66"/>
        <v>184</v>
      </c>
      <c r="B185" s="150"/>
      <c r="C185" s="150"/>
      <c r="D185" s="151"/>
      <c r="E185" s="152">
        <v>45564</v>
      </c>
      <c r="F185" s="153">
        <v>0</v>
      </c>
      <c r="G185" s="153"/>
      <c r="H185" s="153">
        <f>IF($F185&lt;&gt;"",SUM(F185:G185),"")</f>
        <v>0</v>
      </c>
      <c r="I185" s="151">
        <v>45627</v>
      </c>
      <c r="J185" s="7">
        <f t="shared" si="89"/>
        <v>12</v>
      </c>
      <c r="K185" s="11">
        <f t="shared" si="90"/>
        <v>63</v>
      </c>
      <c r="L185" s="153">
        <v>20</v>
      </c>
      <c r="M185" s="153"/>
      <c r="N185" s="153">
        <f t="shared" si="91"/>
        <v>20</v>
      </c>
      <c r="O185" s="10"/>
      <c r="P185" s="10">
        <f>IF(I185="","",N185-O185)</f>
        <v>20</v>
      </c>
      <c r="Q185" s="10"/>
      <c r="R185" s="10">
        <f>IF(I185="","",P185-H185-Q185)</f>
        <v>20</v>
      </c>
      <c r="S185" s="10" t="s">
        <v>19</v>
      </c>
      <c r="T185" s="12"/>
      <c r="U185" s="222" t="s">
        <v>17</v>
      </c>
      <c r="V185" s="14"/>
      <c r="W185" s="14"/>
      <c r="X185" s="14"/>
      <c r="Y185" s="176"/>
      <c r="Z185" s="176"/>
      <c r="AA185" s="176"/>
    </row>
    <row r="186" spans="1:28" s="175" customFormat="1" ht="15.75" customHeight="1">
      <c r="A186" s="149">
        <f t="shared" si="66"/>
        <v>185</v>
      </c>
      <c r="B186" s="7"/>
      <c r="C186" s="7"/>
      <c r="D186" s="8"/>
      <c r="E186" s="9">
        <v>45170</v>
      </c>
      <c r="F186" s="10">
        <v>20</v>
      </c>
      <c r="G186" s="10"/>
      <c r="H186" s="10">
        <f>IF($F186&lt;&gt;"",SUM(F186:G186),"")</f>
        <v>20</v>
      </c>
      <c r="I186" s="8">
        <v>45627</v>
      </c>
      <c r="J186" s="7">
        <f t="shared" si="89"/>
        <v>12</v>
      </c>
      <c r="K186" s="11">
        <f t="shared" si="90"/>
        <v>457</v>
      </c>
      <c r="L186" s="10">
        <v>40</v>
      </c>
      <c r="M186" s="10">
        <v>30</v>
      </c>
      <c r="N186" s="10">
        <f t="shared" si="91"/>
        <v>70</v>
      </c>
      <c r="O186" s="10">
        <v>7.65</v>
      </c>
      <c r="P186" s="10">
        <f>IF(I186="","",N186-O186)</f>
        <v>62.35</v>
      </c>
      <c r="Q186" s="10">
        <v>14.25</v>
      </c>
      <c r="R186" s="10">
        <f>IF(I186="","",P186-H186-Q186)</f>
        <v>28.1</v>
      </c>
      <c r="S186" s="10" t="s">
        <v>16</v>
      </c>
      <c r="T186" s="12"/>
      <c r="U186" s="374" t="s">
        <v>157</v>
      </c>
      <c r="V186" s="157"/>
      <c r="W186" s="157"/>
      <c r="X186" s="157"/>
      <c r="Y186" s="176"/>
      <c r="Z186" s="176"/>
      <c r="AA186" s="176"/>
    </row>
    <row r="187" spans="1:28" s="175" customFormat="1" ht="15.75" customHeight="1">
      <c r="A187" s="149">
        <f t="shared" si="66"/>
        <v>186</v>
      </c>
      <c r="B187" s="150"/>
      <c r="C187" s="150"/>
      <c r="D187" s="151"/>
      <c r="E187" s="152">
        <v>45604</v>
      </c>
      <c r="F187" s="153">
        <v>10</v>
      </c>
      <c r="G187" s="153">
        <v>70</v>
      </c>
      <c r="H187" s="153">
        <f>IF($F187&lt;&gt;"",SUM(F187:G187),"")</f>
        <v>80</v>
      </c>
      <c r="I187" s="151">
        <v>45629</v>
      </c>
      <c r="J187" s="150">
        <f t="shared" si="89"/>
        <v>12</v>
      </c>
      <c r="K187" s="154">
        <f t="shared" si="90"/>
        <v>25</v>
      </c>
      <c r="L187" s="153">
        <v>260</v>
      </c>
      <c r="M187" s="153">
        <v>30</v>
      </c>
      <c r="N187" s="153">
        <f t="shared" si="91"/>
        <v>290</v>
      </c>
      <c r="O187" s="153">
        <f>IFERROR(N187*0.1042+0.35,"")</f>
        <v>30.568000000000001</v>
      </c>
      <c r="P187" s="153">
        <f>IF(I187="","",N187-O187)</f>
        <v>259.43200000000002</v>
      </c>
      <c r="Q187" s="153">
        <v>14.25</v>
      </c>
      <c r="R187" s="153">
        <f>IF(I187="","",P187-H187-Q187)</f>
        <v>165.18200000000002</v>
      </c>
      <c r="S187" s="153" t="s">
        <v>16</v>
      </c>
      <c r="T187" s="230"/>
      <c r="U187" s="156" t="s">
        <v>20</v>
      </c>
      <c r="V187" s="157"/>
      <c r="W187" s="157"/>
      <c r="X187" s="157"/>
      <c r="Y187" s="176"/>
      <c r="Z187" s="176"/>
      <c r="AA187" s="176"/>
    </row>
    <row r="188" spans="1:28" s="175" customFormat="1" ht="15.75" customHeight="1">
      <c r="A188" s="149">
        <f t="shared" si="66"/>
        <v>187</v>
      </c>
      <c r="B188" s="150"/>
      <c r="C188" s="150"/>
      <c r="D188" s="151"/>
      <c r="E188" s="152">
        <v>45550</v>
      </c>
      <c r="F188" s="207">
        <v>0</v>
      </c>
      <c r="G188" s="153">
        <v>30</v>
      </c>
      <c r="H188" s="153">
        <f>IF($F188&lt;&gt;"",SUM(F188:G188),"")</f>
        <v>30</v>
      </c>
      <c r="I188" s="151">
        <v>45631</v>
      </c>
      <c r="J188" s="7">
        <f t="shared" si="89"/>
        <v>12</v>
      </c>
      <c r="K188" s="11">
        <f t="shared" si="90"/>
        <v>81</v>
      </c>
      <c r="L188" s="153">
        <v>60</v>
      </c>
      <c r="M188" s="153">
        <v>25</v>
      </c>
      <c r="N188" s="153">
        <f t="shared" si="91"/>
        <v>85</v>
      </c>
      <c r="O188" s="10">
        <f>IFERROR(N188*0.1042+0.35,"")</f>
        <v>9.206999999999999</v>
      </c>
      <c r="P188" s="10">
        <f>IF(I188="","",N188-O188)</f>
        <v>75.793000000000006</v>
      </c>
      <c r="Q188" s="10">
        <v>14.25</v>
      </c>
      <c r="R188" s="10">
        <f>IF(I188="","",P188-H188-Q188)</f>
        <v>31.543000000000006</v>
      </c>
      <c r="S188" s="10"/>
      <c r="T188" s="155"/>
      <c r="U188" s="156" t="s">
        <v>20</v>
      </c>
      <c r="V188" s="14"/>
      <c r="W188" s="14"/>
      <c r="X188" s="14"/>
      <c r="Y188" s="176"/>
      <c r="Z188" s="176"/>
      <c r="AA188" s="176"/>
    </row>
    <row r="189" spans="1:28" s="175" customFormat="1" ht="15.75" customHeight="1">
      <c r="A189" s="149">
        <f t="shared" si="66"/>
        <v>188</v>
      </c>
      <c r="B189" s="7"/>
      <c r="C189" s="7"/>
      <c r="D189" s="8"/>
      <c r="E189" s="9">
        <v>45424</v>
      </c>
      <c r="F189" s="10">
        <v>15</v>
      </c>
      <c r="G189" s="10"/>
      <c r="H189" s="10">
        <f>IF($F189&lt;&gt;"",SUM(F189:G189),"")</f>
        <v>15</v>
      </c>
      <c r="I189" s="8">
        <v>45631</v>
      </c>
      <c r="J189" s="7">
        <f t="shared" si="89"/>
        <v>12</v>
      </c>
      <c r="K189" s="11">
        <f t="shared" si="90"/>
        <v>207</v>
      </c>
      <c r="L189" s="10">
        <v>50</v>
      </c>
      <c r="M189" s="10">
        <v>15</v>
      </c>
      <c r="N189" s="10">
        <f t="shared" si="91"/>
        <v>65</v>
      </c>
      <c r="O189" s="10">
        <f>IFERROR(N189*0.1042+0.35,"")</f>
        <v>7.1229999999999993</v>
      </c>
      <c r="P189" s="10">
        <f>IF(I189="","",N189-O189)</f>
        <v>57.877000000000002</v>
      </c>
      <c r="Q189" s="10">
        <v>4.99</v>
      </c>
      <c r="R189" s="10">
        <f>IF(I189="","",P189-H189-Q189)</f>
        <v>37.887</v>
      </c>
      <c r="S189" s="10" t="s">
        <v>16</v>
      </c>
      <c r="T189" s="12"/>
      <c r="U189" s="13" t="s">
        <v>17</v>
      </c>
      <c r="V189" s="157"/>
      <c r="W189" s="157"/>
      <c r="X189" s="157"/>
      <c r="Y189" s="176"/>
      <c r="Z189" s="176"/>
      <c r="AA189" s="176"/>
    </row>
    <row r="190" spans="1:28" s="175" customFormat="1" ht="15.75" customHeight="1">
      <c r="A190" s="149">
        <f t="shared" si="66"/>
        <v>189</v>
      </c>
      <c r="B190" s="27"/>
      <c r="C190" s="27"/>
      <c r="D190" s="27"/>
      <c r="E190" s="28">
        <v>45060</v>
      </c>
      <c r="F190" s="29">
        <v>0</v>
      </c>
      <c r="G190" s="29"/>
      <c r="H190" s="29">
        <v>0</v>
      </c>
      <c r="I190" s="30"/>
      <c r="J190" s="27" t="str">
        <f t="shared" si="7"/>
        <v/>
      </c>
      <c r="K190" s="31" t="str">
        <f t="shared" si="2"/>
        <v/>
      </c>
      <c r="L190" s="29">
        <v>10</v>
      </c>
      <c r="M190" s="29"/>
      <c r="N190" s="29" t="str">
        <f t="shared" ref="N190:N207" si="92">IF($I190&lt;&gt;"",SUM(L190:M190),"")</f>
        <v/>
      </c>
      <c r="O190" s="29"/>
      <c r="P190" s="29" t="str">
        <f t="shared" si="4"/>
        <v/>
      </c>
      <c r="Q190" s="29"/>
      <c r="R190" s="29" t="str">
        <f t="shared" si="5"/>
        <v/>
      </c>
      <c r="S190" s="29"/>
      <c r="T190" s="12"/>
      <c r="U190" s="13"/>
      <c r="V190" s="157"/>
      <c r="W190" s="157"/>
      <c r="X190" s="157"/>
      <c r="Y190" s="176"/>
      <c r="Z190" s="176"/>
      <c r="AA190" s="176"/>
    </row>
    <row r="191" spans="1:28" s="175" customFormat="1" ht="15.75" customHeight="1">
      <c r="A191" s="149">
        <f t="shared" si="66"/>
        <v>190</v>
      </c>
      <c r="B191" s="7"/>
      <c r="C191" s="7"/>
      <c r="D191" s="8"/>
      <c r="E191" s="9">
        <v>45431</v>
      </c>
      <c r="F191" s="10">
        <v>30</v>
      </c>
      <c r="G191" s="10"/>
      <c r="H191" s="10">
        <f>IF($F191&lt;&gt;"",SUM(F191:G191),"")</f>
        <v>30</v>
      </c>
      <c r="I191" s="8"/>
      <c r="J191" s="7" t="str">
        <f t="shared" si="7"/>
        <v/>
      </c>
      <c r="K191" s="11" t="str">
        <f t="shared" si="2"/>
        <v/>
      </c>
      <c r="L191" s="10">
        <v>80</v>
      </c>
      <c r="M191" s="10"/>
      <c r="N191" s="10" t="str">
        <f t="shared" si="92"/>
        <v/>
      </c>
      <c r="O191" s="10" t="str">
        <f>IFERROR(N191*0.1042+0.35,"")</f>
        <v/>
      </c>
      <c r="P191" s="10" t="str">
        <f t="shared" ref="P191" si="93">IF(I191="","",N191-O191)</f>
        <v/>
      </c>
      <c r="Q191" s="10"/>
      <c r="R191" s="10" t="str">
        <f t="shared" ref="R191" si="94">IF(I191="","",P191-H191-Q191)</f>
        <v/>
      </c>
      <c r="S191" s="10"/>
      <c r="T191" s="12"/>
      <c r="U191" s="13"/>
      <c r="V191" s="157"/>
      <c r="W191" s="157"/>
      <c r="X191" s="157"/>
      <c r="Y191" s="176"/>
      <c r="Z191" s="176"/>
      <c r="AA191" s="176"/>
    </row>
    <row r="192" spans="1:28" s="175" customFormat="1" ht="15.75" customHeight="1">
      <c r="A192" s="149">
        <f t="shared" si="66"/>
        <v>191</v>
      </c>
      <c r="B192" s="7"/>
      <c r="C192" s="7"/>
      <c r="D192" s="7"/>
      <c r="E192" s="9">
        <v>45081</v>
      </c>
      <c r="F192" s="10">
        <v>12</v>
      </c>
      <c r="G192" s="10">
        <v>50</v>
      </c>
      <c r="H192" s="10">
        <f t="shared" ref="H192:H217" si="95">IF($F192&lt;&gt;"",SUM(F192:G192),"")</f>
        <v>62</v>
      </c>
      <c r="I192" s="8"/>
      <c r="J192" s="7" t="str">
        <f t="shared" si="7"/>
        <v/>
      </c>
      <c r="K192" s="11" t="str">
        <f t="shared" si="2"/>
        <v/>
      </c>
      <c r="L192" s="10">
        <v>70</v>
      </c>
      <c r="M192" s="10"/>
      <c r="N192" s="10" t="str">
        <f t="shared" si="92"/>
        <v/>
      </c>
      <c r="O192" s="10" t="str">
        <f t="shared" ref="O192:O250" si="96">IFERROR(N192*0.1042+0.35,"")</f>
        <v/>
      </c>
      <c r="P192" s="10" t="str">
        <f t="shared" si="4"/>
        <v/>
      </c>
      <c r="Q192" s="10"/>
      <c r="R192" s="10" t="str">
        <f t="shared" si="5"/>
        <v/>
      </c>
      <c r="S192" s="10"/>
      <c r="T192" s="12"/>
      <c r="U192" s="17"/>
      <c r="V192" s="157"/>
      <c r="W192" s="157"/>
      <c r="X192" s="157"/>
      <c r="Y192" s="176"/>
      <c r="Z192" s="176"/>
      <c r="AA192" s="176"/>
    </row>
    <row r="193" spans="1:27" s="175" customFormat="1" ht="15.75" customHeight="1">
      <c r="A193" s="149">
        <f t="shared" si="66"/>
        <v>192</v>
      </c>
      <c r="B193" s="7"/>
      <c r="C193" s="7"/>
      <c r="D193" s="8"/>
      <c r="E193" s="32">
        <v>45130</v>
      </c>
      <c r="F193" s="10">
        <v>25</v>
      </c>
      <c r="G193" s="10"/>
      <c r="H193" s="10">
        <f t="shared" si="95"/>
        <v>25</v>
      </c>
      <c r="I193" s="8"/>
      <c r="J193" s="7" t="str">
        <f t="shared" si="7"/>
        <v/>
      </c>
      <c r="K193" s="11" t="str">
        <f t="shared" si="2"/>
        <v/>
      </c>
      <c r="L193" s="10">
        <v>40</v>
      </c>
      <c r="M193" s="10"/>
      <c r="N193" s="10" t="str">
        <f t="shared" si="92"/>
        <v/>
      </c>
      <c r="O193" s="10" t="str">
        <f t="shared" si="96"/>
        <v/>
      </c>
      <c r="P193" s="10" t="str">
        <f t="shared" si="4"/>
        <v/>
      </c>
      <c r="Q193" s="10"/>
      <c r="R193" s="10" t="str">
        <f t="shared" si="5"/>
        <v/>
      </c>
      <c r="S193" s="10"/>
      <c r="T193" s="12"/>
      <c r="U193" s="17"/>
      <c r="V193" s="157"/>
      <c r="W193" s="157"/>
      <c r="X193" s="157"/>
      <c r="Y193" s="176"/>
      <c r="Z193" s="176"/>
      <c r="AA193" s="176"/>
    </row>
    <row r="194" spans="1:27" s="175" customFormat="1" ht="15.75" customHeight="1">
      <c r="A194" s="149">
        <f t="shared" si="66"/>
        <v>193</v>
      </c>
      <c r="B194" s="7"/>
      <c r="C194" s="7"/>
      <c r="D194" s="8"/>
      <c r="E194" s="9">
        <v>45165</v>
      </c>
      <c r="F194" s="10">
        <v>10</v>
      </c>
      <c r="G194" s="10"/>
      <c r="H194" s="10">
        <f t="shared" si="95"/>
        <v>10</v>
      </c>
      <c r="I194" s="8"/>
      <c r="J194" s="7" t="str">
        <f t="shared" si="7"/>
        <v/>
      </c>
      <c r="K194" s="11" t="str">
        <f t="shared" si="2"/>
        <v/>
      </c>
      <c r="L194" s="10">
        <v>50</v>
      </c>
      <c r="M194" s="10"/>
      <c r="N194" s="10" t="str">
        <f t="shared" si="92"/>
        <v/>
      </c>
      <c r="O194" s="10" t="str">
        <f t="shared" si="96"/>
        <v/>
      </c>
      <c r="P194" s="10" t="str">
        <f t="shared" ref="P194:P251" si="97">IF(I194="","",N194-O194)</f>
        <v/>
      </c>
      <c r="Q194" s="10"/>
      <c r="R194" s="10" t="str">
        <f t="shared" ref="R194:R251" si="98">IF(I194="","",P194-H194-Q194)</f>
        <v/>
      </c>
      <c r="S194" s="10"/>
      <c r="T194" s="12"/>
      <c r="U194" s="17"/>
      <c r="V194" s="157"/>
      <c r="W194" s="157"/>
      <c r="X194" s="157"/>
      <c r="Y194" s="176"/>
      <c r="Z194" s="176"/>
      <c r="AA194" s="176"/>
    </row>
    <row r="195" spans="1:27" s="148" customFormat="1" ht="15.75" customHeight="1">
      <c r="A195" s="149">
        <f t="shared" si="66"/>
        <v>194</v>
      </c>
      <c r="B195" s="7"/>
      <c r="C195" s="7"/>
      <c r="D195" s="8"/>
      <c r="E195" s="9">
        <v>45165</v>
      </c>
      <c r="F195" s="10">
        <v>10</v>
      </c>
      <c r="G195" s="10"/>
      <c r="H195" s="10">
        <f t="shared" si="95"/>
        <v>10</v>
      </c>
      <c r="I195" s="8"/>
      <c r="J195" s="7" t="str">
        <f t="shared" si="7"/>
        <v/>
      </c>
      <c r="K195" s="11" t="str">
        <f t="shared" si="2"/>
        <v/>
      </c>
      <c r="L195" s="10">
        <v>40</v>
      </c>
      <c r="M195" s="10"/>
      <c r="N195" s="10" t="str">
        <f t="shared" si="92"/>
        <v/>
      </c>
      <c r="O195" s="10" t="str">
        <f t="shared" si="96"/>
        <v/>
      </c>
      <c r="P195" s="10" t="str">
        <f t="shared" si="97"/>
        <v/>
      </c>
      <c r="Q195" s="10"/>
      <c r="R195" s="10" t="str">
        <f t="shared" si="98"/>
        <v/>
      </c>
      <c r="S195" s="10"/>
      <c r="T195" s="12"/>
      <c r="U195" s="17"/>
      <c r="V195" s="157"/>
      <c r="W195" s="157"/>
      <c r="X195" s="157"/>
      <c r="Y195" s="149"/>
      <c r="Z195" s="149"/>
      <c r="AA195" s="149"/>
    </row>
    <row r="196" spans="1:27" s="175" customFormat="1" ht="15.75" customHeight="1">
      <c r="A196" s="149">
        <f t="shared" si="66"/>
        <v>195</v>
      </c>
      <c r="B196" s="7"/>
      <c r="C196" s="7"/>
      <c r="D196" s="8"/>
      <c r="E196" s="9">
        <v>45165</v>
      </c>
      <c r="F196" s="10">
        <v>5</v>
      </c>
      <c r="G196" s="10"/>
      <c r="H196" s="10">
        <f t="shared" si="95"/>
        <v>5</v>
      </c>
      <c r="I196" s="8"/>
      <c r="J196" s="7" t="str">
        <f t="shared" si="7"/>
        <v/>
      </c>
      <c r="K196" s="11" t="str">
        <f t="shared" si="2"/>
        <v/>
      </c>
      <c r="L196" s="10">
        <v>20</v>
      </c>
      <c r="M196" s="10"/>
      <c r="N196" s="10" t="str">
        <f t="shared" si="92"/>
        <v/>
      </c>
      <c r="O196" s="10" t="str">
        <f t="shared" si="96"/>
        <v/>
      </c>
      <c r="P196" s="10" t="str">
        <f t="shared" si="97"/>
        <v/>
      </c>
      <c r="Q196" s="10"/>
      <c r="R196" s="10" t="str">
        <f t="shared" si="98"/>
        <v/>
      </c>
      <c r="S196" s="10"/>
      <c r="T196" s="12"/>
      <c r="U196" s="17"/>
      <c r="V196" s="157"/>
      <c r="W196" s="157"/>
      <c r="X196" s="157"/>
      <c r="Y196" s="176"/>
      <c r="Z196" s="176"/>
      <c r="AA196" s="176"/>
    </row>
    <row r="197" spans="1:27" s="148" customFormat="1" ht="15.75" customHeight="1">
      <c r="A197" s="149">
        <f>A196+1</f>
        <v>196</v>
      </c>
      <c r="B197" s="7"/>
      <c r="C197" s="7"/>
      <c r="D197" s="8"/>
      <c r="E197" s="9">
        <v>45179</v>
      </c>
      <c r="F197" s="10">
        <v>2</v>
      </c>
      <c r="G197" s="10"/>
      <c r="H197" s="10">
        <f t="shared" si="95"/>
        <v>2</v>
      </c>
      <c r="I197" s="8"/>
      <c r="J197" s="7" t="str">
        <f t="shared" si="7"/>
        <v/>
      </c>
      <c r="K197" s="11" t="str">
        <f t="shared" si="2"/>
        <v/>
      </c>
      <c r="L197" s="10">
        <v>15</v>
      </c>
      <c r="M197" s="10"/>
      <c r="N197" s="10" t="str">
        <f t="shared" si="92"/>
        <v/>
      </c>
      <c r="O197" s="10" t="str">
        <f t="shared" si="96"/>
        <v/>
      </c>
      <c r="P197" s="10" t="str">
        <f t="shared" si="97"/>
        <v/>
      </c>
      <c r="Q197" s="10"/>
      <c r="R197" s="10" t="str">
        <f t="shared" si="98"/>
        <v/>
      </c>
      <c r="S197" s="10"/>
      <c r="T197" s="12"/>
      <c r="U197" s="17"/>
      <c r="V197" s="157"/>
      <c r="W197" s="157"/>
      <c r="X197" s="157"/>
      <c r="Y197" s="149"/>
      <c r="Z197" s="149"/>
      <c r="AA197" s="149"/>
    </row>
    <row r="198" spans="1:27" s="148" customFormat="1" ht="15.75" customHeight="1">
      <c r="A198" s="149">
        <f t="shared" si="66"/>
        <v>197</v>
      </c>
      <c r="B198" s="7"/>
      <c r="C198" s="7"/>
      <c r="D198" s="8"/>
      <c r="E198" s="9">
        <v>45193</v>
      </c>
      <c r="F198" s="10">
        <v>5</v>
      </c>
      <c r="G198" s="10"/>
      <c r="H198" s="10">
        <f t="shared" si="95"/>
        <v>5</v>
      </c>
      <c r="I198" s="8"/>
      <c r="J198" s="7" t="str">
        <f t="shared" si="7"/>
        <v/>
      </c>
      <c r="K198" s="11" t="str">
        <f t="shared" si="2"/>
        <v/>
      </c>
      <c r="L198" s="10">
        <v>30</v>
      </c>
      <c r="M198" s="10"/>
      <c r="N198" s="10" t="str">
        <f t="shared" si="92"/>
        <v/>
      </c>
      <c r="O198" s="10" t="str">
        <f t="shared" si="96"/>
        <v/>
      </c>
      <c r="P198" s="10" t="str">
        <f t="shared" si="97"/>
        <v/>
      </c>
      <c r="Q198" s="10"/>
      <c r="R198" s="10" t="str">
        <f t="shared" si="98"/>
        <v/>
      </c>
      <c r="S198" s="10"/>
      <c r="T198" s="12"/>
      <c r="U198" s="13"/>
      <c r="V198" s="157"/>
      <c r="W198" s="157"/>
      <c r="X198" s="157"/>
      <c r="Y198" s="149"/>
      <c r="Z198" s="149"/>
      <c r="AA198" s="149"/>
    </row>
    <row r="199" spans="1:27" s="175" customFormat="1" ht="15.75" customHeight="1">
      <c r="A199" s="149">
        <f t="shared" si="66"/>
        <v>198</v>
      </c>
      <c r="B199" s="7"/>
      <c r="C199" s="7"/>
      <c r="D199" s="8"/>
      <c r="E199" s="9">
        <v>45088</v>
      </c>
      <c r="F199" s="10">
        <v>7.5</v>
      </c>
      <c r="G199" s="10"/>
      <c r="H199" s="10">
        <f t="shared" si="95"/>
        <v>7.5</v>
      </c>
      <c r="I199" s="8"/>
      <c r="J199" s="7" t="str">
        <f t="shared" si="7"/>
        <v/>
      </c>
      <c r="K199" s="11" t="str">
        <f t="shared" si="2"/>
        <v/>
      </c>
      <c r="L199" s="10">
        <v>40</v>
      </c>
      <c r="M199" s="10"/>
      <c r="N199" s="10" t="str">
        <f t="shared" si="92"/>
        <v/>
      </c>
      <c r="O199" s="10" t="str">
        <f t="shared" si="96"/>
        <v/>
      </c>
      <c r="P199" s="10" t="str">
        <f t="shared" si="97"/>
        <v/>
      </c>
      <c r="Q199" s="10"/>
      <c r="R199" s="10" t="str">
        <f t="shared" si="98"/>
        <v/>
      </c>
      <c r="S199" s="10"/>
      <c r="T199" s="155"/>
      <c r="U199" s="155"/>
      <c r="V199" s="157"/>
      <c r="W199" s="157"/>
      <c r="X199" s="157"/>
      <c r="Y199" s="176"/>
      <c r="Z199" s="176"/>
      <c r="AA199" s="176"/>
    </row>
    <row r="200" spans="1:27" s="148" customFormat="1" ht="15.75" customHeight="1">
      <c r="A200" s="149">
        <f t="shared" si="66"/>
        <v>199</v>
      </c>
      <c r="B200" s="7"/>
      <c r="C200" s="7"/>
      <c r="D200" s="8"/>
      <c r="E200" s="9">
        <v>45292</v>
      </c>
      <c r="F200" s="10">
        <v>0</v>
      </c>
      <c r="G200" s="10"/>
      <c r="H200" s="10">
        <f t="shared" si="95"/>
        <v>0</v>
      </c>
      <c r="I200" s="8"/>
      <c r="J200" s="7" t="str">
        <f t="shared" si="7"/>
        <v/>
      </c>
      <c r="K200" s="11" t="str">
        <f t="shared" si="2"/>
        <v/>
      </c>
      <c r="L200" s="10">
        <v>15</v>
      </c>
      <c r="M200" s="10"/>
      <c r="N200" s="10" t="str">
        <f t="shared" si="92"/>
        <v/>
      </c>
      <c r="O200" s="10" t="str">
        <f t="shared" si="96"/>
        <v/>
      </c>
      <c r="P200" s="10" t="str">
        <f t="shared" si="97"/>
        <v/>
      </c>
      <c r="Q200" s="10"/>
      <c r="R200" s="10" t="str">
        <f t="shared" si="98"/>
        <v/>
      </c>
      <c r="S200" s="10"/>
      <c r="T200" s="155"/>
      <c r="U200" s="156"/>
      <c r="V200" s="157"/>
      <c r="W200" s="157"/>
      <c r="X200" s="157"/>
      <c r="Y200" s="149"/>
      <c r="Z200" s="149"/>
      <c r="AA200" s="149"/>
    </row>
    <row r="201" spans="1:27" s="148" customFormat="1" ht="15.75" customHeight="1">
      <c r="A201" s="149">
        <f t="shared" si="66"/>
        <v>200</v>
      </c>
      <c r="B201" s="7"/>
      <c r="C201" s="7"/>
      <c r="D201" s="8"/>
      <c r="E201" s="9">
        <v>45333</v>
      </c>
      <c r="F201" s="10">
        <v>18</v>
      </c>
      <c r="G201" s="10"/>
      <c r="H201" s="10">
        <f t="shared" si="95"/>
        <v>18</v>
      </c>
      <c r="I201" s="8"/>
      <c r="J201" s="7"/>
      <c r="K201" s="11"/>
      <c r="L201" s="10">
        <v>30</v>
      </c>
      <c r="M201" s="10"/>
      <c r="N201" s="10" t="str">
        <f t="shared" si="92"/>
        <v/>
      </c>
      <c r="O201" s="10" t="str">
        <f t="shared" si="96"/>
        <v/>
      </c>
      <c r="P201" s="10" t="str">
        <f t="shared" si="97"/>
        <v/>
      </c>
      <c r="Q201" s="10"/>
      <c r="R201" s="10" t="str">
        <f t="shared" si="98"/>
        <v/>
      </c>
      <c r="S201" s="10"/>
      <c r="T201" s="155"/>
      <c r="U201" s="156"/>
      <c r="V201" s="157"/>
      <c r="W201" s="157"/>
      <c r="X201" s="157"/>
      <c r="Y201" s="149"/>
      <c r="Z201" s="149"/>
      <c r="AA201" s="149"/>
    </row>
    <row r="202" spans="1:27" ht="15.75" customHeight="1">
      <c r="A202" s="149">
        <f t="shared" si="66"/>
        <v>201</v>
      </c>
      <c r="B202" s="7"/>
      <c r="C202" s="7"/>
      <c r="D202" s="8"/>
      <c r="E202" s="9">
        <v>45333</v>
      </c>
      <c r="F202" s="10">
        <v>18</v>
      </c>
      <c r="G202" s="10"/>
      <c r="H202" s="10">
        <f t="shared" si="95"/>
        <v>18</v>
      </c>
      <c r="I202" s="8"/>
      <c r="J202" s="7" t="str">
        <f t="shared" ref="J202:J212" si="99">IF(I202="","",MONTH(I202))</f>
        <v/>
      </c>
      <c r="K202" s="11" t="str">
        <f t="shared" ref="K202:K214" si="100">IF($I202&lt;&gt;"",SUM(I202-E202),"")</f>
        <v/>
      </c>
      <c r="L202" s="10">
        <v>20</v>
      </c>
      <c r="M202" s="10"/>
      <c r="N202" s="10" t="str">
        <f t="shared" si="92"/>
        <v/>
      </c>
      <c r="O202" s="10" t="str">
        <f t="shared" si="96"/>
        <v/>
      </c>
      <c r="P202" s="10" t="str">
        <f t="shared" si="97"/>
        <v/>
      </c>
      <c r="Q202" s="10"/>
      <c r="R202" s="10" t="str">
        <f t="shared" si="98"/>
        <v/>
      </c>
      <c r="S202" s="10"/>
      <c r="T202" s="155"/>
      <c r="U202" s="156"/>
      <c r="V202" s="157"/>
      <c r="W202" s="157"/>
      <c r="X202" s="157"/>
      <c r="Y202" s="6"/>
      <c r="Z202" s="6"/>
      <c r="AA202" s="6"/>
    </row>
    <row r="203" spans="1:27" ht="15.75" customHeight="1">
      <c r="A203" s="149">
        <f t="shared" si="66"/>
        <v>202</v>
      </c>
      <c r="B203" s="7"/>
      <c r="C203" s="7"/>
      <c r="D203" s="8"/>
      <c r="E203" s="9">
        <v>45333</v>
      </c>
      <c r="F203" s="10">
        <v>18</v>
      </c>
      <c r="G203" s="10"/>
      <c r="H203" s="10">
        <f t="shared" si="95"/>
        <v>18</v>
      </c>
      <c r="I203" s="8"/>
      <c r="J203" s="7" t="str">
        <f t="shared" si="99"/>
        <v/>
      </c>
      <c r="K203" s="11" t="str">
        <f t="shared" si="100"/>
        <v/>
      </c>
      <c r="L203" s="10">
        <v>30</v>
      </c>
      <c r="M203" s="10"/>
      <c r="N203" s="10" t="str">
        <f t="shared" si="92"/>
        <v/>
      </c>
      <c r="O203" s="10" t="str">
        <f t="shared" si="96"/>
        <v/>
      </c>
      <c r="P203" s="10" t="str">
        <f t="shared" si="97"/>
        <v/>
      </c>
      <c r="Q203" s="10"/>
      <c r="R203" s="10" t="str">
        <f t="shared" si="98"/>
        <v/>
      </c>
      <c r="S203" s="10"/>
      <c r="T203" s="155"/>
      <c r="U203" s="156"/>
      <c r="V203" s="157"/>
      <c r="W203" s="157"/>
      <c r="X203" s="157"/>
      <c r="Y203" s="6"/>
      <c r="Z203" s="6"/>
      <c r="AA203" s="6"/>
    </row>
    <row r="204" spans="1:27" ht="15.75" customHeight="1">
      <c r="A204" s="149">
        <f t="shared" si="66"/>
        <v>203</v>
      </c>
      <c r="B204" s="7"/>
      <c r="C204" s="7"/>
      <c r="D204" s="8"/>
      <c r="E204" s="9">
        <v>45333</v>
      </c>
      <c r="F204" s="10">
        <v>18</v>
      </c>
      <c r="G204" s="10"/>
      <c r="H204" s="10">
        <f t="shared" si="95"/>
        <v>18</v>
      </c>
      <c r="I204" s="8"/>
      <c r="J204" s="7" t="str">
        <f t="shared" si="99"/>
        <v/>
      </c>
      <c r="K204" s="11" t="str">
        <f t="shared" si="100"/>
        <v/>
      </c>
      <c r="L204" s="10">
        <v>30</v>
      </c>
      <c r="M204" s="10"/>
      <c r="N204" s="10" t="str">
        <f t="shared" si="92"/>
        <v/>
      </c>
      <c r="O204" s="10" t="str">
        <f t="shared" si="96"/>
        <v/>
      </c>
      <c r="P204" s="10" t="str">
        <f t="shared" si="97"/>
        <v/>
      </c>
      <c r="Q204" s="10"/>
      <c r="R204" s="10" t="str">
        <f t="shared" si="98"/>
        <v/>
      </c>
      <c r="S204" s="10"/>
      <c r="T204" s="155"/>
      <c r="U204" s="156"/>
      <c r="V204" s="157"/>
      <c r="W204" s="157"/>
      <c r="X204" s="157"/>
      <c r="Y204" s="6"/>
      <c r="Z204" s="6"/>
      <c r="AA204" s="6"/>
    </row>
    <row r="205" spans="1:27" s="185" customFormat="1" ht="15.75" customHeight="1">
      <c r="A205" s="149">
        <f t="shared" si="66"/>
        <v>204</v>
      </c>
      <c r="B205" s="7"/>
      <c r="C205" s="7"/>
      <c r="D205" s="8"/>
      <c r="E205" s="9">
        <v>45333</v>
      </c>
      <c r="F205" s="10">
        <v>18</v>
      </c>
      <c r="G205" s="10"/>
      <c r="H205" s="10">
        <f t="shared" si="95"/>
        <v>18</v>
      </c>
      <c r="I205" s="8"/>
      <c r="J205" s="7" t="str">
        <f t="shared" si="99"/>
        <v/>
      </c>
      <c r="K205" s="11" t="str">
        <f t="shared" si="100"/>
        <v/>
      </c>
      <c r="L205" s="10">
        <v>30</v>
      </c>
      <c r="M205" s="10"/>
      <c r="N205" s="10" t="str">
        <f t="shared" si="92"/>
        <v/>
      </c>
      <c r="O205" s="10" t="str">
        <f t="shared" si="96"/>
        <v/>
      </c>
      <c r="P205" s="10" t="str">
        <f t="shared" si="97"/>
        <v/>
      </c>
      <c r="Q205" s="10"/>
      <c r="R205" s="10" t="str">
        <f t="shared" si="98"/>
        <v/>
      </c>
      <c r="S205" s="10"/>
      <c r="T205" s="155"/>
      <c r="U205" s="156"/>
      <c r="V205" s="157"/>
      <c r="W205" s="157"/>
      <c r="X205" s="157"/>
      <c r="Y205" s="184"/>
      <c r="Z205" s="184"/>
      <c r="AA205" s="184"/>
    </row>
    <row r="206" spans="1:27" s="148" customFormat="1" ht="15.75" customHeight="1">
      <c r="A206" s="149">
        <f t="shared" si="66"/>
        <v>205</v>
      </c>
      <c r="B206" s="7"/>
      <c r="C206" s="7"/>
      <c r="D206" s="8"/>
      <c r="E206" s="9">
        <v>45333</v>
      </c>
      <c r="F206" s="10">
        <v>0</v>
      </c>
      <c r="G206" s="10"/>
      <c r="H206" s="10">
        <f t="shared" si="95"/>
        <v>0</v>
      </c>
      <c r="I206" s="8"/>
      <c r="J206" s="7" t="str">
        <f t="shared" si="99"/>
        <v/>
      </c>
      <c r="K206" s="11" t="str">
        <f t="shared" si="100"/>
        <v/>
      </c>
      <c r="L206" s="10">
        <v>10</v>
      </c>
      <c r="M206" s="10"/>
      <c r="N206" s="10" t="str">
        <f t="shared" si="92"/>
        <v/>
      </c>
      <c r="O206" s="10" t="str">
        <f t="shared" si="96"/>
        <v/>
      </c>
      <c r="P206" s="10" t="str">
        <f t="shared" si="97"/>
        <v/>
      </c>
      <c r="Q206" s="10"/>
      <c r="R206" s="10" t="str">
        <f t="shared" si="98"/>
        <v/>
      </c>
      <c r="S206" s="10"/>
      <c r="T206" s="12"/>
      <c r="U206" s="13"/>
      <c r="V206" s="157"/>
      <c r="W206" s="157"/>
      <c r="X206" s="157"/>
      <c r="Y206" s="149"/>
      <c r="Z206" s="149"/>
      <c r="AA206" s="149"/>
    </row>
    <row r="207" spans="1:27" s="185" customFormat="1" ht="15.75" customHeight="1">
      <c r="A207" s="149">
        <f t="shared" si="66"/>
        <v>206</v>
      </c>
      <c r="B207" s="7"/>
      <c r="C207" s="7"/>
      <c r="D207" s="8"/>
      <c r="E207" s="9">
        <v>45333</v>
      </c>
      <c r="F207" s="10">
        <v>0</v>
      </c>
      <c r="G207" s="10"/>
      <c r="H207" s="10">
        <f t="shared" si="95"/>
        <v>0</v>
      </c>
      <c r="I207" s="8"/>
      <c r="J207" s="7" t="str">
        <f t="shared" si="99"/>
        <v/>
      </c>
      <c r="K207" s="11" t="str">
        <f t="shared" si="100"/>
        <v/>
      </c>
      <c r="L207" s="10">
        <v>15</v>
      </c>
      <c r="M207" s="10"/>
      <c r="N207" s="10" t="str">
        <f t="shared" si="92"/>
        <v/>
      </c>
      <c r="O207" s="10" t="str">
        <f t="shared" si="96"/>
        <v/>
      </c>
      <c r="P207" s="10" t="str">
        <f t="shared" si="97"/>
        <v/>
      </c>
      <c r="Q207" s="10"/>
      <c r="R207" s="10" t="str">
        <f t="shared" si="98"/>
        <v/>
      </c>
      <c r="S207" s="10"/>
      <c r="T207" s="12"/>
      <c r="U207" s="13"/>
      <c r="V207" s="157"/>
      <c r="W207" s="157"/>
      <c r="X207" s="157"/>
      <c r="Y207" s="184"/>
      <c r="Z207" s="184"/>
      <c r="AA207" s="184"/>
    </row>
    <row r="208" spans="1:27" s="185" customFormat="1" ht="15.75" customHeight="1">
      <c r="A208" s="149">
        <f t="shared" si="66"/>
        <v>207</v>
      </c>
      <c r="B208" s="7"/>
      <c r="C208" s="7"/>
      <c r="D208" s="8"/>
      <c r="E208" s="9">
        <v>45333</v>
      </c>
      <c r="F208" s="10">
        <v>0</v>
      </c>
      <c r="G208" s="10"/>
      <c r="H208" s="10">
        <f t="shared" si="95"/>
        <v>0</v>
      </c>
      <c r="I208" s="8"/>
      <c r="J208" s="7" t="str">
        <f t="shared" si="99"/>
        <v/>
      </c>
      <c r="K208" s="11" t="str">
        <f t="shared" si="100"/>
        <v/>
      </c>
      <c r="L208" s="10">
        <v>10</v>
      </c>
      <c r="M208" s="10"/>
      <c r="N208" s="10" t="str">
        <f t="shared" ref="N208:N222" si="101">IF($I208&lt;&gt;"",SUM(L208:M208),"")</f>
        <v/>
      </c>
      <c r="O208" s="10" t="str">
        <f t="shared" si="96"/>
        <v/>
      </c>
      <c r="P208" s="10" t="str">
        <f t="shared" si="97"/>
        <v/>
      </c>
      <c r="Q208" s="10"/>
      <c r="R208" s="10" t="str">
        <f t="shared" si="98"/>
        <v/>
      </c>
      <c r="S208" s="10"/>
      <c r="T208" s="12"/>
      <c r="U208" s="13"/>
      <c r="V208" s="157"/>
      <c r="W208" s="157"/>
      <c r="X208" s="157"/>
      <c r="Y208" s="184"/>
      <c r="Z208" s="184"/>
      <c r="AA208" s="184"/>
    </row>
    <row r="209" spans="1:27" s="185" customFormat="1" ht="15.75" customHeight="1">
      <c r="A209" s="149">
        <f t="shared" si="66"/>
        <v>208</v>
      </c>
      <c r="B209" s="7"/>
      <c r="C209" s="34"/>
      <c r="D209" s="8"/>
      <c r="E209" s="9">
        <v>45333</v>
      </c>
      <c r="F209" s="10">
        <v>0</v>
      </c>
      <c r="G209" s="10"/>
      <c r="H209" s="10">
        <f t="shared" si="95"/>
        <v>0</v>
      </c>
      <c r="I209" s="8"/>
      <c r="J209" s="7" t="str">
        <f t="shared" si="99"/>
        <v/>
      </c>
      <c r="K209" s="11" t="str">
        <f t="shared" si="100"/>
        <v/>
      </c>
      <c r="L209" s="10">
        <v>10</v>
      </c>
      <c r="M209" s="10"/>
      <c r="N209" s="10" t="str">
        <f t="shared" si="101"/>
        <v/>
      </c>
      <c r="O209" s="10" t="str">
        <f t="shared" si="96"/>
        <v/>
      </c>
      <c r="P209" s="10" t="str">
        <f t="shared" si="97"/>
        <v/>
      </c>
      <c r="Q209" s="10"/>
      <c r="R209" s="10" t="str">
        <f t="shared" si="98"/>
        <v/>
      </c>
      <c r="S209" s="10"/>
      <c r="T209" s="12"/>
      <c r="U209" s="13"/>
      <c r="V209" s="157"/>
      <c r="W209" s="157"/>
      <c r="X209" s="157"/>
      <c r="Y209" s="184"/>
      <c r="Z209" s="184"/>
      <c r="AA209" s="184"/>
    </row>
    <row r="210" spans="1:27" s="185" customFormat="1" ht="15.75" customHeight="1">
      <c r="A210" s="149">
        <f t="shared" si="66"/>
        <v>209</v>
      </c>
      <c r="B210" s="7"/>
      <c r="C210" s="7"/>
      <c r="D210" s="8"/>
      <c r="E210" s="9">
        <v>45333</v>
      </c>
      <c r="F210" s="10">
        <v>0</v>
      </c>
      <c r="G210" s="10"/>
      <c r="H210" s="10">
        <f t="shared" si="95"/>
        <v>0</v>
      </c>
      <c r="I210" s="8"/>
      <c r="J210" s="7" t="str">
        <f t="shared" si="99"/>
        <v/>
      </c>
      <c r="K210" s="11" t="str">
        <f t="shared" si="100"/>
        <v/>
      </c>
      <c r="L210" s="10">
        <v>10</v>
      </c>
      <c r="M210" s="10"/>
      <c r="N210" s="10" t="str">
        <f t="shared" si="101"/>
        <v/>
      </c>
      <c r="O210" s="10" t="str">
        <f t="shared" si="96"/>
        <v/>
      </c>
      <c r="P210" s="10" t="str">
        <f t="shared" si="97"/>
        <v/>
      </c>
      <c r="Q210" s="10"/>
      <c r="R210" s="10" t="str">
        <f t="shared" si="98"/>
        <v/>
      </c>
      <c r="S210" s="10"/>
      <c r="T210" s="12"/>
      <c r="U210" s="13"/>
      <c r="V210" s="157"/>
      <c r="W210" s="157"/>
      <c r="X210" s="157"/>
      <c r="Y210" s="184"/>
      <c r="Z210" s="184"/>
      <c r="AA210" s="184"/>
    </row>
    <row r="211" spans="1:27" s="185" customFormat="1" ht="15.75" customHeight="1">
      <c r="A211" s="149">
        <f>A210+1</f>
        <v>210</v>
      </c>
      <c r="B211" s="150"/>
      <c r="C211" s="150"/>
      <c r="D211" s="151"/>
      <c r="E211" s="152">
        <v>45333</v>
      </c>
      <c r="F211" s="153">
        <v>0</v>
      </c>
      <c r="G211" s="153"/>
      <c r="H211" s="153">
        <f t="shared" si="95"/>
        <v>0</v>
      </c>
      <c r="I211" s="151"/>
      <c r="J211" s="150" t="str">
        <f t="shared" si="99"/>
        <v/>
      </c>
      <c r="K211" s="154" t="str">
        <f t="shared" si="100"/>
        <v/>
      </c>
      <c r="L211" s="153">
        <v>10</v>
      </c>
      <c r="M211" s="153"/>
      <c r="N211" s="153" t="str">
        <f t="shared" si="101"/>
        <v/>
      </c>
      <c r="O211" s="10" t="str">
        <f t="shared" si="96"/>
        <v/>
      </c>
      <c r="P211" s="10" t="str">
        <f t="shared" si="97"/>
        <v/>
      </c>
      <c r="Q211" s="10"/>
      <c r="R211" s="10" t="str">
        <f t="shared" si="98"/>
        <v/>
      </c>
      <c r="S211" s="10"/>
      <c r="T211" s="155"/>
      <c r="U211" s="156"/>
      <c r="V211" s="157"/>
      <c r="W211" s="157"/>
      <c r="X211" s="157"/>
      <c r="Y211" s="184"/>
      <c r="Z211" s="184"/>
      <c r="AA211" s="184"/>
    </row>
    <row r="212" spans="1:27" s="185" customFormat="1" ht="15.75" customHeight="1">
      <c r="A212" s="149">
        <f t="shared" si="66"/>
        <v>211</v>
      </c>
      <c r="B212" s="7"/>
      <c r="C212" s="7"/>
      <c r="D212" s="8"/>
      <c r="E212" s="9">
        <v>45292</v>
      </c>
      <c r="F212" s="10">
        <v>0</v>
      </c>
      <c r="G212" s="10"/>
      <c r="H212" s="10">
        <f t="shared" si="95"/>
        <v>0</v>
      </c>
      <c r="I212" s="8"/>
      <c r="J212" s="7" t="str">
        <f t="shared" si="99"/>
        <v/>
      </c>
      <c r="K212" s="11" t="str">
        <f t="shared" si="100"/>
        <v/>
      </c>
      <c r="L212" s="10">
        <v>20</v>
      </c>
      <c r="M212" s="10"/>
      <c r="N212" s="10" t="str">
        <f t="shared" si="101"/>
        <v/>
      </c>
      <c r="O212" s="10" t="str">
        <f t="shared" si="96"/>
        <v/>
      </c>
      <c r="P212" s="10" t="str">
        <f t="shared" si="97"/>
        <v/>
      </c>
      <c r="Q212" s="10"/>
      <c r="R212" s="10" t="str">
        <f t="shared" si="98"/>
        <v/>
      </c>
      <c r="S212" s="10"/>
      <c r="T212" s="12"/>
      <c r="U212" s="13"/>
      <c r="V212" s="157"/>
      <c r="W212" s="157"/>
      <c r="X212" s="157"/>
      <c r="Y212" s="184"/>
      <c r="Z212" s="184"/>
      <c r="AA212" s="184"/>
    </row>
    <row r="213" spans="1:27" s="185" customFormat="1" ht="15.75" customHeight="1">
      <c r="A213" s="149">
        <f t="shared" si="66"/>
        <v>212</v>
      </c>
      <c r="B213" s="7"/>
      <c r="C213" s="7"/>
      <c r="D213" s="8"/>
      <c r="E213" s="9">
        <v>45403</v>
      </c>
      <c r="F213" s="10">
        <v>10</v>
      </c>
      <c r="G213" s="10"/>
      <c r="H213" s="10">
        <f t="shared" si="95"/>
        <v>10</v>
      </c>
      <c r="I213" s="8"/>
      <c r="J213" s="7"/>
      <c r="K213" s="11" t="str">
        <f t="shared" si="100"/>
        <v/>
      </c>
      <c r="L213" s="10">
        <v>15</v>
      </c>
      <c r="M213" s="10"/>
      <c r="N213" s="10" t="str">
        <f t="shared" si="101"/>
        <v/>
      </c>
      <c r="O213" s="10" t="str">
        <f t="shared" si="96"/>
        <v/>
      </c>
      <c r="P213" s="10" t="str">
        <f t="shared" si="97"/>
        <v/>
      </c>
      <c r="Q213" s="10"/>
      <c r="R213" s="10" t="str">
        <f t="shared" si="98"/>
        <v/>
      </c>
      <c r="S213" s="10"/>
      <c r="T213" s="12"/>
      <c r="U213" s="13"/>
      <c r="V213" s="157"/>
      <c r="W213" s="157"/>
      <c r="X213" s="157"/>
      <c r="Y213" s="184"/>
      <c r="Z213" s="184"/>
      <c r="AA213" s="184"/>
    </row>
    <row r="214" spans="1:27" s="148" customFormat="1" ht="15.75" customHeight="1">
      <c r="A214" s="149">
        <f t="shared" si="66"/>
        <v>213</v>
      </c>
      <c r="B214" s="7"/>
      <c r="C214" s="7"/>
      <c r="D214" s="8"/>
      <c r="E214" s="9">
        <v>45403</v>
      </c>
      <c r="F214" s="10">
        <v>5</v>
      </c>
      <c r="G214" s="10"/>
      <c r="H214" s="10">
        <f t="shared" si="95"/>
        <v>5</v>
      </c>
      <c r="I214" s="8"/>
      <c r="J214" s="7" t="str">
        <f>IF(I214="","",MONTH(I214))</f>
        <v/>
      </c>
      <c r="K214" s="11" t="str">
        <f t="shared" si="100"/>
        <v/>
      </c>
      <c r="L214" s="10">
        <v>30</v>
      </c>
      <c r="M214" s="10"/>
      <c r="N214" s="10" t="str">
        <f t="shared" si="101"/>
        <v/>
      </c>
      <c r="O214" s="10" t="str">
        <f t="shared" si="96"/>
        <v/>
      </c>
      <c r="P214" s="10" t="str">
        <f t="shared" si="97"/>
        <v/>
      </c>
      <c r="Q214" s="10"/>
      <c r="R214" s="10" t="str">
        <f t="shared" si="98"/>
        <v/>
      </c>
      <c r="S214" s="10"/>
      <c r="T214" s="12"/>
      <c r="U214" s="13"/>
      <c r="V214" s="157"/>
      <c r="W214" s="157"/>
      <c r="X214" s="157"/>
      <c r="Y214" s="149"/>
      <c r="Z214" s="149"/>
      <c r="AA214" s="149"/>
    </row>
    <row r="215" spans="1:27" s="185" customFormat="1" ht="15.75" customHeight="1">
      <c r="A215" s="149">
        <f t="shared" si="66"/>
        <v>214</v>
      </c>
      <c r="B215" s="7"/>
      <c r="C215" s="7"/>
      <c r="D215" s="8"/>
      <c r="E215" s="9">
        <v>45410</v>
      </c>
      <c r="F215" s="10">
        <v>5</v>
      </c>
      <c r="G215" s="10"/>
      <c r="H215" s="10">
        <f t="shared" si="95"/>
        <v>5</v>
      </c>
      <c r="I215" s="8"/>
      <c r="J215" s="7" t="str">
        <f t="shared" ref="J215:J271" si="102">IF(I215="","",MONTH(I215))</f>
        <v/>
      </c>
      <c r="K215" s="11" t="str">
        <f t="shared" ref="K215:K271" si="103">IF($I215&lt;&gt;"",SUM(I215-E215),"")</f>
        <v/>
      </c>
      <c r="L215" s="10">
        <v>20</v>
      </c>
      <c r="M215" s="10"/>
      <c r="N215" s="10" t="str">
        <f t="shared" si="101"/>
        <v/>
      </c>
      <c r="O215" s="10" t="str">
        <f t="shared" si="96"/>
        <v/>
      </c>
      <c r="P215" s="10" t="str">
        <f t="shared" si="97"/>
        <v/>
      </c>
      <c r="Q215" s="10"/>
      <c r="R215" s="10" t="str">
        <f t="shared" si="98"/>
        <v/>
      </c>
      <c r="S215" s="10"/>
      <c r="T215" s="12"/>
      <c r="U215" s="13"/>
      <c r="V215" s="157"/>
      <c r="W215" s="157"/>
      <c r="X215" s="157"/>
      <c r="Y215" s="184"/>
      <c r="Z215" s="184"/>
      <c r="AA215" s="184"/>
    </row>
    <row r="216" spans="1:27" s="148" customFormat="1" ht="15.75" customHeight="1">
      <c r="A216" s="149">
        <f t="shared" si="66"/>
        <v>215</v>
      </c>
      <c r="B216" s="7"/>
      <c r="C216" s="7"/>
      <c r="D216" s="8"/>
      <c r="E216" s="9">
        <v>45416</v>
      </c>
      <c r="F216" s="10">
        <v>8</v>
      </c>
      <c r="G216" s="10"/>
      <c r="H216" s="10">
        <f t="shared" si="95"/>
        <v>8</v>
      </c>
      <c r="I216" s="8"/>
      <c r="J216" s="7" t="str">
        <f t="shared" si="102"/>
        <v/>
      </c>
      <c r="K216" s="11" t="str">
        <f t="shared" si="103"/>
        <v/>
      </c>
      <c r="L216" s="10">
        <v>20</v>
      </c>
      <c r="M216" s="10"/>
      <c r="N216" s="10" t="str">
        <f t="shared" si="101"/>
        <v/>
      </c>
      <c r="O216" s="10" t="str">
        <f t="shared" si="96"/>
        <v/>
      </c>
      <c r="P216" s="10" t="str">
        <f t="shared" si="97"/>
        <v/>
      </c>
      <c r="Q216" s="10"/>
      <c r="R216" s="10" t="str">
        <f t="shared" si="98"/>
        <v/>
      </c>
      <c r="S216" s="10"/>
      <c r="T216" s="12"/>
      <c r="U216" s="13"/>
      <c r="V216" s="157"/>
      <c r="W216" s="157"/>
      <c r="X216" s="157"/>
      <c r="Y216" s="149"/>
      <c r="Z216" s="149"/>
      <c r="AA216" s="149"/>
    </row>
    <row r="217" spans="1:27" s="148" customFormat="1" ht="15.75" customHeight="1">
      <c r="A217" s="149">
        <f t="shared" si="66"/>
        <v>216</v>
      </c>
      <c r="B217" s="150"/>
      <c r="C217" s="150"/>
      <c r="D217" s="151"/>
      <c r="E217" s="152">
        <v>45418</v>
      </c>
      <c r="F217" s="153">
        <v>0</v>
      </c>
      <c r="G217" s="153"/>
      <c r="H217" s="153">
        <f t="shared" si="95"/>
        <v>0</v>
      </c>
      <c r="I217" s="151"/>
      <c r="J217" s="7" t="str">
        <f t="shared" si="102"/>
        <v/>
      </c>
      <c r="K217" s="154" t="str">
        <f t="shared" si="103"/>
        <v/>
      </c>
      <c r="L217" s="153">
        <v>60</v>
      </c>
      <c r="M217" s="153"/>
      <c r="N217" s="153" t="str">
        <f t="shared" si="101"/>
        <v/>
      </c>
      <c r="O217" s="10" t="str">
        <f t="shared" si="96"/>
        <v/>
      </c>
      <c r="P217" s="10" t="str">
        <f t="shared" si="97"/>
        <v/>
      </c>
      <c r="Q217" s="10"/>
      <c r="R217" s="10" t="str">
        <f t="shared" si="98"/>
        <v/>
      </c>
      <c r="S217" s="10"/>
      <c r="T217" s="155"/>
      <c r="U217" s="156"/>
      <c r="V217" s="157"/>
      <c r="W217" s="157"/>
      <c r="X217" s="157"/>
      <c r="Y217" s="149"/>
      <c r="Z217" s="149"/>
      <c r="AA217" s="149"/>
    </row>
    <row r="218" spans="1:27" s="148" customFormat="1" ht="15.75" customHeight="1">
      <c r="A218" s="149">
        <f t="shared" si="66"/>
        <v>217</v>
      </c>
      <c r="B218" s="7"/>
      <c r="C218" s="7"/>
      <c r="D218" s="8"/>
      <c r="E218" s="9">
        <v>45414</v>
      </c>
      <c r="F218" s="10">
        <v>7.5</v>
      </c>
      <c r="G218" s="10"/>
      <c r="H218" s="10">
        <f t="shared" ref="H218:H229" si="104">IF($F218&lt;&gt;"",SUM(F218:G218),"")</f>
        <v>7.5</v>
      </c>
      <c r="I218" s="8"/>
      <c r="J218" s="7" t="str">
        <f t="shared" si="102"/>
        <v/>
      </c>
      <c r="K218" s="11" t="str">
        <f t="shared" si="103"/>
        <v/>
      </c>
      <c r="L218" s="10">
        <v>30</v>
      </c>
      <c r="M218" s="10"/>
      <c r="N218" s="10" t="str">
        <f t="shared" si="101"/>
        <v/>
      </c>
      <c r="O218" s="10" t="str">
        <f t="shared" si="96"/>
        <v/>
      </c>
      <c r="P218" s="10" t="str">
        <f t="shared" si="97"/>
        <v/>
      </c>
      <c r="Q218" s="10"/>
      <c r="R218" s="10" t="str">
        <f t="shared" si="98"/>
        <v/>
      </c>
      <c r="S218" s="10"/>
      <c r="T218" s="12"/>
      <c r="U218" s="13"/>
      <c r="V218" s="157"/>
      <c r="W218" s="157"/>
      <c r="X218" s="157"/>
      <c r="Y218" s="149"/>
      <c r="Z218" s="149"/>
      <c r="AA218" s="149"/>
    </row>
    <row r="219" spans="1:27" s="148" customFormat="1" ht="15.75" customHeight="1">
      <c r="A219" s="149">
        <f t="shared" si="66"/>
        <v>218</v>
      </c>
      <c r="B219" s="7"/>
      <c r="C219" s="7"/>
      <c r="D219" s="8"/>
      <c r="E219" s="9">
        <v>45424</v>
      </c>
      <c r="F219" s="10">
        <v>50</v>
      </c>
      <c r="G219" s="10">
        <v>2.76</v>
      </c>
      <c r="H219" s="10">
        <f t="shared" si="104"/>
        <v>52.76</v>
      </c>
      <c r="I219" s="8"/>
      <c r="J219" s="7" t="str">
        <f t="shared" si="102"/>
        <v/>
      </c>
      <c r="K219" s="11" t="str">
        <f t="shared" si="103"/>
        <v/>
      </c>
      <c r="L219" s="10">
        <v>80</v>
      </c>
      <c r="M219" s="10"/>
      <c r="N219" s="10" t="str">
        <f t="shared" si="101"/>
        <v/>
      </c>
      <c r="O219" s="10" t="str">
        <f t="shared" si="96"/>
        <v/>
      </c>
      <c r="P219" s="10" t="str">
        <f t="shared" si="97"/>
        <v/>
      </c>
      <c r="Q219" s="10"/>
      <c r="R219" s="10" t="str">
        <f t="shared" si="98"/>
        <v/>
      </c>
      <c r="S219" s="10"/>
      <c r="T219" s="12"/>
      <c r="U219" s="13"/>
      <c r="V219" s="157"/>
      <c r="W219" s="157"/>
      <c r="X219" s="157"/>
      <c r="Y219" s="149"/>
      <c r="Z219" s="149"/>
      <c r="AA219" s="149"/>
    </row>
    <row r="220" spans="1:27" s="148" customFormat="1" ht="15.75" customHeight="1">
      <c r="A220" s="149">
        <f t="shared" si="66"/>
        <v>219</v>
      </c>
      <c r="B220" s="7"/>
      <c r="C220" s="7"/>
      <c r="D220" s="8"/>
      <c r="E220" s="9">
        <v>45431</v>
      </c>
      <c r="F220" s="10">
        <v>0</v>
      </c>
      <c r="G220" s="10"/>
      <c r="H220" s="10">
        <f t="shared" si="104"/>
        <v>0</v>
      </c>
      <c r="I220" s="8"/>
      <c r="J220" s="7" t="str">
        <f t="shared" si="102"/>
        <v/>
      </c>
      <c r="K220" s="11" t="str">
        <f t="shared" si="103"/>
        <v/>
      </c>
      <c r="L220" s="10">
        <v>10</v>
      </c>
      <c r="M220" s="10"/>
      <c r="N220" s="10" t="str">
        <f t="shared" si="101"/>
        <v/>
      </c>
      <c r="O220" s="10" t="str">
        <f t="shared" si="96"/>
        <v/>
      </c>
      <c r="P220" s="10" t="str">
        <f t="shared" si="97"/>
        <v/>
      </c>
      <c r="Q220" s="10"/>
      <c r="R220" s="10" t="str">
        <f t="shared" si="98"/>
        <v/>
      </c>
      <c r="S220" s="10"/>
      <c r="T220" s="12"/>
      <c r="U220" s="13"/>
      <c r="V220" s="157"/>
      <c r="W220" s="157"/>
      <c r="X220" s="14"/>
      <c r="Y220" s="149"/>
      <c r="Z220" s="149"/>
      <c r="AA220" s="149"/>
    </row>
    <row r="221" spans="1:27" s="202" customFormat="1" ht="15.75" customHeight="1">
      <c r="A221" s="149">
        <f t="shared" si="66"/>
        <v>220</v>
      </c>
      <c r="B221" s="7"/>
      <c r="C221" s="7"/>
      <c r="D221" s="8"/>
      <c r="E221" s="9">
        <v>45431</v>
      </c>
      <c r="F221" s="10">
        <v>0</v>
      </c>
      <c r="G221" s="10"/>
      <c r="H221" s="10">
        <f t="shared" si="104"/>
        <v>0</v>
      </c>
      <c r="I221" s="8"/>
      <c r="J221" s="7" t="str">
        <f t="shared" si="102"/>
        <v/>
      </c>
      <c r="K221" s="11" t="str">
        <f t="shared" si="103"/>
        <v/>
      </c>
      <c r="L221" s="10">
        <v>10</v>
      </c>
      <c r="M221" s="10"/>
      <c r="N221" s="10" t="str">
        <f t="shared" si="101"/>
        <v/>
      </c>
      <c r="O221" s="10" t="str">
        <f t="shared" si="96"/>
        <v/>
      </c>
      <c r="P221" s="10" t="str">
        <f t="shared" si="97"/>
        <v/>
      </c>
      <c r="Q221" s="10"/>
      <c r="R221" s="10" t="str">
        <f t="shared" si="98"/>
        <v/>
      </c>
      <c r="S221" s="10"/>
      <c r="T221" s="12"/>
      <c r="U221" s="13"/>
      <c r="V221" s="157"/>
      <c r="W221" s="157"/>
      <c r="X221" s="14"/>
      <c r="Y221" s="201"/>
      <c r="Z221" s="201"/>
      <c r="AA221" s="201"/>
    </row>
    <row r="222" spans="1:27" s="148" customFormat="1" ht="15.75" customHeight="1">
      <c r="A222" s="149">
        <f t="shared" si="66"/>
        <v>221</v>
      </c>
      <c r="B222" s="7"/>
      <c r="C222" s="7"/>
      <c r="D222" s="8"/>
      <c r="E222" s="9">
        <v>45432</v>
      </c>
      <c r="F222" s="10">
        <v>15</v>
      </c>
      <c r="G222" s="10"/>
      <c r="H222" s="10">
        <f t="shared" si="104"/>
        <v>15</v>
      </c>
      <c r="I222" s="8"/>
      <c r="J222" s="7" t="str">
        <f t="shared" si="102"/>
        <v/>
      </c>
      <c r="K222" s="11" t="str">
        <f t="shared" si="103"/>
        <v/>
      </c>
      <c r="L222" s="10">
        <v>40</v>
      </c>
      <c r="M222" s="10"/>
      <c r="N222" s="10" t="str">
        <f t="shared" si="101"/>
        <v/>
      </c>
      <c r="O222" s="10" t="str">
        <f t="shared" si="96"/>
        <v/>
      </c>
      <c r="P222" s="10" t="str">
        <f t="shared" si="97"/>
        <v/>
      </c>
      <c r="Q222" s="10"/>
      <c r="R222" s="10" t="str">
        <f t="shared" si="98"/>
        <v/>
      </c>
      <c r="S222" s="10"/>
      <c r="T222" s="12"/>
      <c r="U222" s="13"/>
      <c r="V222" s="157"/>
      <c r="W222" s="14"/>
      <c r="X222" s="14"/>
      <c r="Y222" s="149"/>
      <c r="Z222" s="149"/>
      <c r="AA222" s="149"/>
    </row>
    <row r="223" spans="1:27" s="202" customFormat="1" ht="15.75" customHeight="1">
      <c r="A223" s="149">
        <f t="shared" si="66"/>
        <v>222</v>
      </c>
      <c r="B223" s="7"/>
      <c r="C223" s="35"/>
      <c r="D223" s="8"/>
      <c r="E223" s="9">
        <v>45431</v>
      </c>
      <c r="F223" s="10">
        <v>30</v>
      </c>
      <c r="G223" s="10"/>
      <c r="H223" s="10">
        <f t="shared" si="104"/>
        <v>30</v>
      </c>
      <c r="I223" s="8"/>
      <c r="J223" s="7" t="str">
        <f t="shared" si="102"/>
        <v/>
      </c>
      <c r="K223" s="11" t="str">
        <f t="shared" si="103"/>
        <v/>
      </c>
      <c r="L223" s="10">
        <v>60</v>
      </c>
      <c r="M223" s="10"/>
      <c r="N223" s="10" t="str">
        <f t="shared" ref="N223:N227" si="105">IF($I223&lt;&gt;"",SUM(L223:M223),"")</f>
        <v/>
      </c>
      <c r="O223" s="10" t="str">
        <f t="shared" si="96"/>
        <v/>
      </c>
      <c r="P223" s="10" t="str">
        <f t="shared" si="97"/>
        <v/>
      </c>
      <c r="Q223" s="10"/>
      <c r="R223" s="10" t="str">
        <f t="shared" si="98"/>
        <v/>
      </c>
      <c r="S223" s="10"/>
      <c r="T223" s="155"/>
      <c r="U223" s="156"/>
      <c r="V223" s="157"/>
      <c r="W223" s="14"/>
      <c r="X223" s="14"/>
      <c r="Y223" s="201"/>
      <c r="Z223" s="201"/>
      <c r="AA223" s="201"/>
    </row>
    <row r="224" spans="1:27" s="148" customFormat="1" ht="15.75" customHeight="1">
      <c r="A224" s="149">
        <f t="shared" si="66"/>
        <v>223</v>
      </c>
      <c r="B224" s="150"/>
      <c r="C224" s="150"/>
      <c r="D224" s="151"/>
      <c r="E224" s="152">
        <v>45431</v>
      </c>
      <c r="F224" s="153">
        <v>33</v>
      </c>
      <c r="G224" s="153">
        <v>80</v>
      </c>
      <c r="H224" s="153">
        <f t="shared" si="104"/>
        <v>113</v>
      </c>
      <c r="I224" s="151"/>
      <c r="J224" s="7" t="str">
        <f t="shared" si="102"/>
        <v/>
      </c>
      <c r="K224" s="11" t="str">
        <f t="shared" si="103"/>
        <v/>
      </c>
      <c r="L224" s="153">
        <v>250</v>
      </c>
      <c r="M224" s="153"/>
      <c r="N224" s="153" t="str">
        <f t="shared" si="105"/>
        <v/>
      </c>
      <c r="O224" s="10" t="str">
        <f t="shared" si="96"/>
        <v/>
      </c>
      <c r="P224" s="10" t="str">
        <f t="shared" si="97"/>
        <v/>
      </c>
      <c r="Q224" s="10"/>
      <c r="R224" s="10" t="str">
        <f t="shared" si="98"/>
        <v/>
      </c>
      <c r="S224" s="10"/>
      <c r="T224" s="155"/>
      <c r="U224" s="156"/>
      <c r="V224" s="157"/>
      <c r="W224" s="14"/>
      <c r="X224" s="14"/>
      <c r="Y224" s="149"/>
      <c r="Z224" s="149"/>
      <c r="AA224" s="149"/>
    </row>
    <row r="225" spans="1:27" s="202" customFormat="1" ht="15.75" customHeight="1">
      <c r="A225" s="149">
        <f t="shared" si="66"/>
        <v>224</v>
      </c>
      <c r="B225" s="7"/>
      <c r="C225" s="7"/>
      <c r="D225" s="8"/>
      <c r="E225" s="9">
        <v>45459</v>
      </c>
      <c r="F225" s="10">
        <v>0</v>
      </c>
      <c r="G225" s="10"/>
      <c r="H225" s="10">
        <f t="shared" si="104"/>
        <v>0</v>
      </c>
      <c r="I225" s="8"/>
      <c r="J225" s="7" t="str">
        <f t="shared" si="102"/>
        <v/>
      </c>
      <c r="K225" s="11" t="str">
        <f t="shared" si="103"/>
        <v/>
      </c>
      <c r="L225" s="10">
        <v>30</v>
      </c>
      <c r="M225" s="10"/>
      <c r="N225" s="10" t="str">
        <f t="shared" si="105"/>
        <v/>
      </c>
      <c r="O225" s="10" t="str">
        <f t="shared" si="96"/>
        <v/>
      </c>
      <c r="P225" s="10" t="str">
        <f t="shared" si="97"/>
        <v/>
      </c>
      <c r="Q225" s="10"/>
      <c r="R225" s="10" t="str">
        <f t="shared" si="98"/>
        <v/>
      </c>
      <c r="S225" s="10"/>
      <c r="T225" s="12"/>
      <c r="U225" s="13"/>
      <c r="V225" s="157"/>
      <c r="W225" s="14"/>
      <c r="X225" s="14"/>
      <c r="Y225" s="201"/>
      <c r="Z225" s="201"/>
      <c r="AA225" s="201"/>
    </row>
    <row r="226" spans="1:27" s="202" customFormat="1" ht="15.75" customHeight="1">
      <c r="A226" s="149">
        <f t="shared" si="66"/>
        <v>225</v>
      </c>
      <c r="B226" s="7"/>
      <c r="C226" s="7"/>
      <c r="D226" s="8"/>
      <c r="E226" s="9">
        <v>45460</v>
      </c>
      <c r="F226" s="10">
        <v>0</v>
      </c>
      <c r="G226" s="10"/>
      <c r="H226" s="10">
        <f t="shared" ref="H226" si="106">IF($F226&lt;&gt;"",SUM(F226:G226),"")</f>
        <v>0</v>
      </c>
      <c r="I226" s="8"/>
      <c r="J226" s="7" t="str">
        <f t="shared" si="102"/>
        <v/>
      </c>
      <c r="K226" s="11" t="str">
        <f t="shared" si="103"/>
        <v/>
      </c>
      <c r="L226" s="10">
        <v>20</v>
      </c>
      <c r="M226" s="10"/>
      <c r="N226" s="10" t="str">
        <f t="shared" si="105"/>
        <v/>
      </c>
      <c r="O226" s="10" t="str">
        <f t="shared" si="96"/>
        <v/>
      </c>
      <c r="P226" s="10" t="str">
        <f t="shared" si="97"/>
        <v/>
      </c>
      <c r="Q226" s="10"/>
      <c r="R226" s="10" t="str">
        <f t="shared" si="98"/>
        <v/>
      </c>
      <c r="S226" s="10"/>
      <c r="T226" s="12"/>
      <c r="U226" s="174"/>
      <c r="V226" s="14"/>
      <c r="W226" s="14"/>
      <c r="X226" s="14"/>
      <c r="Y226" s="201"/>
      <c r="Z226" s="201"/>
      <c r="AA226" s="201"/>
    </row>
    <row r="227" spans="1:27" s="148" customFormat="1" ht="15.75" customHeight="1">
      <c r="A227" s="149">
        <f t="shared" si="66"/>
        <v>226</v>
      </c>
      <c r="B227" s="150"/>
      <c r="C227" s="150"/>
      <c r="D227" s="151"/>
      <c r="E227" s="152">
        <v>45186</v>
      </c>
      <c r="F227" s="153">
        <v>12.5</v>
      </c>
      <c r="G227" s="153"/>
      <c r="H227" s="153">
        <f t="shared" si="104"/>
        <v>12.5</v>
      </c>
      <c r="I227" s="151"/>
      <c r="J227" s="7" t="str">
        <f t="shared" si="102"/>
        <v/>
      </c>
      <c r="K227" s="11" t="str">
        <f t="shared" si="103"/>
        <v/>
      </c>
      <c r="L227" s="153">
        <v>20</v>
      </c>
      <c r="M227" s="153"/>
      <c r="N227" s="153" t="str">
        <f t="shared" si="105"/>
        <v/>
      </c>
      <c r="O227" s="10" t="str">
        <f t="shared" si="96"/>
        <v/>
      </c>
      <c r="P227" s="10" t="str">
        <f t="shared" si="97"/>
        <v/>
      </c>
      <c r="Q227" s="10"/>
      <c r="R227" s="10" t="str">
        <f t="shared" si="98"/>
        <v/>
      </c>
      <c r="S227" s="10"/>
      <c r="T227" s="155"/>
      <c r="U227" s="178"/>
      <c r="V227" s="14"/>
      <c r="W227" s="14"/>
      <c r="X227" s="14"/>
      <c r="Y227" s="149"/>
      <c r="Z227" s="149"/>
      <c r="AA227" s="149"/>
    </row>
    <row r="228" spans="1:27" s="148" customFormat="1" ht="15.75" customHeight="1">
      <c r="A228" s="149">
        <f t="shared" si="66"/>
        <v>227</v>
      </c>
      <c r="B228" s="7"/>
      <c r="C228" s="7"/>
      <c r="D228" s="8"/>
      <c r="E228" s="9">
        <v>45508</v>
      </c>
      <c r="F228" s="10">
        <v>0</v>
      </c>
      <c r="G228" s="10"/>
      <c r="H228" s="153">
        <f t="shared" si="104"/>
        <v>0</v>
      </c>
      <c r="I228" s="8"/>
      <c r="J228" s="7" t="str">
        <f t="shared" si="102"/>
        <v/>
      </c>
      <c r="K228" s="11" t="str">
        <f t="shared" si="103"/>
        <v/>
      </c>
      <c r="L228" s="10">
        <v>20</v>
      </c>
      <c r="M228" s="10"/>
      <c r="N228" s="10" t="str">
        <f t="shared" ref="N228:N229" si="107">IF($I228&lt;&gt;"",SUM(L228:M228),"")</f>
        <v/>
      </c>
      <c r="O228" s="10" t="str">
        <f t="shared" si="96"/>
        <v/>
      </c>
      <c r="P228" s="10" t="str">
        <f t="shared" si="97"/>
        <v/>
      </c>
      <c r="Q228" s="10"/>
      <c r="R228" s="10" t="str">
        <f t="shared" si="98"/>
        <v/>
      </c>
      <c r="S228" s="10"/>
      <c r="T228" s="12"/>
      <c r="U228" s="177"/>
      <c r="V228" s="14"/>
      <c r="W228" s="14"/>
      <c r="X228" s="157"/>
      <c r="Y228" s="149"/>
      <c r="Z228" s="149"/>
      <c r="AA228" s="149"/>
    </row>
    <row r="229" spans="1:27" s="209" customFormat="1" ht="15.75" customHeight="1">
      <c r="A229" s="149">
        <f t="shared" si="66"/>
        <v>228</v>
      </c>
      <c r="B229" s="206"/>
      <c r="C229" s="150"/>
      <c r="D229" s="151"/>
      <c r="E229" s="152">
        <v>45507</v>
      </c>
      <c r="F229" s="153">
        <v>50</v>
      </c>
      <c r="G229" s="153">
        <v>50</v>
      </c>
      <c r="H229" s="153">
        <f t="shared" si="104"/>
        <v>100</v>
      </c>
      <c r="I229" s="151"/>
      <c r="J229" s="7" t="str">
        <f t="shared" si="102"/>
        <v/>
      </c>
      <c r="K229" s="11" t="str">
        <f t="shared" si="103"/>
        <v/>
      </c>
      <c r="L229" s="153">
        <v>150</v>
      </c>
      <c r="M229" s="153"/>
      <c r="N229" s="153" t="str">
        <f t="shared" si="107"/>
        <v/>
      </c>
      <c r="O229" s="10" t="str">
        <f t="shared" si="96"/>
        <v/>
      </c>
      <c r="P229" s="10" t="str">
        <f t="shared" si="97"/>
        <v/>
      </c>
      <c r="Q229" s="10"/>
      <c r="R229" s="10" t="str">
        <f t="shared" si="98"/>
        <v/>
      </c>
      <c r="S229" s="10"/>
      <c r="T229" s="155"/>
      <c r="U229" s="156"/>
      <c r="V229" s="14"/>
      <c r="W229" s="14"/>
      <c r="X229" s="14"/>
      <c r="Y229" s="208"/>
      <c r="Z229" s="208"/>
      <c r="AA229" s="208"/>
    </row>
    <row r="230" spans="1:27" s="209" customFormat="1" ht="15.75" customHeight="1">
      <c r="A230" s="149">
        <f t="shared" ref="A230:A274" si="108">A229+1</f>
        <v>229</v>
      </c>
      <c r="B230" s="150"/>
      <c r="C230" s="150"/>
      <c r="D230" s="151"/>
      <c r="E230" s="152">
        <v>45523</v>
      </c>
      <c r="F230" s="153">
        <v>50</v>
      </c>
      <c r="G230" s="153">
        <v>20</v>
      </c>
      <c r="H230" s="153">
        <f t="shared" ref="H230:H233" si="109">IF($F230&lt;&gt;"",SUM(F230:G230),"")</f>
        <v>70</v>
      </c>
      <c r="I230" s="151"/>
      <c r="J230" s="7" t="str">
        <f t="shared" si="102"/>
        <v/>
      </c>
      <c r="K230" s="11" t="str">
        <f t="shared" si="103"/>
        <v/>
      </c>
      <c r="L230" s="153">
        <v>120</v>
      </c>
      <c r="M230" s="153"/>
      <c r="N230" s="153" t="str">
        <f t="shared" ref="N230:N233" si="110">IF($I230&lt;&gt;"",SUM(L230:M230),"")</f>
        <v/>
      </c>
      <c r="O230" s="10" t="str">
        <f t="shared" si="96"/>
        <v/>
      </c>
      <c r="P230" s="10" t="str">
        <f t="shared" si="97"/>
        <v/>
      </c>
      <c r="Q230" s="10"/>
      <c r="R230" s="10" t="str">
        <f t="shared" si="98"/>
        <v/>
      </c>
      <c r="S230" s="10"/>
      <c r="T230" s="155"/>
      <c r="U230" s="156"/>
      <c r="V230" s="14"/>
      <c r="W230" s="14"/>
      <c r="X230" s="14"/>
      <c r="Y230" s="208"/>
      <c r="Z230" s="208"/>
      <c r="AA230" s="208"/>
    </row>
    <row r="231" spans="1:27" s="209" customFormat="1" ht="15.75" customHeight="1">
      <c r="A231" s="149">
        <f t="shared" si="108"/>
        <v>230</v>
      </c>
      <c r="B231" s="150"/>
      <c r="C231" s="150"/>
      <c r="D231" s="151"/>
      <c r="E231" s="152">
        <v>45536</v>
      </c>
      <c r="F231" s="153">
        <v>5</v>
      </c>
      <c r="G231" s="153"/>
      <c r="H231" s="153">
        <f t="shared" si="109"/>
        <v>5</v>
      </c>
      <c r="I231" s="151"/>
      <c r="J231" s="7" t="str">
        <f t="shared" si="102"/>
        <v/>
      </c>
      <c r="K231" s="11" t="str">
        <f t="shared" si="103"/>
        <v/>
      </c>
      <c r="L231" s="153">
        <v>50</v>
      </c>
      <c r="M231" s="153"/>
      <c r="N231" s="153" t="str">
        <f t="shared" si="110"/>
        <v/>
      </c>
      <c r="O231" s="10" t="str">
        <f t="shared" si="96"/>
        <v/>
      </c>
      <c r="P231" s="10" t="str">
        <f t="shared" si="97"/>
        <v/>
      </c>
      <c r="Q231" s="10"/>
      <c r="R231" s="10" t="str">
        <f t="shared" si="98"/>
        <v/>
      </c>
      <c r="S231" s="10"/>
      <c r="T231" s="12"/>
      <c r="U231" s="186"/>
      <c r="V231" s="14"/>
      <c r="W231" s="14"/>
      <c r="X231" s="14"/>
      <c r="Y231" s="208"/>
      <c r="Z231" s="208"/>
      <c r="AA231" s="208"/>
    </row>
    <row r="232" spans="1:27" s="148" customFormat="1" ht="15.75" customHeight="1">
      <c r="A232" s="149">
        <f t="shared" si="108"/>
        <v>231</v>
      </c>
      <c r="B232" s="150"/>
      <c r="C232" s="150"/>
      <c r="D232" s="151"/>
      <c r="E232" s="152">
        <v>45536</v>
      </c>
      <c r="F232" s="153">
        <v>10</v>
      </c>
      <c r="G232" s="153"/>
      <c r="H232" s="153">
        <f t="shared" si="109"/>
        <v>10</v>
      </c>
      <c r="I232" s="151"/>
      <c r="J232" s="7" t="str">
        <f t="shared" si="102"/>
        <v/>
      </c>
      <c r="K232" s="11" t="str">
        <f t="shared" si="103"/>
        <v/>
      </c>
      <c r="L232" s="153">
        <v>50</v>
      </c>
      <c r="M232" s="153"/>
      <c r="N232" s="153" t="str">
        <f t="shared" si="110"/>
        <v/>
      </c>
      <c r="O232" s="10" t="str">
        <f t="shared" si="96"/>
        <v/>
      </c>
      <c r="P232" s="10" t="str">
        <f t="shared" si="97"/>
        <v/>
      </c>
      <c r="Q232" s="10"/>
      <c r="R232" s="10" t="str">
        <f t="shared" si="98"/>
        <v/>
      </c>
      <c r="S232" s="10"/>
      <c r="T232" s="12"/>
      <c r="U232" s="186"/>
      <c r="V232" s="14"/>
      <c r="W232" s="14"/>
      <c r="X232" s="14"/>
      <c r="Y232" s="149"/>
      <c r="Z232" s="149"/>
      <c r="AA232" s="149"/>
    </row>
    <row r="233" spans="1:27" s="209" customFormat="1" ht="15.75" customHeight="1">
      <c r="A233" s="149">
        <f t="shared" si="108"/>
        <v>232</v>
      </c>
      <c r="B233" s="150"/>
      <c r="C233" s="150"/>
      <c r="D233" s="151"/>
      <c r="E233" s="152">
        <v>45536</v>
      </c>
      <c r="F233" s="153">
        <v>5</v>
      </c>
      <c r="G233" s="153"/>
      <c r="H233" s="153">
        <f t="shared" si="109"/>
        <v>5</v>
      </c>
      <c r="I233" s="151"/>
      <c r="J233" s="7" t="str">
        <f t="shared" si="102"/>
        <v/>
      </c>
      <c r="K233" s="11" t="str">
        <f t="shared" si="103"/>
        <v/>
      </c>
      <c r="L233" s="153">
        <v>45</v>
      </c>
      <c r="M233" s="153"/>
      <c r="N233" s="153" t="str">
        <f t="shared" si="110"/>
        <v/>
      </c>
      <c r="O233" s="10" t="str">
        <f t="shared" si="96"/>
        <v/>
      </c>
      <c r="P233" s="10" t="str">
        <f t="shared" si="97"/>
        <v/>
      </c>
      <c r="Q233" s="10"/>
      <c r="R233" s="10" t="str">
        <f t="shared" si="98"/>
        <v/>
      </c>
      <c r="S233" s="10"/>
      <c r="T233" s="12"/>
      <c r="U233" s="186"/>
      <c r="V233" s="14"/>
      <c r="W233" s="14"/>
      <c r="X233" s="14"/>
      <c r="Y233" s="208"/>
      <c r="Z233" s="208"/>
      <c r="AA233" s="208"/>
    </row>
    <row r="234" spans="1:27" s="209" customFormat="1" ht="15.75" customHeight="1">
      <c r="A234" s="149">
        <f t="shared" si="108"/>
        <v>233</v>
      </c>
      <c r="B234" s="150"/>
      <c r="C234" s="150"/>
      <c r="D234" s="151"/>
      <c r="E234" s="152">
        <v>45550</v>
      </c>
      <c r="F234" s="207">
        <v>20</v>
      </c>
      <c r="G234" s="153"/>
      <c r="H234" s="153">
        <f t="shared" ref="H234:H239" si="111">IF($F234&lt;&gt;"",SUM(F234:G234),"")</f>
        <v>20</v>
      </c>
      <c r="I234" s="151"/>
      <c r="J234" s="7" t="str">
        <f t="shared" si="102"/>
        <v/>
      </c>
      <c r="K234" s="11" t="str">
        <f t="shared" si="103"/>
        <v/>
      </c>
      <c r="L234" s="153">
        <v>80</v>
      </c>
      <c r="M234" s="153"/>
      <c r="N234" s="153" t="str">
        <f t="shared" ref="N234:N239" si="112">IF($I234&lt;&gt;"",SUM(L234:M234),"")</f>
        <v/>
      </c>
      <c r="O234" s="10" t="str">
        <f t="shared" si="96"/>
        <v/>
      </c>
      <c r="P234" s="10" t="str">
        <f t="shared" si="97"/>
        <v/>
      </c>
      <c r="Q234" s="10"/>
      <c r="R234" s="10" t="str">
        <f t="shared" si="98"/>
        <v/>
      </c>
      <c r="S234" s="10"/>
      <c r="T234" s="12"/>
      <c r="U234" s="156"/>
      <c r="V234" s="157"/>
      <c r="W234" s="157"/>
      <c r="X234" s="157"/>
      <c r="Y234" s="208"/>
      <c r="Z234" s="208"/>
      <c r="AA234" s="208"/>
    </row>
    <row r="235" spans="1:27" s="209" customFormat="1" ht="15.75" customHeight="1">
      <c r="A235" s="149">
        <f t="shared" si="108"/>
        <v>234</v>
      </c>
      <c r="B235" s="150"/>
      <c r="C235" s="150"/>
      <c r="D235" s="151"/>
      <c r="E235" s="152">
        <v>45550</v>
      </c>
      <c r="F235" s="207">
        <v>20</v>
      </c>
      <c r="G235" s="153"/>
      <c r="H235" s="153">
        <f t="shared" si="111"/>
        <v>20</v>
      </c>
      <c r="I235" s="151"/>
      <c r="J235" s="7" t="str">
        <f t="shared" si="102"/>
        <v/>
      </c>
      <c r="K235" s="11" t="str">
        <f t="shared" si="103"/>
        <v/>
      </c>
      <c r="L235" s="153">
        <v>50</v>
      </c>
      <c r="M235" s="153"/>
      <c r="N235" s="153" t="str">
        <f t="shared" si="112"/>
        <v/>
      </c>
      <c r="O235" s="10" t="str">
        <f t="shared" si="96"/>
        <v/>
      </c>
      <c r="P235" s="10" t="str">
        <f t="shared" si="97"/>
        <v/>
      </c>
      <c r="Q235" s="10"/>
      <c r="R235" s="10" t="str">
        <f t="shared" si="98"/>
        <v/>
      </c>
      <c r="S235" s="10"/>
      <c r="T235" s="155"/>
      <c r="U235" s="156"/>
      <c r="V235" s="157"/>
      <c r="W235" s="157"/>
      <c r="X235" s="157"/>
      <c r="Y235" s="208"/>
      <c r="Z235" s="208"/>
      <c r="AA235" s="208"/>
    </row>
    <row r="236" spans="1:27" s="212" customFormat="1" ht="15.75" customHeight="1">
      <c r="A236" s="149">
        <f t="shared" si="108"/>
        <v>235</v>
      </c>
      <c r="B236" s="150"/>
      <c r="C236" s="150"/>
      <c r="D236" s="151"/>
      <c r="E236" s="152">
        <v>45550</v>
      </c>
      <c r="F236" s="207">
        <v>0</v>
      </c>
      <c r="G236" s="153">
        <v>30</v>
      </c>
      <c r="H236" s="153">
        <f t="shared" si="111"/>
        <v>30</v>
      </c>
      <c r="I236" s="151"/>
      <c r="J236" s="7" t="str">
        <f t="shared" si="102"/>
        <v/>
      </c>
      <c r="K236" s="11" t="str">
        <f t="shared" si="103"/>
        <v/>
      </c>
      <c r="L236" s="153">
        <v>130</v>
      </c>
      <c r="M236" s="153"/>
      <c r="N236" s="153" t="str">
        <f t="shared" si="112"/>
        <v/>
      </c>
      <c r="O236" s="10" t="str">
        <f t="shared" si="96"/>
        <v/>
      </c>
      <c r="P236" s="10" t="str">
        <f t="shared" si="97"/>
        <v/>
      </c>
      <c r="Q236" s="10"/>
      <c r="R236" s="10" t="str">
        <f t="shared" si="98"/>
        <v/>
      </c>
      <c r="S236" s="10"/>
      <c r="T236" s="155"/>
      <c r="U236" s="156"/>
      <c r="V236" s="157"/>
      <c r="W236" s="157"/>
      <c r="X236" s="157"/>
      <c r="Y236" s="213"/>
      <c r="Z236" s="213"/>
      <c r="AA236" s="213"/>
    </row>
    <row r="237" spans="1:27" s="148" customFormat="1" ht="15.75" customHeight="1">
      <c r="A237" s="149">
        <f t="shared" si="108"/>
        <v>236</v>
      </c>
      <c r="B237" s="150"/>
      <c r="C237" s="150"/>
      <c r="D237" s="151"/>
      <c r="E237" s="152">
        <v>45550</v>
      </c>
      <c r="F237" s="207">
        <v>10</v>
      </c>
      <c r="G237" s="153"/>
      <c r="H237" s="153">
        <f t="shared" si="111"/>
        <v>10</v>
      </c>
      <c r="I237" s="151"/>
      <c r="J237" s="7" t="str">
        <f t="shared" si="102"/>
        <v/>
      </c>
      <c r="K237" s="11" t="str">
        <f t="shared" si="103"/>
        <v/>
      </c>
      <c r="L237" s="153">
        <v>80</v>
      </c>
      <c r="M237" s="153"/>
      <c r="N237" s="153" t="str">
        <f t="shared" si="112"/>
        <v/>
      </c>
      <c r="O237" s="10" t="str">
        <f t="shared" si="96"/>
        <v/>
      </c>
      <c r="P237" s="10" t="str">
        <f t="shared" si="97"/>
        <v/>
      </c>
      <c r="Q237" s="10"/>
      <c r="R237" s="10" t="str">
        <f t="shared" si="98"/>
        <v/>
      </c>
      <c r="S237" s="10"/>
      <c r="T237" s="155"/>
      <c r="U237" s="203"/>
      <c r="V237" s="14"/>
      <c r="W237" s="14"/>
      <c r="X237" s="14"/>
      <c r="Y237" s="149"/>
      <c r="Z237" s="149"/>
      <c r="AA237" s="149"/>
    </row>
    <row r="238" spans="1:27" s="148" customFormat="1" ht="15.75" customHeight="1">
      <c r="A238" s="149">
        <f t="shared" si="108"/>
        <v>237</v>
      </c>
      <c r="B238" s="150"/>
      <c r="C238" s="150"/>
      <c r="D238" s="151"/>
      <c r="E238" s="152">
        <v>45550</v>
      </c>
      <c r="F238" s="153">
        <v>0</v>
      </c>
      <c r="G238" s="153"/>
      <c r="H238" s="153">
        <f t="shared" si="111"/>
        <v>0</v>
      </c>
      <c r="I238" s="151"/>
      <c r="J238" s="7" t="str">
        <f t="shared" si="102"/>
        <v/>
      </c>
      <c r="K238" s="11" t="str">
        <f t="shared" si="103"/>
        <v/>
      </c>
      <c r="L238" s="153">
        <v>100</v>
      </c>
      <c r="M238" s="153"/>
      <c r="N238" s="153" t="str">
        <f>IF($I238&lt;&gt;"",SUM(L238:M238),"")</f>
        <v/>
      </c>
      <c r="O238" s="10" t="str">
        <f t="shared" si="96"/>
        <v/>
      </c>
      <c r="P238" s="10" t="str">
        <f t="shared" si="97"/>
        <v/>
      </c>
      <c r="Q238" s="10"/>
      <c r="R238" s="10" t="str">
        <f t="shared" si="98"/>
        <v/>
      </c>
      <c r="S238" s="10"/>
      <c r="T238" s="12"/>
      <c r="U238" s="203"/>
      <c r="V238" s="14"/>
      <c r="W238" s="14"/>
      <c r="X238" s="14"/>
      <c r="Y238" s="149"/>
      <c r="Z238" s="149"/>
      <c r="AA238" s="149"/>
    </row>
    <row r="239" spans="1:27" s="148" customFormat="1" ht="15.75" customHeight="1">
      <c r="A239" s="149">
        <f t="shared" si="108"/>
        <v>238</v>
      </c>
      <c r="B239" s="150"/>
      <c r="C239" s="150"/>
      <c r="D239" s="151"/>
      <c r="E239" s="152">
        <v>45550</v>
      </c>
      <c r="F239" s="153">
        <v>5</v>
      </c>
      <c r="G239" s="153"/>
      <c r="H239" s="153">
        <f t="shared" si="111"/>
        <v>5</v>
      </c>
      <c r="I239" s="151"/>
      <c r="J239" s="7" t="str">
        <f t="shared" si="102"/>
        <v/>
      </c>
      <c r="K239" s="11" t="str">
        <f t="shared" si="103"/>
        <v/>
      </c>
      <c r="L239" s="153"/>
      <c r="M239" s="153"/>
      <c r="N239" s="153" t="str">
        <f t="shared" si="112"/>
        <v/>
      </c>
      <c r="O239" s="10" t="str">
        <f t="shared" si="96"/>
        <v/>
      </c>
      <c r="P239" s="10" t="str">
        <f t="shared" si="97"/>
        <v/>
      </c>
      <c r="Q239" s="10"/>
      <c r="R239" s="10" t="str">
        <f t="shared" si="98"/>
        <v/>
      </c>
      <c r="S239" s="10"/>
      <c r="T239" s="12"/>
      <c r="U239" s="186"/>
      <c r="V239" s="157"/>
      <c r="W239" s="157"/>
      <c r="X239" s="157"/>
      <c r="Y239" s="149"/>
      <c r="Z239" s="149"/>
      <c r="AA239" s="149"/>
    </row>
    <row r="240" spans="1:27" s="148" customFormat="1" ht="15.75" customHeight="1">
      <c r="A240" s="149">
        <f t="shared" si="108"/>
        <v>239</v>
      </c>
      <c r="B240" s="150"/>
      <c r="C240" s="150"/>
      <c r="D240" s="151"/>
      <c r="E240" s="152">
        <v>45529</v>
      </c>
      <c r="F240" s="153">
        <v>20</v>
      </c>
      <c r="G240" s="153">
        <v>50</v>
      </c>
      <c r="H240" s="153">
        <f t="shared" ref="H240:H244" si="113">IF($F240&lt;&gt;"",SUM(F240:G240),"")</f>
        <v>70</v>
      </c>
      <c r="I240" s="151"/>
      <c r="J240" s="7" t="str">
        <f t="shared" si="102"/>
        <v/>
      </c>
      <c r="K240" s="11" t="str">
        <f t="shared" si="103"/>
        <v/>
      </c>
      <c r="L240" s="153">
        <v>110</v>
      </c>
      <c r="M240" s="153"/>
      <c r="N240" s="153" t="str">
        <f t="shared" ref="N240:N244" si="114">IF($I240&lt;&gt;"",SUM(L240:M240),"")</f>
        <v/>
      </c>
      <c r="O240" s="10" t="str">
        <f t="shared" si="96"/>
        <v/>
      </c>
      <c r="P240" s="10" t="str">
        <f t="shared" si="97"/>
        <v/>
      </c>
      <c r="Q240" s="10"/>
      <c r="R240" s="10" t="str">
        <f t="shared" si="98"/>
        <v/>
      </c>
      <c r="S240" s="10"/>
      <c r="T240" s="155"/>
      <c r="U240" s="156"/>
      <c r="V240" s="14"/>
      <c r="W240" s="14"/>
      <c r="X240" s="14"/>
      <c r="Y240" s="149"/>
      <c r="Z240" s="149"/>
      <c r="AA240" s="149"/>
    </row>
    <row r="241" spans="1:27" s="148" customFormat="1" ht="15.75" customHeight="1">
      <c r="A241" s="149">
        <f t="shared" si="108"/>
        <v>240</v>
      </c>
      <c r="B241" s="150"/>
      <c r="C241" s="150"/>
      <c r="D241" s="151"/>
      <c r="E241" s="152">
        <v>45556</v>
      </c>
      <c r="F241" s="153">
        <v>10</v>
      </c>
      <c r="G241" s="153"/>
      <c r="H241" s="153">
        <f t="shared" si="113"/>
        <v>10</v>
      </c>
      <c r="I241" s="151"/>
      <c r="J241" s="7" t="str">
        <f t="shared" si="102"/>
        <v/>
      </c>
      <c r="K241" s="11" t="str">
        <f t="shared" si="103"/>
        <v/>
      </c>
      <c r="L241" s="153">
        <v>35</v>
      </c>
      <c r="M241" s="153"/>
      <c r="N241" s="153" t="str">
        <f t="shared" si="114"/>
        <v/>
      </c>
      <c r="O241" s="10" t="str">
        <f t="shared" si="96"/>
        <v/>
      </c>
      <c r="P241" s="10" t="str">
        <f t="shared" si="97"/>
        <v/>
      </c>
      <c r="Q241" s="10"/>
      <c r="R241" s="10" t="str">
        <f t="shared" si="98"/>
        <v/>
      </c>
      <c r="S241" s="10"/>
      <c r="T241" s="12"/>
      <c r="U241" s="210"/>
      <c r="V241" s="14"/>
      <c r="W241" s="14"/>
      <c r="X241" s="14"/>
      <c r="Y241" s="149"/>
      <c r="Z241" s="149"/>
      <c r="AA241" s="149"/>
    </row>
    <row r="242" spans="1:27" s="148" customFormat="1" ht="15.75" customHeight="1">
      <c r="A242" s="149">
        <f t="shared" si="108"/>
        <v>241</v>
      </c>
      <c r="B242" s="150"/>
      <c r="C242" s="150"/>
      <c r="D242" s="151"/>
      <c r="E242" s="152">
        <v>45556</v>
      </c>
      <c r="F242" s="153">
        <v>10</v>
      </c>
      <c r="G242" s="153"/>
      <c r="H242" s="153">
        <f t="shared" si="113"/>
        <v>10</v>
      </c>
      <c r="I242" s="151"/>
      <c r="J242" s="7" t="str">
        <f t="shared" si="102"/>
        <v/>
      </c>
      <c r="K242" s="11" t="str">
        <f t="shared" si="103"/>
        <v/>
      </c>
      <c r="L242" s="153">
        <v>50</v>
      </c>
      <c r="M242" s="153"/>
      <c r="N242" s="153" t="str">
        <f t="shared" si="114"/>
        <v/>
      </c>
      <c r="O242" s="10" t="str">
        <f t="shared" si="96"/>
        <v/>
      </c>
      <c r="P242" s="10" t="str">
        <f t="shared" si="97"/>
        <v/>
      </c>
      <c r="Q242" s="10"/>
      <c r="R242" s="10" t="str">
        <f t="shared" si="98"/>
        <v/>
      </c>
      <c r="S242" s="10"/>
      <c r="T242" s="12"/>
      <c r="U242" s="210"/>
      <c r="V242" s="14"/>
      <c r="W242" s="14"/>
      <c r="X242" s="14"/>
      <c r="Y242" s="149"/>
      <c r="Z242" s="149"/>
      <c r="AA242" s="149"/>
    </row>
    <row r="243" spans="1:27" s="148" customFormat="1" ht="15.75" customHeight="1">
      <c r="A243" s="149">
        <f t="shared" si="108"/>
        <v>242</v>
      </c>
      <c r="B243" s="150"/>
      <c r="C243" s="150"/>
      <c r="D243" s="151"/>
      <c r="E243" s="152">
        <v>45557</v>
      </c>
      <c r="F243" s="153">
        <v>10</v>
      </c>
      <c r="G243" s="153"/>
      <c r="H243" s="153">
        <f t="shared" si="113"/>
        <v>10</v>
      </c>
      <c r="I243" s="151"/>
      <c r="J243" s="7" t="str">
        <f t="shared" si="102"/>
        <v/>
      </c>
      <c r="K243" s="11" t="str">
        <f t="shared" si="103"/>
        <v/>
      </c>
      <c r="L243" s="153">
        <v>45</v>
      </c>
      <c r="M243" s="153"/>
      <c r="N243" s="153" t="str">
        <f t="shared" si="114"/>
        <v/>
      </c>
      <c r="O243" s="10" t="str">
        <f t="shared" si="96"/>
        <v/>
      </c>
      <c r="P243" s="10" t="str">
        <f t="shared" si="97"/>
        <v/>
      </c>
      <c r="Q243" s="10"/>
      <c r="R243" s="10" t="str">
        <f t="shared" si="98"/>
        <v/>
      </c>
      <c r="S243" s="10"/>
      <c r="T243" s="12"/>
      <c r="U243" s="210"/>
      <c r="V243" s="14"/>
      <c r="W243" s="14"/>
      <c r="X243" s="14"/>
      <c r="Y243" s="149"/>
      <c r="Z243" s="149"/>
      <c r="AA243" s="149"/>
    </row>
    <row r="244" spans="1:27" s="148" customFormat="1" ht="15.75" customHeight="1">
      <c r="A244" s="149">
        <f t="shared" si="108"/>
        <v>243</v>
      </c>
      <c r="B244" s="150"/>
      <c r="C244" s="150"/>
      <c r="D244" s="151"/>
      <c r="E244" s="152">
        <v>45558</v>
      </c>
      <c r="F244" s="153">
        <v>10</v>
      </c>
      <c r="G244" s="153"/>
      <c r="H244" s="153">
        <f t="shared" si="113"/>
        <v>10</v>
      </c>
      <c r="I244" s="151"/>
      <c r="J244" s="7" t="str">
        <f t="shared" si="102"/>
        <v/>
      </c>
      <c r="K244" s="11" t="str">
        <f t="shared" si="103"/>
        <v/>
      </c>
      <c r="L244" s="153">
        <v>65</v>
      </c>
      <c r="M244" s="153"/>
      <c r="N244" s="153" t="str">
        <f t="shared" si="114"/>
        <v/>
      </c>
      <c r="O244" s="10" t="str">
        <f t="shared" si="96"/>
        <v/>
      </c>
      <c r="P244" s="10" t="str">
        <f t="shared" si="97"/>
        <v/>
      </c>
      <c r="Q244" s="10"/>
      <c r="R244" s="10" t="str">
        <f t="shared" si="98"/>
        <v/>
      </c>
      <c r="S244" s="10"/>
      <c r="T244" s="12"/>
      <c r="U244" s="210"/>
      <c r="V244" s="157"/>
      <c r="W244" s="157"/>
      <c r="X244" s="157"/>
      <c r="Y244" s="149"/>
      <c r="Z244" s="149"/>
      <c r="AA244" s="149"/>
    </row>
    <row r="245" spans="1:27" s="209" customFormat="1" ht="15.75" customHeight="1">
      <c r="A245" s="149">
        <f t="shared" si="108"/>
        <v>244</v>
      </c>
      <c r="B245" s="150"/>
      <c r="C245" s="150"/>
      <c r="D245" s="151"/>
      <c r="E245" s="152">
        <v>37523</v>
      </c>
      <c r="F245" s="153">
        <v>0</v>
      </c>
      <c r="G245" s="153"/>
      <c r="H245" s="153">
        <f t="shared" ref="H245" si="115">IF($L245&lt;&gt;"",SUM(F245:G245),"")</f>
        <v>0</v>
      </c>
      <c r="I245" s="151"/>
      <c r="J245" s="7" t="str">
        <f t="shared" si="102"/>
        <v/>
      </c>
      <c r="K245" s="11" t="str">
        <f t="shared" si="103"/>
        <v/>
      </c>
      <c r="L245" s="153">
        <v>50</v>
      </c>
      <c r="M245" s="153"/>
      <c r="N245" s="153" t="str">
        <f t="shared" ref="N245" si="116">IF($I245&lt;&gt;"",SUM(L245:M245),"")</f>
        <v/>
      </c>
      <c r="O245" s="10" t="str">
        <f t="shared" si="96"/>
        <v/>
      </c>
      <c r="P245" s="10" t="str">
        <f t="shared" si="97"/>
        <v/>
      </c>
      <c r="Q245" s="10"/>
      <c r="R245" s="10" t="str">
        <f t="shared" si="98"/>
        <v/>
      </c>
      <c r="S245" s="10"/>
      <c r="T245" s="155"/>
      <c r="U245" s="156"/>
      <c r="V245" s="14"/>
      <c r="W245" s="14"/>
      <c r="X245" s="14"/>
      <c r="Y245" s="208"/>
      <c r="Z245" s="208"/>
      <c r="AA245" s="208"/>
    </row>
    <row r="246" spans="1:27" s="209" customFormat="1" ht="15.75" customHeight="1">
      <c r="A246" s="149">
        <f t="shared" si="108"/>
        <v>245</v>
      </c>
      <c r="B246" s="150"/>
      <c r="C246" s="150"/>
      <c r="D246" s="151"/>
      <c r="E246" s="152">
        <v>37523</v>
      </c>
      <c r="F246" s="153">
        <v>0</v>
      </c>
      <c r="G246" s="153"/>
      <c r="H246" s="153">
        <f t="shared" ref="H246:H262" si="117">IF($F246&lt;&gt;"",SUM(F246:G246),"")</f>
        <v>0</v>
      </c>
      <c r="I246" s="151"/>
      <c r="J246" s="7" t="str">
        <f t="shared" si="102"/>
        <v/>
      </c>
      <c r="K246" s="11" t="str">
        <f t="shared" si="103"/>
        <v/>
      </c>
      <c r="L246" s="153">
        <v>80</v>
      </c>
      <c r="M246" s="153"/>
      <c r="N246" s="153" t="str">
        <f t="shared" ref="N246:N274" si="118">IF($I246&lt;&gt;"",SUM(L246:M246),"")</f>
        <v/>
      </c>
      <c r="O246" s="10" t="str">
        <f t="shared" si="96"/>
        <v/>
      </c>
      <c r="P246" s="10" t="str">
        <f t="shared" si="97"/>
        <v/>
      </c>
      <c r="Q246" s="10"/>
      <c r="R246" s="10" t="str">
        <f t="shared" si="98"/>
        <v/>
      </c>
      <c r="S246" s="10"/>
      <c r="T246" s="155"/>
      <c r="U246" s="156"/>
      <c r="V246" s="157"/>
      <c r="W246" s="157"/>
      <c r="X246" s="157"/>
      <c r="Y246" s="208"/>
      <c r="Z246" s="208"/>
      <c r="AA246" s="208"/>
    </row>
    <row r="247" spans="1:27" s="221" customFormat="1" ht="15.75" customHeight="1">
      <c r="A247" s="149">
        <f t="shared" si="108"/>
        <v>246</v>
      </c>
      <c r="B247" s="150"/>
      <c r="C247" s="150"/>
      <c r="D247" s="151"/>
      <c r="E247" s="152">
        <v>37523</v>
      </c>
      <c r="F247" s="153">
        <v>0</v>
      </c>
      <c r="G247" s="153"/>
      <c r="H247" s="153">
        <f t="shared" si="117"/>
        <v>0</v>
      </c>
      <c r="I247" s="151"/>
      <c r="J247" s="7" t="str">
        <f t="shared" si="102"/>
        <v/>
      </c>
      <c r="K247" s="11" t="str">
        <f t="shared" si="103"/>
        <v/>
      </c>
      <c r="L247" s="153">
        <v>30</v>
      </c>
      <c r="M247" s="153"/>
      <c r="N247" s="153" t="str">
        <f t="shared" si="118"/>
        <v/>
      </c>
      <c r="O247" s="10" t="str">
        <f t="shared" si="96"/>
        <v/>
      </c>
      <c r="P247" s="10" t="str">
        <f t="shared" si="97"/>
        <v/>
      </c>
      <c r="Q247" s="10"/>
      <c r="R247" s="10" t="str">
        <f t="shared" si="98"/>
        <v/>
      </c>
      <c r="S247" s="10"/>
      <c r="T247" s="155"/>
      <c r="U247" s="156"/>
      <c r="V247" s="157"/>
      <c r="W247" s="157"/>
      <c r="X247" s="157"/>
      <c r="Y247" s="220"/>
      <c r="Z247" s="220"/>
      <c r="AA247" s="220"/>
    </row>
    <row r="248" spans="1:27" s="221" customFormat="1" ht="15.75" customHeight="1">
      <c r="A248" s="149">
        <f t="shared" si="108"/>
        <v>247</v>
      </c>
      <c r="B248" s="150"/>
      <c r="C248" s="150"/>
      <c r="D248" s="151"/>
      <c r="E248" s="152">
        <v>37523</v>
      </c>
      <c r="F248" s="153">
        <v>0</v>
      </c>
      <c r="G248" s="153"/>
      <c r="H248" s="153">
        <f t="shared" si="117"/>
        <v>0</v>
      </c>
      <c r="I248" s="151"/>
      <c r="J248" s="7" t="str">
        <f t="shared" si="102"/>
        <v/>
      </c>
      <c r="K248" s="11" t="str">
        <f t="shared" si="103"/>
        <v/>
      </c>
      <c r="L248" s="153">
        <v>80</v>
      </c>
      <c r="M248" s="153"/>
      <c r="N248" s="153" t="str">
        <f t="shared" si="118"/>
        <v/>
      </c>
      <c r="O248" s="10" t="str">
        <f t="shared" si="96"/>
        <v/>
      </c>
      <c r="P248" s="10" t="str">
        <f t="shared" si="97"/>
        <v/>
      </c>
      <c r="Q248" s="10"/>
      <c r="R248" s="10" t="str">
        <f t="shared" si="98"/>
        <v/>
      </c>
      <c r="S248" s="10"/>
      <c r="T248" s="155"/>
      <c r="U248" s="156"/>
      <c r="V248" s="157"/>
      <c r="W248" s="157"/>
      <c r="X248" s="157"/>
      <c r="Y248" s="220"/>
      <c r="Z248" s="220"/>
      <c r="AA248" s="220"/>
    </row>
    <row r="249" spans="1:27" s="221" customFormat="1" ht="14.25" customHeight="1">
      <c r="A249" s="149">
        <f t="shared" si="108"/>
        <v>248</v>
      </c>
      <c r="B249" s="150"/>
      <c r="C249" s="150"/>
      <c r="D249" s="151"/>
      <c r="E249" s="152">
        <v>37523</v>
      </c>
      <c r="F249" s="153">
        <v>0</v>
      </c>
      <c r="G249" s="153"/>
      <c r="H249" s="153">
        <f t="shared" si="117"/>
        <v>0</v>
      </c>
      <c r="I249" s="151"/>
      <c r="J249" s="7" t="str">
        <f t="shared" si="102"/>
        <v/>
      </c>
      <c r="K249" s="11" t="str">
        <f t="shared" si="103"/>
        <v/>
      </c>
      <c r="L249" s="153">
        <v>20</v>
      </c>
      <c r="M249" s="153"/>
      <c r="N249" s="153" t="str">
        <f t="shared" si="118"/>
        <v/>
      </c>
      <c r="O249" s="10" t="str">
        <f t="shared" si="96"/>
        <v/>
      </c>
      <c r="P249" s="10" t="str">
        <f t="shared" si="97"/>
        <v/>
      </c>
      <c r="Q249" s="10"/>
      <c r="R249" s="10" t="str">
        <f t="shared" si="98"/>
        <v/>
      </c>
      <c r="S249" s="10"/>
      <c r="T249" s="155"/>
      <c r="U249" s="156"/>
      <c r="V249" s="157"/>
      <c r="W249" s="157"/>
      <c r="X249" s="157"/>
      <c r="Y249" s="220"/>
      <c r="Z249" s="220"/>
      <c r="AA249" s="220"/>
    </row>
    <row r="250" spans="1:27" s="221" customFormat="1" ht="15.75" customHeight="1">
      <c r="A250" s="149">
        <f t="shared" si="108"/>
        <v>249</v>
      </c>
      <c r="B250" s="150"/>
      <c r="C250" s="150"/>
      <c r="D250" s="151"/>
      <c r="E250" s="152">
        <v>45564</v>
      </c>
      <c r="F250" s="153">
        <v>0</v>
      </c>
      <c r="G250" s="153"/>
      <c r="H250" s="153">
        <f t="shared" si="117"/>
        <v>0</v>
      </c>
      <c r="I250" s="151"/>
      <c r="J250" s="7" t="str">
        <f t="shared" si="102"/>
        <v/>
      </c>
      <c r="K250" s="11" t="str">
        <f t="shared" si="103"/>
        <v/>
      </c>
      <c r="L250" s="153">
        <v>50</v>
      </c>
      <c r="M250" s="153"/>
      <c r="N250" s="153" t="str">
        <f t="shared" si="118"/>
        <v/>
      </c>
      <c r="O250" s="10" t="str">
        <f t="shared" si="96"/>
        <v/>
      </c>
      <c r="P250" s="10" t="str">
        <f t="shared" si="97"/>
        <v/>
      </c>
      <c r="Q250" s="10"/>
      <c r="R250" s="10" t="str">
        <f t="shared" si="98"/>
        <v/>
      </c>
      <c r="S250" s="10"/>
      <c r="T250" s="12"/>
      <c r="U250" s="222"/>
      <c r="V250" s="14"/>
      <c r="W250" s="14"/>
      <c r="X250" s="14"/>
      <c r="Y250" s="220"/>
      <c r="Z250" s="220"/>
      <c r="AA250" s="220"/>
    </row>
    <row r="251" spans="1:27" s="221" customFormat="1" ht="15.75" customHeight="1">
      <c r="A251" s="149">
        <f t="shared" si="108"/>
        <v>250</v>
      </c>
      <c r="B251" s="150"/>
      <c r="C251" s="223"/>
      <c r="D251" s="151"/>
      <c r="E251" s="152">
        <v>45564</v>
      </c>
      <c r="F251" s="153">
        <v>0</v>
      </c>
      <c r="G251" s="153"/>
      <c r="H251" s="153">
        <f t="shared" si="117"/>
        <v>0</v>
      </c>
      <c r="I251" s="151"/>
      <c r="J251" s="7" t="str">
        <f t="shared" si="102"/>
        <v/>
      </c>
      <c r="K251" s="11" t="str">
        <f t="shared" si="103"/>
        <v/>
      </c>
      <c r="L251" s="153">
        <v>60</v>
      </c>
      <c r="M251" s="153"/>
      <c r="N251" s="153" t="str">
        <f t="shared" si="118"/>
        <v/>
      </c>
      <c r="O251" s="10" t="str">
        <f t="shared" ref="O251:O274" si="119">IFERROR(N251*0.1042+0.35,"")</f>
        <v/>
      </c>
      <c r="P251" s="10" t="str">
        <f t="shared" si="97"/>
        <v/>
      </c>
      <c r="Q251" s="10"/>
      <c r="R251" s="10" t="str">
        <f t="shared" si="98"/>
        <v/>
      </c>
      <c r="S251" s="10"/>
      <c r="T251" s="12"/>
      <c r="U251" s="222"/>
      <c r="V251" s="14"/>
      <c r="W251" s="14"/>
      <c r="X251" s="14"/>
      <c r="Y251" s="220"/>
      <c r="Z251" s="220"/>
      <c r="AA251" s="220"/>
    </row>
    <row r="252" spans="1:27" s="221" customFormat="1" ht="15.75" customHeight="1">
      <c r="A252" s="149">
        <f t="shared" si="108"/>
        <v>251</v>
      </c>
      <c r="B252" s="150"/>
      <c r="C252" s="150"/>
      <c r="D252" s="151"/>
      <c r="E252" s="152">
        <v>45564</v>
      </c>
      <c r="F252" s="153">
        <v>15</v>
      </c>
      <c r="G252" s="153"/>
      <c r="H252" s="153">
        <f t="shared" si="117"/>
        <v>15</v>
      </c>
      <c r="I252" s="151"/>
      <c r="J252" s="7" t="str">
        <f t="shared" si="102"/>
        <v/>
      </c>
      <c r="K252" s="11" t="str">
        <f t="shared" si="103"/>
        <v/>
      </c>
      <c r="L252" s="153">
        <v>100</v>
      </c>
      <c r="M252" s="153"/>
      <c r="N252" s="153" t="str">
        <f t="shared" si="118"/>
        <v/>
      </c>
      <c r="O252" s="10" t="str">
        <f t="shared" si="119"/>
        <v/>
      </c>
      <c r="P252" s="10" t="str">
        <f t="shared" ref="P252:P274" si="120">IF(I252="","",N252-O252)</f>
        <v/>
      </c>
      <c r="Q252" s="10"/>
      <c r="R252" s="10" t="str">
        <f t="shared" ref="R252:R274" si="121">IF(I252="","",P252-H252-Q252)</f>
        <v/>
      </c>
      <c r="S252" s="10"/>
      <c r="T252" s="12"/>
      <c r="U252" s="222"/>
      <c r="V252" s="14"/>
      <c r="W252" s="14"/>
      <c r="X252" s="14"/>
      <c r="Y252" s="220"/>
      <c r="Z252" s="220"/>
      <c r="AA252" s="220"/>
    </row>
    <row r="253" spans="1:27" s="221" customFormat="1" ht="15.75" customHeight="1">
      <c r="A253" s="149">
        <f t="shared" si="108"/>
        <v>252</v>
      </c>
      <c r="B253" s="150"/>
      <c r="C253" s="150"/>
      <c r="D253" s="151"/>
      <c r="E253" s="152">
        <v>45564</v>
      </c>
      <c r="F253" s="153">
        <v>10</v>
      </c>
      <c r="G253" s="153"/>
      <c r="H253" s="153">
        <f t="shared" si="117"/>
        <v>10</v>
      </c>
      <c r="I253" s="151"/>
      <c r="J253" s="7" t="str">
        <f t="shared" si="102"/>
        <v/>
      </c>
      <c r="K253" s="11" t="str">
        <f t="shared" si="103"/>
        <v/>
      </c>
      <c r="L253" s="153">
        <v>40</v>
      </c>
      <c r="M253" s="153"/>
      <c r="N253" s="153" t="str">
        <f t="shared" si="118"/>
        <v/>
      </c>
      <c r="O253" s="10" t="str">
        <f t="shared" si="119"/>
        <v/>
      </c>
      <c r="P253" s="10" t="str">
        <f t="shared" si="120"/>
        <v/>
      </c>
      <c r="Q253" s="10"/>
      <c r="R253" s="10" t="str">
        <f t="shared" si="121"/>
        <v/>
      </c>
      <c r="S253" s="10"/>
      <c r="T253" s="12"/>
      <c r="U253" s="222"/>
      <c r="V253" s="14"/>
      <c r="W253" s="14"/>
      <c r="X253" s="14"/>
      <c r="Y253" s="220"/>
      <c r="Z253" s="220"/>
      <c r="AA253" s="220"/>
    </row>
    <row r="254" spans="1:27" s="221" customFormat="1" ht="15.75" customHeight="1">
      <c r="A254" s="149">
        <f t="shared" si="108"/>
        <v>253</v>
      </c>
      <c r="B254" s="150"/>
      <c r="C254" s="150"/>
      <c r="D254" s="151"/>
      <c r="E254" s="152">
        <v>45564</v>
      </c>
      <c r="F254" s="153">
        <v>0</v>
      </c>
      <c r="G254" s="153"/>
      <c r="H254" s="153">
        <f t="shared" si="117"/>
        <v>0</v>
      </c>
      <c r="I254" s="151"/>
      <c r="J254" s="7" t="str">
        <f t="shared" si="102"/>
        <v/>
      </c>
      <c r="K254" s="11" t="str">
        <f t="shared" si="103"/>
        <v/>
      </c>
      <c r="L254" s="153">
        <v>30</v>
      </c>
      <c r="M254" s="153"/>
      <c r="N254" s="153" t="str">
        <f t="shared" si="118"/>
        <v/>
      </c>
      <c r="O254" s="10" t="str">
        <f t="shared" si="119"/>
        <v/>
      </c>
      <c r="P254" s="10" t="str">
        <f t="shared" si="120"/>
        <v/>
      </c>
      <c r="Q254" s="10"/>
      <c r="R254" s="10" t="str">
        <f t="shared" si="121"/>
        <v/>
      </c>
      <c r="S254" s="10"/>
      <c r="T254" s="12"/>
      <c r="U254" s="222"/>
      <c r="V254" s="14"/>
      <c r="W254" s="14"/>
      <c r="X254" s="14"/>
      <c r="Y254" s="220"/>
      <c r="Z254" s="220"/>
      <c r="AA254" s="220"/>
    </row>
    <row r="255" spans="1:27" s="221" customFormat="1" ht="15.75" customHeight="1">
      <c r="A255" s="149">
        <f t="shared" si="108"/>
        <v>254</v>
      </c>
      <c r="B255" s="150"/>
      <c r="C255" s="150"/>
      <c r="D255" s="151"/>
      <c r="E255" s="152">
        <v>45564</v>
      </c>
      <c r="F255" s="153">
        <v>10</v>
      </c>
      <c r="G255" s="153"/>
      <c r="H255" s="153">
        <f t="shared" si="117"/>
        <v>10</v>
      </c>
      <c r="I255" s="151"/>
      <c r="J255" s="7" t="str">
        <f t="shared" si="102"/>
        <v/>
      </c>
      <c r="K255" s="11" t="str">
        <f t="shared" si="103"/>
        <v/>
      </c>
      <c r="L255" s="153">
        <v>60</v>
      </c>
      <c r="M255" s="153"/>
      <c r="N255" s="153" t="str">
        <f t="shared" si="118"/>
        <v/>
      </c>
      <c r="O255" s="10" t="str">
        <f t="shared" si="119"/>
        <v/>
      </c>
      <c r="P255" s="10" t="str">
        <f t="shared" si="120"/>
        <v/>
      </c>
      <c r="Q255" s="10"/>
      <c r="R255" s="10" t="str">
        <f t="shared" si="121"/>
        <v/>
      </c>
      <c r="S255" s="10"/>
      <c r="T255" s="12"/>
      <c r="U255" s="222"/>
      <c r="V255" s="14"/>
      <c r="W255" s="14"/>
      <c r="X255" s="14"/>
      <c r="Y255" s="220"/>
      <c r="Z255" s="220"/>
      <c r="AA255" s="220"/>
    </row>
    <row r="256" spans="1:27" s="221" customFormat="1" ht="15.75" customHeight="1">
      <c r="A256" s="149">
        <f t="shared" si="108"/>
        <v>255</v>
      </c>
      <c r="B256" s="150"/>
      <c r="C256" s="150"/>
      <c r="D256" s="151"/>
      <c r="E256" s="152">
        <v>45564</v>
      </c>
      <c r="F256" s="153">
        <v>5</v>
      </c>
      <c r="G256" s="153"/>
      <c r="H256" s="153">
        <f t="shared" si="117"/>
        <v>5</v>
      </c>
      <c r="I256" s="151"/>
      <c r="J256" s="7" t="str">
        <f t="shared" si="102"/>
        <v/>
      </c>
      <c r="K256" s="11" t="str">
        <f t="shared" si="103"/>
        <v/>
      </c>
      <c r="L256" s="153">
        <v>20</v>
      </c>
      <c r="M256" s="153"/>
      <c r="N256" s="153" t="str">
        <f t="shared" si="118"/>
        <v/>
      </c>
      <c r="O256" s="10" t="str">
        <f t="shared" si="119"/>
        <v/>
      </c>
      <c r="P256" s="10" t="str">
        <f t="shared" si="120"/>
        <v/>
      </c>
      <c r="Q256" s="10"/>
      <c r="R256" s="10" t="str">
        <f t="shared" si="121"/>
        <v/>
      </c>
      <c r="S256" s="10"/>
      <c r="T256" s="12"/>
      <c r="U256" s="222"/>
      <c r="V256" s="14"/>
      <c r="W256" s="14"/>
      <c r="X256" s="14"/>
      <c r="Y256" s="220"/>
      <c r="Z256" s="220"/>
      <c r="AA256" s="220"/>
    </row>
    <row r="257" spans="1:27" s="148" customFormat="1" ht="15.75" customHeight="1">
      <c r="A257" s="149">
        <f t="shared" si="108"/>
        <v>256</v>
      </c>
      <c r="B257" s="227"/>
      <c r="C257" s="227"/>
      <c r="D257" s="228"/>
      <c r="E257" s="229">
        <v>45585</v>
      </c>
      <c r="F257" s="207">
        <v>10</v>
      </c>
      <c r="G257" s="207">
        <v>40</v>
      </c>
      <c r="H257" s="207">
        <f t="shared" si="117"/>
        <v>50</v>
      </c>
      <c r="I257" s="228"/>
      <c r="J257" s="7" t="str">
        <f t="shared" si="102"/>
        <v/>
      </c>
      <c r="K257" s="11" t="str">
        <f t="shared" si="103"/>
        <v/>
      </c>
      <c r="L257" s="207">
        <v>100</v>
      </c>
      <c r="M257" s="207"/>
      <c r="N257" s="207" t="str">
        <f t="shared" si="118"/>
        <v/>
      </c>
      <c r="O257" s="10" t="str">
        <f t="shared" si="119"/>
        <v/>
      </c>
      <c r="P257" s="10" t="str">
        <f t="shared" si="120"/>
        <v/>
      </c>
      <c r="Q257" s="10"/>
      <c r="R257" s="10" t="str">
        <f t="shared" si="121"/>
        <v/>
      </c>
      <c r="S257" s="10"/>
      <c r="T257" s="230"/>
      <c r="U257" s="156"/>
      <c r="V257" s="157"/>
      <c r="W257" s="157"/>
      <c r="X257" s="157"/>
      <c r="Y257" s="149"/>
      <c r="Z257" s="149"/>
      <c r="AA257" s="149"/>
    </row>
    <row r="258" spans="1:27" s="221" customFormat="1" ht="15.75" customHeight="1">
      <c r="A258" s="149">
        <f t="shared" si="108"/>
        <v>257</v>
      </c>
      <c r="B258" s="150"/>
      <c r="C258" s="150"/>
      <c r="D258" s="151"/>
      <c r="E258" s="152">
        <v>45606</v>
      </c>
      <c r="F258" s="153">
        <v>55</v>
      </c>
      <c r="G258" s="153"/>
      <c r="H258" s="207">
        <f t="shared" si="117"/>
        <v>55</v>
      </c>
      <c r="I258" s="151"/>
      <c r="J258" s="7" t="str">
        <f t="shared" si="102"/>
        <v/>
      </c>
      <c r="K258" s="11" t="str">
        <f t="shared" si="103"/>
        <v/>
      </c>
      <c r="L258" s="153">
        <v>190</v>
      </c>
      <c r="M258" s="153"/>
      <c r="N258" s="153" t="str">
        <f t="shared" si="118"/>
        <v/>
      </c>
      <c r="O258" s="10" t="str">
        <f t="shared" si="119"/>
        <v/>
      </c>
      <c r="P258" s="10" t="str">
        <f t="shared" si="120"/>
        <v/>
      </c>
      <c r="Q258" s="10"/>
      <c r="R258" s="10" t="str">
        <f t="shared" si="121"/>
        <v/>
      </c>
      <c r="S258" s="10"/>
      <c r="T258" s="230"/>
      <c r="U258" s="222"/>
      <c r="V258" s="14"/>
      <c r="W258" s="14"/>
      <c r="X258" s="14"/>
      <c r="Y258" s="220"/>
      <c r="Z258" s="220"/>
      <c r="AA258" s="220"/>
    </row>
    <row r="259" spans="1:27" s="221" customFormat="1" ht="15.75" customHeight="1">
      <c r="A259" s="149">
        <f t="shared" si="108"/>
        <v>258</v>
      </c>
      <c r="B259" s="150"/>
      <c r="C259" s="150"/>
      <c r="D259" s="151"/>
      <c r="E259" s="152">
        <v>45604</v>
      </c>
      <c r="F259" s="153">
        <v>10</v>
      </c>
      <c r="G259" s="153">
        <v>80</v>
      </c>
      <c r="H259" s="153">
        <f t="shared" si="117"/>
        <v>90</v>
      </c>
      <c r="I259" s="151"/>
      <c r="J259" s="150" t="str">
        <f t="shared" si="102"/>
        <v/>
      </c>
      <c r="K259" s="154" t="str">
        <f t="shared" si="103"/>
        <v/>
      </c>
      <c r="L259" s="153">
        <v>220</v>
      </c>
      <c r="M259" s="153"/>
      <c r="N259" s="153" t="str">
        <f t="shared" si="118"/>
        <v/>
      </c>
      <c r="O259" s="153" t="str">
        <f t="shared" si="119"/>
        <v/>
      </c>
      <c r="P259" s="153" t="str">
        <f t="shared" si="120"/>
        <v/>
      </c>
      <c r="Q259" s="153"/>
      <c r="R259" s="153" t="str">
        <f t="shared" si="121"/>
        <v/>
      </c>
      <c r="S259" s="153"/>
      <c r="T259" s="230"/>
      <c r="U259" s="156"/>
      <c r="V259" s="157"/>
      <c r="W259" s="157"/>
      <c r="X259" s="157"/>
      <c r="Y259" s="220"/>
      <c r="Z259" s="220"/>
      <c r="AA259" s="220"/>
    </row>
    <row r="260" spans="1:27" s="148" customFormat="1" ht="15.75" customHeight="1">
      <c r="A260" s="149">
        <f t="shared" si="108"/>
        <v>259</v>
      </c>
      <c r="B260" s="150"/>
      <c r="C260" s="150"/>
      <c r="D260" s="151"/>
      <c r="E260" s="152">
        <v>45604</v>
      </c>
      <c r="F260" s="153">
        <v>10</v>
      </c>
      <c r="G260" s="153"/>
      <c r="H260" s="153">
        <f t="shared" si="117"/>
        <v>10</v>
      </c>
      <c r="I260" s="151"/>
      <c r="J260" s="150" t="str">
        <f t="shared" si="102"/>
        <v/>
      </c>
      <c r="K260" s="154" t="str">
        <f t="shared" si="103"/>
        <v/>
      </c>
      <c r="L260" s="153">
        <v>60</v>
      </c>
      <c r="M260" s="153"/>
      <c r="N260" s="153" t="str">
        <f t="shared" si="118"/>
        <v/>
      </c>
      <c r="O260" s="153" t="str">
        <f t="shared" si="119"/>
        <v/>
      </c>
      <c r="P260" s="153" t="str">
        <f t="shared" si="120"/>
        <v/>
      </c>
      <c r="Q260" s="153"/>
      <c r="R260" s="153" t="str">
        <f t="shared" si="121"/>
        <v/>
      </c>
      <c r="S260" s="153"/>
      <c r="T260" s="155"/>
      <c r="U260" s="156"/>
      <c r="V260" s="14"/>
      <c r="W260" s="14"/>
      <c r="X260" s="14"/>
      <c r="Y260" s="149"/>
      <c r="Z260" s="149"/>
      <c r="AA260" s="149"/>
    </row>
    <row r="261" spans="1:27" s="221" customFormat="1" ht="15.75" customHeight="1">
      <c r="A261" s="149">
        <f t="shared" si="108"/>
        <v>260</v>
      </c>
      <c r="B261" s="150"/>
      <c r="C261" s="150"/>
      <c r="D261" s="151"/>
      <c r="E261" s="152">
        <v>45604</v>
      </c>
      <c r="F261" s="153">
        <v>10</v>
      </c>
      <c r="G261" s="153">
        <v>50</v>
      </c>
      <c r="H261" s="153">
        <f t="shared" si="117"/>
        <v>60</v>
      </c>
      <c r="I261" s="151"/>
      <c r="J261" s="150" t="str">
        <f t="shared" si="102"/>
        <v/>
      </c>
      <c r="K261" s="154" t="str">
        <f t="shared" si="103"/>
        <v/>
      </c>
      <c r="L261" s="153">
        <v>250</v>
      </c>
      <c r="M261" s="153"/>
      <c r="N261" s="153" t="str">
        <f t="shared" si="118"/>
        <v/>
      </c>
      <c r="O261" s="153" t="str">
        <f t="shared" si="119"/>
        <v/>
      </c>
      <c r="P261" s="153" t="str">
        <f t="shared" si="120"/>
        <v/>
      </c>
      <c r="Q261" s="153"/>
      <c r="R261" s="153" t="str">
        <f t="shared" si="121"/>
        <v/>
      </c>
      <c r="S261" s="153"/>
      <c r="T261" s="155"/>
      <c r="U261" s="156"/>
      <c r="V261" s="14"/>
      <c r="W261" s="14"/>
      <c r="X261" s="14"/>
      <c r="Y261" s="220"/>
      <c r="Z261" s="220"/>
      <c r="AA261" s="220"/>
    </row>
    <row r="262" spans="1:27" s="209" customFormat="1" ht="15.75" customHeight="1">
      <c r="A262" s="149">
        <f t="shared" si="108"/>
        <v>261</v>
      </c>
      <c r="B262" s="150"/>
      <c r="C262" s="150"/>
      <c r="D262" s="151"/>
      <c r="E262" s="152">
        <v>45604</v>
      </c>
      <c r="F262" s="153">
        <v>10</v>
      </c>
      <c r="G262" s="153"/>
      <c r="H262" s="153">
        <f t="shared" si="117"/>
        <v>10</v>
      </c>
      <c r="I262" s="151"/>
      <c r="J262" s="150" t="str">
        <f t="shared" si="102"/>
        <v/>
      </c>
      <c r="K262" s="154" t="str">
        <f t="shared" si="103"/>
        <v/>
      </c>
      <c r="L262" s="153">
        <v>40</v>
      </c>
      <c r="M262" s="153"/>
      <c r="N262" s="153" t="str">
        <f t="shared" si="118"/>
        <v/>
      </c>
      <c r="O262" s="153" t="str">
        <f t="shared" si="119"/>
        <v/>
      </c>
      <c r="P262" s="153" t="str">
        <f t="shared" si="120"/>
        <v/>
      </c>
      <c r="Q262" s="153"/>
      <c r="R262" s="153" t="str">
        <f t="shared" si="121"/>
        <v/>
      </c>
      <c r="S262" s="153"/>
      <c r="T262" s="155"/>
      <c r="U262" s="156"/>
      <c r="V262" s="157"/>
      <c r="W262" s="157"/>
      <c r="X262" s="157"/>
      <c r="Y262" s="208"/>
      <c r="Z262" s="208"/>
      <c r="AA262" s="208"/>
    </row>
    <row r="263" spans="1:27" s="148" customFormat="1" ht="15.75" customHeight="1">
      <c r="A263" s="149">
        <f t="shared" si="108"/>
        <v>262</v>
      </c>
      <c r="B263" s="372"/>
      <c r="C263" s="231"/>
      <c r="D263" s="232"/>
      <c r="E263" s="233">
        <v>45507</v>
      </c>
      <c r="F263" s="234">
        <v>0</v>
      </c>
      <c r="G263" s="234"/>
      <c r="H263" s="373">
        <f>IF($F263&lt;&gt;"",SUM(F263:G263),"")</f>
        <v>0</v>
      </c>
      <c r="I263" s="232"/>
      <c r="J263" s="231" t="str">
        <f>IF(I263="","",MONTH(I263))</f>
        <v/>
      </c>
      <c r="K263" s="235" t="str">
        <f>IF($I263&lt;&gt;"",SUM(I263-E263),"")</f>
        <v/>
      </c>
      <c r="L263" s="234">
        <v>40</v>
      </c>
      <c r="M263" s="234"/>
      <c r="N263" s="234" t="str">
        <f>IF($I263&lt;&gt;"",SUM(L263:M263),"")</f>
        <v/>
      </c>
      <c r="O263" s="234"/>
      <c r="P263" s="234" t="str">
        <f t="shared" ref="P263" si="122">IF(I263="","",N263-O263)</f>
        <v/>
      </c>
      <c r="Q263" s="234"/>
      <c r="R263" s="234" t="str">
        <f t="shared" ref="R263" si="123">IF(I263="","",P263-H263-Q263)</f>
        <v/>
      </c>
      <c r="S263" s="234"/>
      <c r="T263" s="12"/>
      <c r="U263" s="224"/>
      <c r="V263" s="14"/>
      <c r="W263" s="14"/>
      <c r="X263" s="14"/>
      <c r="Y263" s="149"/>
      <c r="Z263" s="149"/>
      <c r="AA263" s="149"/>
    </row>
    <row r="264" spans="1:27" s="148" customFormat="1" ht="15.75" customHeight="1">
      <c r="A264" s="149">
        <f t="shared" si="108"/>
        <v>263</v>
      </c>
      <c r="B264" s="231"/>
      <c r="C264" s="231"/>
      <c r="D264" s="232"/>
      <c r="E264" s="233">
        <v>45550</v>
      </c>
      <c r="F264" s="373">
        <v>20</v>
      </c>
      <c r="G264" s="234"/>
      <c r="H264" s="234">
        <f>IF($F264&lt;&gt;"",SUM(F264:G264),"")</f>
        <v>20</v>
      </c>
      <c r="I264" s="232"/>
      <c r="J264" s="231" t="str">
        <f>IF(I264="","",MONTH(I264))</f>
        <v/>
      </c>
      <c r="K264" s="235" t="str">
        <f>IF($I264&lt;&gt;"",SUM(I264-E264),"")</f>
        <v/>
      </c>
      <c r="L264" s="234">
        <v>70</v>
      </c>
      <c r="M264" s="234"/>
      <c r="N264" s="234" t="str">
        <f>IF($I264&lt;&gt;"",SUM(L264:M264),"")</f>
        <v/>
      </c>
      <c r="O264" s="234"/>
      <c r="P264" s="234" t="str">
        <f>IF(I264="","",N264-O264)</f>
        <v/>
      </c>
      <c r="Q264" s="234"/>
      <c r="R264" s="234" t="str">
        <f>IF(I264="","",P264-H264-Q264)</f>
        <v/>
      </c>
      <c r="S264" s="234"/>
      <c r="T264" s="155"/>
      <c r="U264" s="156"/>
      <c r="V264" s="157"/>
      <c r="W264" s="157"/>
      <c r="X264" s="157"/>
      <c r="Y264" s="149"/>
      <c r="Z264" s="149"/>
      <c r="AA264" s="149"/>
    </row>
    <row r="265" spans="1:27" s="225" customFormat="1" ht="15.75" customHeight="1">
      <c r="A265" s="149">
        <f t="shared" si="108"/>
        <v>264</v>
      </c>
      <c r="B265" s="150"/>
      <c r="C265" s="150"/>
      <c r="D265" s="151"/>
      <c r="E265" s="152"/>
      <c r="F265" s="153"/>
      <c r="G265" s="153"/>
      <c r="H265" s="153"/>
      <c r="I265" s="151"/>
      <c r="J265" s="7" t="str">
        <f t="shared" si="102"/>
        <v/>
      </c>
      <c r="K265" s="11" t="str">
        <f t="shared" si="103"/>
        <v/>
      </c>
      <c r="L265" s="153"/>
      <c r="M265" s="153"/>
      <c r="N265" s="153" t="str">
        <f t="shared" si="118"/>
        <v/>
      </c>
      <c r="O265" s="10" t="str">
        <f t="shared" si="119"/>
        <v/>
      </c>
      <c r="P265" s="10" t="str">
        <f t="shared" si="120"/>
        <v/>
      </c>
      <c r="Q265" s="10"/>
      <c r="R265" s="10" t="str">
        <f t="shared" si="121"/>
        <v/>
      </c>
      <c r="S265" s="10"/>
      <c r="T265" s="12"/>
      <c r="U265" s="224"/>
      <c r="V265" s="14"/>
      <c r="W265" s="14"/>
      <c r="X265" s="14"/>
      <c r="Y265" s="226"/>
      <c r="Z265" s="226"/>
      <c r="AA265" s="226"/>
    </row>
    <row r="266" spans="1:27" s="225" customFormat="1" ht="15.75" customHeight="1">
      <c r="A266" s="149">
        <f t="shared" si="108"/>
        <v>265</v>
      </c>
      <c r="B266" s="150"/>
      <c r="C266" s="150"/>
      <c r="D266" s="151"/>
      <c r="E266" s="152"/>
      <c r="F266" s="153"/>
      <c r="G266" s="153"/>
      <c r="H266" s="153"/>
      <c r="I266" s="151"/>
      <c r="J266" s="7" t="str">
        <f t="shared" si="102"/>
        <v/>
      </c>
      <c r="K266" s="11" t="str">
        <f t="shared" si="103"/>
        <v/>
      </c>
      <c r="L266" s="153"/>
      <c r="M266" s="153"/>
      <c r="N266" s="153" t="str">
        <f t="shared" si="118"/>
        <v/>
      </c>
      <c r="O266" s="10" t="str">
        <f t="shared" si="119"/>
        <v/>
      </c>
      <c r="P266" s="10" t="str">
        <f t="shared" si="120"/>
        <v/>
      </c>
      <c r="Q266" s="10"/>
      <c r="R266" s="10" t="str">
        <f t="shared" si="121"/>
        <v/>
      </c>
      <c r="S266" s="10"/>
      <c r="T266" s="12"/>
      <c r="U266" s="224"/>
      <c r="V266" s="14"/>
      <c r="W266" s="14"/>
      <c r="X266" s="14"/>
      <c r="Y266" s="226"/>
      <c r="Z266" s="226"/>
      <c r="AA266" s="226"/>
    </row>
    <row r="267" spans="1:27" s="225" customFormat="1" ht="15.75" customHeight="1">
      <c r="A267" s="149">
        <f t="shared" si="108"/>
        <v>266</v>
      </c>
      <c r="B267" s="150"/>
      <c r="C267" s="150"/>
      <c r="D267" s="151"/>
      <c r="E267" s="152"/>
      <c r="F267" s="153"/>
      <c r="G267" s="153"/>
      <c r="H267" s="153"/>
      <c r="I267" s="151"/>
      <c r="J267" s="7" t="str">
        <f t="shared" si="102"/>
        <v/>
      </c>
      <c r="K267" s="11" t="str">
        <f t="shared" si="103"/>
        <v/>
      </c>
      <c r="L267" s="153"/>
      <c r="M267" s="153"/>
      <c r="N267" s="153" t="str">
        <f t="shared" si="118"/>
        <v/>
      </c>
      <c r="O267" s="10" t="str">
        <f t="shared" si="119"/>
        <v/>
      </c>
      <c r="P267" s="10" t="str">
        <f t="shared" si="120"/>
        <v/>
      </c>
      <c r="Q267" s="10"/>
      <c r="R267" s="10" t="str">
        <f t="shared" si="121"/>
        <v/>
      </c>
      <c r="S267" s="10"/>
      <c r="T267" s="12"/>
      <c r="U267" s="224"/>
      <c r="V267" s="14"/>
      <c r="W267" s="14"/>
      <c r="X267" s="14"/>
      <c r="Y267" s="226"/>
      <c r="Z267" s="226"/>
      <c r="AA267" s="226"/>
    </row>
    <row r="268" spans="1:27" s="225" customFormat="1" ht="15.75" customHeight="1">
      <c r="A268" s="149">
        <f t="shared" si="108"/>
        <v>267</v>
      </c>
      <c r="B268" s="150"/>
      <c r="C268" s="150"/>
      <c r="D268" s="151"/>
      <c r="E268" s="152"/>
      <c r="F268" s="153"/>
      <c r="G268" s="153"/>
      <c r="H268" s="153"/>
      <c r="I268" s="151"/>
      <c r="J268" s="7" t="str">
        <f t="shared" si="102"/>
        <v/>
      </c>
      <c r="K268" s="11" t="str">
        <f t="shared" si="103"/>
        <v/>
      </c>
      <c r="L268" s="153"/>
      <c r="M268" s="153"/>
      <c r="N268" s="153" t="str">
        <f t="shared" si="118"/>
        <v/>
      </c>
      <c r="O268" s="10" t="str">
        <f t="shared" si="119"/>
        <v/>
      </c>
      <c r="P268" s="10" t="str">
        <f t="shared" si="120"/>
        <v/>
      </c>
      <c r="Q268" s="10"/>
      <c r="R268" s="10" t="str">
        <f t="shared" si="121"/>
        <v/>
      </c>
      <c r="S268" s="10"/>
      <c r="T268" s="12"/>
      <c r="U268" s="224"/>
      <c r="V268" s="14"/>
      <c r="W268" s="14"/>
      <c r="X268" s="14"/>
      <c r="Y268" s="226"/>
      <c r="Z268" s="226"/>
      <c r="AA268" s="226"/>
    </row>
    <row r="269" spans="1:27" s="225" customFormat="1" ht="15.75" customHeight="1">
      <c r="A269" s="149">
        <f t="shared" si="108"/>
        <v>268</v>
      </c>
      <c r="B269" s="150"/>
      <c r="C269" s="150"/>
      <c r="D269" s="151"/>
      <c r="E269" s="152"/>
      <c r="F269" s="153"/>
      <c r="G269" s="153"/>
      <c r="H269" s="153"/>
      <c r="I269" s="151"/>
      <c r="J269" s="7" t="str">
        <f t="shared" si="102"/>
        <v/>
      </c>
      <c r="K269" s="11" t="str">
        <f t="shared" si="103"/>
        <v/>
      </c>
      <c r="L269" s="153"/>
      <c r="M269" s="153"/>
      <c r="N269" s="153" t="str">
        <f t="shared" si="118"/>
        <v/>
      </c>
      <c r="O269" s="10" t="str">
        <f t="shared" si="119"/>
        <v/>
      </c>
      <c r="P269" s="10" t="str">
        <f t="shared" si="120"/>
        <v/>
      </c>
      <c r="Q269" s="10"/>
      <c r="R269" s="10" t="str">
        <f t="shared" si="121"/>
        <v/>
      </c>
      <c r="S269" s="10"/>
      <c r="T269" s="12"/>
      <c r="U269" s="224"/>
      <c r="V269" s="14"/>
      <c r="W269" s="14"/>
      <c r="X269" s="14"/>
      <c r="Y269" s="226"/>
      <c r="Z269" s="226"/>
      <c r="AA269" s="226"/>
    </row>
    <row r="270" spans="1:27" s="225" customFormat="1" ht="15.75" customHeight="1">
      <c r="A270" s="149">
        <f t="shared" si="108"/>
        <v>269</v>
      </c>
      <c r="B270" s="150"/>
      <c r="C270" s="150"/>
      <c r="D270" s="151"/>
      <c r="E270" s="152"/>
      <c r="F270" s="153"/>
      <c r="G270" s="153"/>
      <c r="H270" s="153"/>
      <c r="I270" s="151"/>
      <c r="J270" s="7" t="str">
        <f t="shared" si="102"/>
        <v/>
      </c>
      <c r="K270" s="11" t="str">
        <f t="shared" si="103"/>
        <v/>
      </c>
      <c r="L270" s="153"/>
      <c r="M270" s="153"/>
      <c r="N270" s="153" t="str">
        <f t="shared" si="118"/>
        <v/>
      </c>
      <c r="O270" s="10" t="str">
        <f t="shared" si="119"/>
        <v/>
      </c>
      <c r="P270" s="10" t="str">
        <f t="shared" si="120"/>
        <v/>
      </c>
      <c r="Q270" s="10"/>
      <c r="R270" s="10" t="str">
        <f t="shared" si="121"/>
        <v/>
      </c>
      <c r="S270" s="10"/>
      <c r="T270" s="12"/>
      <c r="U270" s="224"/>
      <c r="V270" s="14"/>
      <c r="W270" s="14"/>
      <c r="X270" s="14"/>
      <c r="Y270" s="226"/>
      <c r="Z270" s="226"/>
      <c r="AA270" s="226"/>
    </row>
    <row r="271" spans="1:27" s="225" customFormat="1" ht="15.75" customHeight="1">
      <c r="A271" s="149">
        <f t="shared" si="108"/>
        <v>270</v>
      </c>
      <c r="B271" s="150"/>
      <c r="C271" s="150"/>
      <c r="D271" s="151"/>
      <c r="E271" s="152"/>
      <c r="F271" s="153"/>
      <c r="G271" s="153"/>
      <c r="H271" s="153"/>
      <c r="I271" s="151"/>
      <c r="J271" s="7" t="str">
        <f t="shared" si="102"/>
        <v/>
      </c>
      <c r="K271" s="11" t="str">
        <f t="shared" si="103"/>
        <v/>
      </c>
      <c r="L271" s="153"/>
      <c r="M271" s="153"/>
      <c r="N271" s="153" t="str">
        <f t="shared" si="118"/>
        <v/>
      </c>
      <c r="O271" s="10" t="str">
        <f t="shared" si="119"/>
        <v/>
      </c>
      <c r="P271" s="10" t="str">
        <f t="shared" si="120"/>
        <v/>
      </c>
      <c r="Q271" s="10"/>
      <c r="R271" s="10" t="str">
        <f t="shared" si="121"/>
        <v/>
      </c>
      <c r="S271" s="10"/>
      <c r="T271" s="12"/>
      <c r="U271" s="224"/>
      <c r="V271" s="14"/>
      <c r="W271" s="14"/>
      <c r="X271" s="14"/>
      <c r="Y271" s="226"/>
      <c r="Z271" s="226"/>
      <c r="AA271" s="226"/>
    </row>
    <row r="272" spans="1:27" s="225" customFormat="1" ht="15.75" customHeight="1">
      <c r="A272" s="149">
        <f t="shared" si="108"/>
        <v>271</v>
      </c>
      <c r="B272" s="150"/>
      <c r="C272" s="150"/>
      <c r="D272" s="151"/>
      <c r="E272" s="152"/>
      <c r="F272" s="153"/>
      <c r="G272" s="153"/>
      <c r="H272" s="153"/>
      <c r="I272" s="151"/>
      <c r="J272" s="7" t="str">
        <f t="shared" ref="J272:J274" si="124">IF(I272="","",MONTH(I272))</f>
        <v/>
      </c>
      <c r="K272" s="11" t="str">
        <f t="shared" ref="K272:K274" si="125">IF($I272&lt;&gt;"",SUM(I272-E272),"")</f>
        <v/>
      </c>
      <c r="L272" s="153"/>
      <c r="M272" s="153"/>
      <c r="N272" s="153" t="str">
        <f t="shared" si="118"/>
        <v/>
      </c>
      <c r="O272" s="10" t="str">
        <f t="shared" si="119"/>
        <v/>
      </c>
      <c r="P272" s="10" t="str">
        <f t="shared" si="120"/>
        <v/>
      </c>
      <c r="Q272" s="10"/>
      <c r="R272" s="10" t="str">
        <f t="shared" si="121"/>
        <v/>
      </c>
      <c r="S272" s="10"/>
      <c r="T272" s="12"/>
      <c r="U272" s="224"/>
      <c r="V272" s="14"/>
      <c r="W272" s="14"/>
      <c r="X272" s="14"/>
      <c r="Y272" s="226"/>
      <c r="Z272" s="226"/>
      <c r="AA272" s="226"/>
    </row>
    <row r="273" spans="1:27" s="209" customFormat="1" ht="15.75" customHeight="1">
      <c r="A273" s="149">
        <f t="shared" si="108"/>
        <v>272</v>
      </c>
      <c r="B273" s="150"/>
      <c r="C273" s="150"/>
      <c r="D273" s="151"/>
      <c r="E273" s="152"/>
      <c r="F273" s="153"/>
      <c r="G273" s="153"/>
      <c r="H273" s="153"/>
      <c r="I273" s="151"/>
      <c r="J273" s="7" t="str">
        <f t="shared" si="124"/>
        <v/>
      </c>
      <c r="K273" s="11" t="str">
        <f t="shared" si="125"/>
        <v/>
      </c>
      <c r="L273" s="153"/>
      <c r="M273" s="153"/>
      <c r="N273" s="153" t="str">
        <f t="shared" si="118"/>
        <v/>
      </c>
      <c r="O273" s="10" t="str">
        <f t="shared" si="119"/>
        <v/>
      </c>
      <c r="P273" s="10" t="str">
        <f t="shared" si="120"/>
        <v/>
      </c>
      <c r="Q273" s="10"/>
      <c r="R273" s="10" t="str">
        <f t="shared" si="121"/>
        <v/>
      </c>
      <c r="S273" s="10"/>
      <c r="T273" s="12"/>
      <c r="U273" s="210"/>
      <c r="V273" s="14"/>
      <c r="W273" s="14"/>
      <c r="X273" s="14"/>
      <c r="Y273" s="208"/>
      <c r="Z273" s="208"/>
      <c r="AA273" s="208"/>
    </row>
    <row r="274" spans="1:27" ht="15.75" customHeight="1">
      <c r="A274" s="149">
        <f t="shared" si="108"/>
        <v>273</v>
      </c>
      <c r="B274" s="150"/>
      <c r="C274" s="150"/>
      <c r="D274" s="151"/>
      <c r="E274" s="152"/>
      <c r="F274" s="153"/>
      <c r="G274" s="153"/>
      <c r="H274" s="153"/>
      <c r="I274" s="151"/>
      <c r="J274" s="7" t="str">
        <f t="shared" si="124"/>
        <v/>
      </c>
      <c r="K274" s="11" t="str">
        <f t="shared" si="125"/>
        <v/>
      </c>
      <c r="L274" s="153"/>
      <c r="M274" s="153"/>
      <c r="N274" s="153" t="str">
        <f t="shared" si="118"/>
        <v/>
      </c>
      <c r="O274" s="10" t="str">
        <f t="shared" si="119"/>
        <v/>
      </c>
      <c r="P274" s="10" t="str">
        <f t="shared" si="120"/>
        <v/>
      </c>
      <c r="Q274" s="10"/>
      <c r="R274" s="10" t="str">
        <f t="shared" si="121"/>
        <v/>
      </c>
      <c r="S274" s="10"/>
      <c r="T274" s="12"/>
      <c r="U274" s="13"/>
      <c r="V274" s="14"/>
      <c r="W274" s="14"/>
      <c r="X274" s="14"/>
    </row>
    <row r="275" spans="1:27" ht="24.75" customHeight="1">
      <c r="B275" s="35"/>
      <c r="C275" s="35"/>
      <c r="D275" s="35"/>
      <c r="E275" s="36" t="s">
        <v>0</v>
      </c>
      <c r="F275" s="37" t="s">
        <v>1</v>
      </c>
      <c r="G275" s="37" t="s">
        <v>2</v>
      </c>
      <c r="H275" s="37" t="s">
        <v>3</v>
      </c>
      <c r="I275" s="38" t="s">
        <v>4</v>
      </c>
      <c r="J275" s="7"/>
      <c r="K275" s="38" t="s">
        <v>6</v>
      </c>
      <c r="L275" s="37" t="s">
        <v>7</v>
      </c>
      <c r="M275" s="37" t="s">
        <v>8</v>
      </c>
      <c r="N275" s="37" t="s">
        <v>9</v>
      </c>
      <c r="O275" s="37" t="s">
        <v>10</v>
      </c>
      <c r="P275" s="37" t="s">
        <v>31</v>
      </c>
      <c r="Q275" s="37" t="s">
        <v>12</v>
      </c>
      <c r="R275" s="37" t="s">
        <v>13</v>
      </c>
      <c r="S275" s="37" t="s">
        <v>14</v>
      </c>
      <c r="U275" s="39"/>
    </row>
    <row r="276" spans="1:27" ht="6.75" customHeight="1">
      <c r="B276" s="40"/>
      <c r="C276" s="40"/>
      <c r="D276" s="40"/>
      <c r="E276" s="41"/>
      <c r="F276" s="42"/>
      <c r="G276" s="37"/>
      <c r="H276" s="37"/>
      <c r="I276" s="43"/>
      <c r="J276" s="14"/>
      <c r="K276" s="43"/>
      <c r="L276" s="44"/>
      <c r="M276" s="44"/>
      <c r="N276" s="44"/>
      <c r="O276" s="44"/>
      <c r="P276" s="44"/>
      <c r="Q276" s="44"/>
      <c r="R276" s="44"/>
      <c r="S276" s="44"/>
      <c r="U276" s="39"/>
    </row>
    <row r="277" spans="1:27" ht="22.5" customHeight="1">
      <c r="A277" s="165"/>
      <c r="B277" s="45"/>
      <c r="C277" s="46"/>
      <c r="D277" s="45"/>
      <c r="E277" s="47"/>
      <c r="F277" s="35" t="s">
        <v>32</v>
      </c>
      <c r="G277" s="35" t="s">
        <v>33</v>
      </c>
      <c r="H277" s="35" t="s">
        <v>34</v>
      </c>
      <c r="I277" s="477" t="s">
        <v>98</v>
      </c>
      <c r="J277" s="487"/>
      <c r="K277" s="191">
        <f>AVERAGE(K2:K274)</f>
        <v>270.54787234042556</v>
      </c>
      <c r="L277" s="45"/>
      <c r="M277" s="45"/>
      <c r="N277" s="45"/>
      <c r="O277" s="45"/>
      <c r="P277" s="483" t="s">
        <v>35</v>
      </c>
      <c r="Q277" s="481"/>
      <c r="R277" s="46">
        <f>AVERAGE(R2:R274)</f>
        <v>49.486127659574478</v>
      </c>
      <c r="S277" s="45"/>
      <c r="T277" s="45"/>
      <c r="U277" s="13"/>
      <c r="V277" s="45"/>
      <c r="W277" s="45"/>
      <c r="X277" s="45"/>
      <c r="Y277" s="45"/>
      <c r="Z277" s="45"/>
      <c r="AA277" s="45"/>
    </row>
    <row r="278" spans="1:27" ht="23.25" customHeight="1">
      <c r="A278" s="165"/>
      <c r="B278" s="45"/>
      <c r="C278" s="46"/>
      <c r="D278" s="45"/>
      <c r="E278" s="49"/>
      <c r="F278" s="50">
        <f>SUM(F2:F274)</f>
        <v>3639.5</v>
      </c>
      <c r="G278" s="10">
        <f>SUM(G2:G274)</f>
        <v>1916.2</v>
      </c>
      <c r="H278" s="10">
        <f>SUM(F278:G278)</f>
        <v>5555.7</v>
      </c>
      <c r="I278" s="48"/>
      <c r="J278" s="45"/>
      <c r="K278" s="45"/>
      <c r="L278" s="37" t="s">
        <v>36</v>
      </c>
      <c r="M278" s="44"/>
      <c r="N278" s="51" t="s">
        <v>37</v>
      </c>
      <c r="O278" s="51" t="s">
        <v>10</v>
      </c>
      <c r="P278" s="51" t="s">
        <v>38</v>
      </c>
      <c r="Q278" s="51" t="s">
        <v>12</v>
      </c>
      <c r="R278" s="51" t="s">
        <v>39</v>
      </c>
      <c r="S278" s="45"/>
      <c r="T278" s="45"/>
      <c r="U278" s="13"/>
      <c r="V278" s="45"/>
      <c r="W278" s="45"/>
      <c r="X278" s="45"/>
      <c r="Y278" s="45"/>
      <c r="Z278" s="45"/>
      <c r="AA278" s="45"/>
    </row>
    <row r="279" spans="1:27" ht="15.75" customHeight="1">
      <c r="A279" s="149"/>
      <c r="B279" s="52"/>
      <c r="C279" s="417" t="s">
        <v>40</v>
      </c>
      <c r="D279" s="469"/>
      <c r="E279" s="53">
        <f t="array" ref="E279">SUM(IF(I1:I274&lt;&gt;"",N1:N274))</f>
        <v>16405.5</v>
      </c>
      <c r="F279" s="385"/>
      <c r="G279" s="479"/>
      <c r="H279" s="479"/>
      <c r="I279" s="479"/>
      <c r="J279" s="45"/>
      <c r="K279" s="45"/>
      <c r="L279" s="10">
        <f>SUM(L2:L274)</f>
        <v>18136.5</v>
      </c>
      <c r="M279" s="10" t="s">
        <v>41</v>
      </c>
      <c r="N279" s="10">
        <f>SUM(N2:N274)</f>
        <v>16405.5</v>
      </c>
      <c r="O279" s="10">
        <f>SUM(O2:O274)</f>
        <v>1378.1280000000004</v>
      </c>
      <c r="P279" s="10">
        <f>SUM(P2:P274)</f>
        <v>15027.37200000001</v>
      </c>
      <c r="Q279" s="10">
        <f>SUM(Q2:Q274)</f>
        <v>1373.5400000000002</v>
      </c>
      <c r="R279" s="10">
        <f>SUM(R2:R274)</f>
        <v>9303.3920000000016</v>
      </c>
      <c r="S279" s="45"/>
      <c r="T279" s="45"/>
      <c r="U279" s="13"/>
      <c r="V279" s="45"/>
      <c r="W279" s="45"/>
      <c r="X279" s="45"/>
      <c r="Y279" s="45"/>
      <c r="Z279" s="45"/>
      <c r="AA279" s="45"/>
    </row>
    <row r="280" spans="1:27" ht="15.75" customHeight="1">
      <c r="A280" s="149"/>
      <c r="B280" s="52"/>
      <c r="C280" s="423" t="s">
        <v>45</v>
      </c>
      <c r="D280" s="469"/>
      <c r="E280" s="53">
        <f>SUM(O1:O274)</f>
        <v>1378.1280000000004</v>
      </c>
      <c r="F280" s="13"/>
      <c r="J280" s="45"/>
      <c r="K280" s="45"/>
      <c r="L280" s="13"/>
      <c r="M280" s="10" t="s">
        <v>43</v>
      </c>
      <c r="N280" s="55">
        <v>1</v>
      </c>
      <c r="O280" s="55">
        <f>SUM(O279/N279)</f>
        <v>8.4004023041053325E-2</v>
      </c>
      <c r="P280" s="55">
        <f>SUM(P279/N279)</f>
        <v>0.9159959769589473</v>
      </c>
      <c r="Q280" s="55">
        <f>SUM(Q279/N279)</f>
        <v>8.3724360732681122E-2</v>
      </c>
      <c r="R280" s="55">
        <f>SUM(R279/N279)</f>
        <v>0.56708981743927356</v>
      </c>
      <c r="S280" s="45"/>
      <c r="T280" s="45"/>
      <c r="U280" s="13"/>
      <c r="V280" s="45"/>
      <c r="W280" s="45"/>
      <c r="X280" s="45"/>
      <c r="Y280" s="45"/>
      <c r="Z280" s="45"/>
      <c r="AA280" s="45"/>
    </row>
    <row r="281" spans="1:27" ht="22.5" customHeight="1">
      <c r="A281" s="149"/>
      <c r="B281" s="52"/>
      <c r="C281" s="484" t="s">
        <v>42</v>
      </c>
      <c r="D281" s="469"/>
      <c r="E281" s="54">
        <f t="array" ref="E281">SUM(IF(I1:I274&lt;&gt;"",P1:P274))</f>
        <v>15027.37200000001</v>
      </c>
      <c r="F281" s="56"/>
      <c r="G281" s="44"/>
      <c r="I281" s="43"/>
      <c r="J281" s="45"/>
      <c r="K281" s="45"/>
      <c r="L281" s="13"/>
      <c r="P281" s="6"/>
      <c r="S281" s="45"/>
      <c r="T281" s="45"/>
      <c r="U281" s="13"/>
      <c r="V281" s="45"/>
      <c r="W281" s="45"/>
      <c r="X281" s="45"/>
      <c r="Y281" s="45"/>
      <c r="Z281" s="45"/>
      <c r="AA281" s="45"/>
    </row>
    <row r="282" spans="1:27" ht="23.25" customHeight="1">
      <c r="A282" s="149"/>
      <c r="B282" s="57"/>
      <c r="C282" s="485" t="s">
        <v>44</v>
      </c>
      <c r="D282" s="469"/>
      <c r="E282" s="53">
        <f t="array" ref="E282">SUM(IF(I1:I274&lt;&gt;"",H1:H274))</f>
        <v>4350.4400000000005</v>
      </c>
      <c r="F282" s="59" t="s">
        <v>46</v>
      </c>
      <c r="G282" s="60"/>
      <c r="H282" s="44"/>
      <c r="I282" s="488" t="s">
        <v>142</v>
      </c>
      <c r="J282" s="488"/>
      <c r="K282" s="45"/>
      <c r="L282" s="45"/>
      <c r="M282" s="357">
        <f>X290/X304</f>
        <v>0.77527457133457278</v>
      </c>
      <c r="N282" s="45"/>
      <c r="O282" s="45"/>
      <c r="P282" s="61" t="s">
        <v>47</v>
      </c>
      <c r="Q282" s="62"/>
      <c r="R282" s="62"/>
      <c r="S282" s="62"/>
      <c r="T282" s="62"/>
      <c r="U282" s="13"/>
      <c r="V282" s="45"/>
      <c r="W282" s="45"/>
      <c r="X282" s="45"/>
      <c r="Y282" s="45"/>
      <c r="Z282" s="45"/>
      <c r="AA282" s="45"/>
    </row>
    <row r="283" spans="1:27" ht="15.75" customHeight="1">
      <c r="A283" s="149"/>
      <c r="B283" s="57"/>
      <c r="C283" s="423" t="s">
        <v>48</v>
      </c>
      <c r="D283" s="469"/>
      <c r="E283" s="58">
        <f>SUM(Q1:Q274)</f>
        <v>1373.5400000000002</v>
      </c>
      <c r="F283" s="63">
        <f>SUM(E283+E280)</f>
        <v>2751.6680000000006</v>
      </c>
      <c r="G283" s="193"/>
      <c r="H283" s="44"/>
      <c r="I283" s="355" t="s">
        <v>145</v>
      </c>
      <c r="J283" s="12"/>
      <c r="K283" s="45"/>
      <c r="L283" s="356"/>
      <c r="M283" s="345">
        <f>X299/X304</f>
        <v>0.17141333366863795</v>
      </c>
      <c r="N283" s="45"/>
      <c r="O283" s="45"/>
      <c r="P283" s="64" t="s">
        <v>49</v>
      </c>
      <c r="Q283" s="204"/>
      <c r="R283" s="204"/>
      <c r="S283" s="65"/>
      <c r="T283" s="65"/>
      <c r="U283" s="13"/>
      <c r="V283" s="45"/>
      <c r="W283" s="45"/>
      <c r="X283" s="45"/>
      <c r="Y283" s="45"/>
      <c r="Z283" s="45"/>
      <c r="AA283" s="45"/>
    </row>
    <row r="284" spans="1:27" ht="15.75" customHeight="1">
      <c r="A284" s="166"/>
      <c r="B284" s="66"/>
      <c r="C284" s="379" t="s">
        <v>50</v>
      </c>
      <c r="D284" s="469"/>
      <c r="E284" s="67">
        <f>SUM(E281-E282-E283)</f>
        <v>9303.3920000000089</v>
      </c>
      <c r="F284" s="68">
        <f>SUM(E284/E279)</f>
        <v>0.567089817439274</v>
      </c>
      <c r="G284" s="13" t="s">
        <v>51</v>
      </c>
      <c r="H284" s="13"/>
      <c r="I284" s="355" t="s">
        <v>143</v>
      </c>
      <c r="J284" s="12"/>
      <c r="K284" s="45"/>
      <c r="L284" s="45"/>
      <c r="M284" s="357">
        <f>X293/X300</f>
        <v>0.72358264246969528</v>
      </c>
      <c r="N284" s="391"/>
      <c r="O284" s="479"/>
      <c r="P284" s="70" t="s">
        <v>52</v>
      </c>
      <c r="Q284" s="71"/>
      <c r="R284" s="71"/>
      <c r="S284" s="71"/>
      <c r="T284" s="71"/>
      <c r="U284" s="13"/>
      <c r="V284" s="45"/>
      <c r="W284" s="45"/>
      <c r="X284" s="45"/>
      <c r="Y284" s="45"/>
      <c r="Z284" s="45"/>
      <c r="AA284" s="45"/>
    </row>
    <row r="285" spans="1:27" ht="15.75" customHeight="1">
      <c r="A285" s="167"/>
      <c r="B285" s="47"/>
      <c r="C285" s="73"/>
      <c r="D285" s="72"/>
      <c r="E285" s="47"/>
      <c r="F285" s="68">
        <f>SUM(E284/E281)</f>
        <v>0.61909640621127915</v>
      </c>
      <c r="G285" s="74" t="s">
        <v>53</v>
      </c>
      <c r="H285" s="45"/>
      <c r="I285" s="355" t="s">
        <v>144</v>
      </c>
      <c r="J285" s="12"/>
      <c r="K285" s="45"/>
      <c r="L285" s="45"/>
      <c r="M285" s="357">
        <f>X299/X300</f>
        <v>0.27641735753030494</v>
      </c>
      <c r="N285" s="45"/>
      <c r="O285" s="45"/>
      <c r="P285" s="75" t="s">
        <v>54</v>
      </c>
      <c r="Q285" s="75"/>
      <c r="R285" s="75"/>
      <c r="S285" s="75"/>
      <c r="T285" s="75"/>
      <c r="U285" s="13"/>
      <c r="V285" s="45"/>
      <c r="W285" s="45"/>
      <c r="X285" s="46"/>
      <c r="Y285" s="45"/>
      <c r="Z285" s="45"/>
      <c r="AA285" s="45"/>
    </row>
    <row r="286" spans="1:27" ht="15.75" customHeight="1">
      <c r="A286" s="167"/>
      <c r="B286" s="72"/>
      <c r="C286" s="486"/>
      <c r="D286" s="479"/>
      <c r="E286" s="68"/>
      <c r="F286" s="478"/>
      <c r="G286" s="479"/>
      <c r="H286" s="479"/>
      <c r="I286" s="479"/>
      <c r="J286" s="13"/>
      <c r="K286" s="45"/>
      <c r="L286" s="45"/>
      <c r="M286" s="45"/>
      <c r="N286" s="45"/>
      <c r="O286" s="45"/>
      <c r="P286" s="77" t="s">
        <v>55</v>
      </c>
      <c r="Q286" s="77"/>
      <c r="R286" s="77"/>
      <c r="S286" s="77"/>
      <c r="T286" s="78"/>
      <c r="U286" s="13"/>
      <c r="V286" s="45"/>
      <c r="W286" s="14"/>
      <c r="X286" s="14"/>
      <c r="Y286" s="14"/>
      <c r="Z286" s="45"/>
      <c r="AA286" s="45"/>
    </row>
    <row r="287" spans="1:27" ht="15.75" customHeight="1">
      <c r="A287" s="167"/>
      <c r="B287" s="72"/>
      <c r="C287" s="486"/>
      <c r="D287" s="479"/>
      <c r="E287" s="68"/>
      <c r="F287" s="478"/>
      <c r="G287" s="479"/>
      <c r="H287" s="479"/>
      <c r="I287" s="479"/>
      <c r="J287" s="45"/>
      <c r="K287" s="45"/>
      <c r="L287" s="45"/>
      <c r="M287" s="45"/>
      <c r="N287" s="45"/>
      <c r="O287" s="45"/>
      <c r="P287" s="482" t="s">
        <v>56</v>
      </c>
      <c r="Q287" s="482"/>
      <c r="R287" s="482"/>
      <c r="S287" s="482"/>
      <c r="T287" s="482"/>
      <c r="U287" s="13"/>
      <c r="V287" s="45"/>
      <c r="W287" s="14"/>
      <c r="X287" s="79"/>
      <c r="Y287" s="79"/>
      <c r="Z287" s="45"/>
      <c r="AA287" s="45"/>
    </row>
    <row r="288" spans="1:27" ht="15" customHeight="1">
      <c r="A288" s="168"/>
      <c r="B288" s="52"/>
      <c r="C288" s="477" t="s">
        <v>57</v>
      </c>
      <c r="D288" s="469"/>
      <c r="E288" s="80">
        <f t="array" ref="E288">F278-SUM(IF(I1:I274&lt;&gt;"",F1:F274))</f>
        <v>772.5</v>
      </c>
      <c r="F288" s="46"/>
      <c r="G288" s="46"/>
      <c r="H288" s="480"/>
      <c r="I288" s="481"/>
      <c r="J288" s="48"/>
      <c r="K288" s="45"/>
      <c r="L288" s="81" t="s">
        <v>58</v>
      </c>
      <c r="M288" s="81" t="s">
        <v>59</v>
      </c>
      <c r="N288" s="81" t="s">
        <v>60</v>
      </c>
      <c r="O288" s="81" t="s">
        <v>61</v>
      </c>
      <c r="P288" s="81" t="s">
        <v>62</v>
      </c>
      <c r="Q288" s="81" t="s">
        <v>63</v>
      </c>
      <c r="R288" s="81" t="s">
        <v>64</v>
      </c>
      <c r="S288" s="81" t="s">
        <v>65</v>
      </c>
      <c r="T288" s="81" t="s">
        <v>66</v>
      </c>
      <c r="U288" s="81" t="s">
        <v>67</v>
      </c>
      <c r="V288" s="81" t="s">
        <v>68</v>
      </c>
      <c r="W288" s="81" t="s">
        <v>69</v>
      </c>
      <c r="X288" s="82" t="s">
        <v>41</v>
      </c>
      <c r="Y288" s="82" t="s">
        <v>99</v>
      </c>
      <c r="Z288" s="83" t="s">
        <v>70</v>
      </c>
      <c r="AA288" s="45"/>
    </row>
    <row r="289" spans="1:27" ht="21" customHeight="1">
      <c r="A289" s="169"/>
      <c r="B289" s="52"/>
      <c r="C289" s="476" t="s">
        <v>71</v>
      </c>
      <c r="D289" s="469"/>
      <c r="E289" s="84">
        <f t="array" ref="E289">G278-SUM(IF(I1:I274&lt;&gt;"",G1:G274))</f>
        <v>452.76</v>
      </c>
      <c r="F289" s="6"/>
      <c r="G289" s="6"/>
      <c r="H289" s="447" t="s">
        <v>101</v>
      </c>
      <c r="I289" s="448"/>
      <c r="J289" s="459" t="s">
        <v>72</v>
      </c>
      <c r="K289" s="460"/>
      <c r="L289" s="85">
        <f>SUMPRODUCT(($S$2:$S$274="EBAY")*($I$2:$I$274&gt;0)*(MONTH($I$2:$I$274)=COLUMNS($A:A)),($N$2:$N$274))</f>
        <v>338</v>
      </c>
      <c r="M289" s="85">
        <f t="array" ref="M289">SUMPRODUCT(($S$2:$S$274="EBAY")*($I$2:$I$274&gt;0)*(MONTH($I$2:$I$274)=COLUMNS($A:B)),($N$2:$N$274))</f>
        <v>773</v>
      </c>
      <c r="N289" s="85">
        <f t="array" ref="N289">SUMPRODUCT(($S$2:$S$274="EBAY")*($I$2:$I$274&gt;0)*(MONTH($I$2:$I$274)=COLUMNS($A:C)),($N$2:$N$274))</f>
        <v>1283</v>
      </c>
      <c r="O289" s="85">
        <f t="array" ref="O289">SUMPRODUCT(($S$2:$S$274="EBAY")*($I$2:$I$274&gt;0)*(MONTH($I$2:$I$274)=COLUMNS($A:D)),($N$2:$N$274))</f>
        <v>1381</v>
      </c>
      <c r="P289" s="85">
        <f t="array" ref="P289">SUMPRODUCT(($S$2:$S$274="EBAY")*($I$2:$I$274&gt;0)*(MONTH($I$2:$I$274)=COLUMNS($A:E)),($N$2:$N$274))</f>
        <v>1142.5</v>
      </c>
      <c r="Q289" s="85">
        <f t="array" ref="Q289">SUMPRODUCT(($S$2:$S$274="EBAY")*($I$2:$I$274&gt;0)*(MONTH($I$2:$I$274)=COLUMNS($A:F)),($N$2:$N$274))</f>
        <v>1432</v>
      </c>
      <c r="R289" s="85">
        <f t="array" ref="R289">SUMPRODUCT(($S$2:$S$274="EBAY")*($I$2:$I$274&gt;0)*(MONTH($I$2:$I$274)=COLUMNS($A:G)),($N$2:$N$274))</f>
        <v>1105</v>
      </c>
      <c r="S289" s="85">
        <f t="array" ref="S289">SUMPRODUCT(($S$2:$S$274="EBAY")*($I$2:$I$274&gt;0)*(MONTH($I$2:$I$274)=COLUMNS($A:H)),($N$2:$N$274))</f>
        <v>1705</v>
      </c>
      <c r="T289" s="85">
        <f t="array" ref="T289">SUMPRODUCT(($S$2:$S$274="EBAY")*($I$2:$I$274&gt;0)*(MONTH($I$2:$I$274)=COLUMNS($A:I)),($N$2:$N$274))</f>
        <v>1700</v>
      </c>
      <c r="U289" s="85">
        <f t="array" ref="U289">SUMPRODUCT(($S$2:$S$274="EBAY")*($I$2:$I$274&gt;0)*(MONTH($I$2:$I$274)=COLUMNS($A:J)),($N$2:$N$274))</f>
        <v>445</v>
      </c>
      <c r="V289" s="85">
        <f t="array" ref="V289">SUMPRODUCT(($S$2:$S$274="EBAY")*($I$2:$I$274&gt;0)*(MONTH($I$2:$I$274)=COLUMNS($A:K)),($N$2:$N$274))</f>
        <v>1231</v>
      </c>
      <c r="W289" s="85">
        <f t="array" ref="W289">SUMPRODUCT(($S$2:$S$274="EBAY")*($I$2:$I$274&gt;0)*(MONTH($I$2:$I$274)=COLUMNS($A:L)),($N$2:$N$274))</f>
        <v>425</v>
      </c>
      <c r="X289" s="86">
        <f>SUM(L289:W289)</f>
        <v>12960.5</v>
      </c>
      <c r="Y289" s="456">
        <f>SUM(X293/X300)</f>
        <v>0.72358264246969528</v>
      </c>
      <c r="Z289" s="46">
        <f>SUM(3000-X290)</f>
        <v>-8591.5789999999997</v>
      </c>
      <c r="AA289" s="45"/>
    </row>
    <row r="290" spans="1:27" ht="23.25" customHeight="1">
      <c r="A290" s="169"/>
      <c r="B290" s="52"/>
      <c r="C290" s="476" t="s">
        <v>73</v>
      </c>
      <c r="D290" s="469"/>
      <c r="E290" s="84">
        <f t="array" ref="E290">L279-SUM(IF(I1:I274&lt;&gt;"",L1:L274))</f>
        <v>4100</v>
      </c>
      <c r="F290" s="6"/>
      <c r="G290" s="87"/>
      <c r="H290" s="449"/>
      <c r="I290" s="450"/>
      <c r="J290" s="461" t="s">
        <v>74</v>
      </c>
      <c r="K290" s="462"/>
      <c r="L290" s="88">
        <f>SUMPRODUCT(($S$2:$S$274="EBAY")*($I$2:$I$274&gt;0)*(MONTH($I$2:$I$274)=COLUMNS($A:A)),($P$2:$P$274))</f>
        <v>307.75</v>
      </c>
      <c r="M290" s="88">
        <f t="array" ref="M290">SUMPRODUCT(($S$2:$S$274="EBAY")*($I$2:$I$274&gt;0)*(MONTH($I$2:$I$274)=COLUMNS($A:B)),($P$2:$P$274))</f>
        <v>692.19999999999993</v>
      </c>
      <c r="N290" s="88">
        <f t="array" ref="N290">SUMPRODUCT(($S$2:$S$274="EBAY")*($I$2:$I$274&gt;0)*(MONTH($I$2:$I$274)=COLUMNS($A:C)),($P$2:$P$274))</f>
        <v>1164.6200000000001</v>
      </c>
      <c r="O290" s="88">
        <f t="array" ref="O290">SUMPRODUCT(($S$2:$S$274="EBAY")*($I$2:$I$274&gt;0)*(MONTH($I$2:$I$274)=COLUMNS($A:D)),($P$2:$P$274))</f>
        <v>1228.7900000000002</v>
      </c>
      <c r="P290" s="88">
        <f t="array" ref="P290">SUMPRODUCT(($S$2:$S$274="EBAY")*($I$2:$I$274&gt;0)*(MONTH($I$2:$I$274)=COLUMNS($A:E)),($P$2:$P$274))</f>
        <v>1015.53</v>
      </c>
      <c r="Q290" s="88">
        <f t="array" ref="Q290">SUMPRODUCT(($S$2:$S$274="EBAY")*($I$2:$I$274&gt;0)*(MONTH($I$2:$I$274)=COLUMNS($A:F)),($P$2:$P$274))</f>
        <v>1271.81</v>
      </c>
      <c r="R290" s="88">
        <f t="array" ref="R290">SUMPRODUCT(($S$2:$S$274="EBAY")*($I$2:$I$274&gt;0)*(MONTH($I$2:$I$274)=COLUMNS($A:G)),($P$2:$P$274))</f>
        <v>986.53</v>
      </c>
      <c r="S290" s="88">
        <f t="array" ref="S290">SUMPRODUCT(($S$2:$S$274="EBAY")*($I$2:$I$274&gt;0)*(MONTH($I$2:$I$274)=COLUMNS($A:H)),($P$2:$P$274))</f>
        <v>1539.46</v>
      </c>
      <c r="T290" s="88">
        <f t="array" ref="T290">SUMPRODUCT(($S$2:$S$274="EBAY")*($I$2:$I$274&gt;0)*(MONTH($I$2:$I$274)=COLUMNS($A:I)),($P$2:$P$274))</f>
        <v>1510.68</v>
      </c>
      <c r="U290" s="88">
        <f t="array" ref="U290">SUMPRODUCT(($S$2:$S$274="EBAY")*($I$2:$I$274&gt;0)*(MONTH($I$2:$I$274)=COLUMNS($A:J)),($P$2:$P$274))</f>
        <v>397.21999999999997</v>
      </c>
      <c r="V290" s="88">
        <f t="array" ref="V290">SUMPRODUCT(($S$2:$S$274="EBAY")*($I$2:$I$274&gt;0)*(MONTH($I$2:$I$274)=COLUMNS($A:K)),($P$2:$P$274))</f>
        <v>1097.3299999999997</v>
      </c>
      <c r="W290" s="88">
        <f t="array" ref="W290">SUMPRODUCT(($S$2:$S$274="EBAY")*($I$2:$I$274&gt;0)*(MONTH($I$2:$I$274)=COLUMNS($A:L)),($P$2:$P$274))</f>
        <v>379.65900000000005</v>
      </c>
      <c r="X290" s="89">
        <f>SUM(L290:W290)</f>
        <v>11591.579</v>
      </c>
      <c r="Y290" s="457"/>
      <c r="Z290" s="46"/>
      <c r="AA290" s="45"/>
    </row>
    <row r="291" spans="1:27" ht="21.75" customHeight="1">
      <c r="A291" s="168"/>
      <c r="B291" s="57"/>
      <c r="C291" s="477" t="s">
        <v>75</v>
      </c>
      <c r="D291" s="469"/>
      <c r="E291" s="90">
        <f>E290-E289-E288</f>
        <v>2874.74</v>
      </c>
      <c r="F291" s="91"/>
      <c r="G291" s="6"/>
      <c r="H291" s="449"/>
      <c r="I291" s="450"/>
      <c r="J291" s="459" t="s">
        <v>76</v>
      </c>
      <c r="K291" s="460"/>
      <c r="L291" s="85">
        <f>SUMPRODUCT(($S$2:$S$274="EBAY")*($I$2:$I$274&gt;0)*(MONTH($I$2:$I$274)=COLUMNS($A:A)),($O$2:$O$274))</f>
        <v>30.25</v>
      </c>
      <c r="M291" s="85">
        <f t="array" ref="M291">SUMPRODUCT(($S$2:$S$274="EBAY")*($I$2:$I$274&gt;0)*(MONTH($I$2:$I$274)=COLUMNS($A:B)),($O$2:$O$274))</f>
        <v>80.799999999999983</v>
      </c>
      <c r="N291" s="85">
        <f t="array" ref="N291">SUMPRODUCT(($S$2:$S$274="EBAY")*($I$2:$I$274&gt;0)*(MONTH($I$2:$I$274)=COLUMNS($A:C)),($O$2:$O$274))</f>
        <v>118.38</v>
      </c>
      <c r="O291" s="85">
        <f t="array" ref="O291">SUMPRODUCT(($S$2:$S$274="EBAY")*($I$2:$I$274&gt;0)*(MONTH($I$2:$I$274)=COLUMNS($A:D)),($O$2:$O$274))</f>
        <v>152.21</v>
      </c>
      <c r="P291" s="85">
        <f t="array" ref="P291">SUMPRODUCT(($S$2:$S$274="EBAY")*($I$2:$I$274&gt;0)*(MONTH($I$2:$I$274)=COLUMNS($A:E)),($O$2:$O$274))</f>
        <v>126.97</v>
      </c>
      <c r="Q291" s="85">
        <f t="array" ref="Q291">SUMPRODUCT(($S$2:$S$274="EBAY")*($I$2:$I$274&gt;0)*(MONTH($I$2:$I$274)=COLUMNS($A:F)),($O$2:$O$274))</f>
        <v>160.19</v>
      </c>
      <c r="R291" s="85">
        <f t="array" ref="R291">SUMPRODUCT(($S$2:$S$274="EBAY")*($I$2:$I$274&gt;0)*(MONTH($I$2:$I$274)=COLUMNS($A:G)),($O$2:$O$274))</f>
        <v>118.46999999999998</v>
      </c>
      <c r="S291" s="85">
        <f t="array" ref="S291">SUMPRODUCT(($S$2:$S$274="EBAY")*($I$2:$I$274&gt;0)*(MONTH($I$2:$I$274)=COLUMNS($A:H)),($O$2:$O$274))</f>
        <v>165.54</v>
      </c>
      <c r="T291" s="85">
        <f t="array" ref="T291">SUMPRODUCT(($S$2:$S$274="EBAY")*($I$2:$I$274&gt;0)*(MONTH($I$2:$I$274)=COLUMNS($A:I)),($O$2:$O$274))</f>
        <v>189.32000000000002</v>
      </c>
      <c r="U291" s="85">
        <f t="array" ref="U291">SUMPRODUCT(($S$2:$S$274="EBAY")*($I$2:$I$274&gt;0)*(MONTH($I$2:$I$274)=COLUMNS($A:J)),($O$2:$O$274))</f>
        <v>47.78</v>
      </c>
      <c r="V291" s="85">
        <f t="array" ref="V291">SUMPRODUCT(($S$2:$S$274="EBAY")*($I$2:$I$274&gt;0)*(MONTH($I$2:$I$274)=COLUMNS($A:K)),($O$2:$O$274))</f>
        <v>133.66999999999996</v>
      </c>
      <c r="W291" s="85">
        <f t="array" ref="W291">SUMPRODUCT(($S$2:$S$274="EBAY")*($I$2:$I$274&gt;0)*(MONTH($I$2:$I$274)=COLUMNS($A:L)),($O$2:$O$274))</f>
        <v>45.341000000000001</v>
      </c>
      <c r="X291" s="86">
        <f>SUM(L291:W291)</f>
        <v>1368.9209999999998</v>
      </c>
      <c r="Y291" s="457"/>
      <c r="Z291" s="193"/>
      <c r="AA291" s="45"/>
    </row>
    <row r="292" spans="1:27" ht="15.75" customHeight="1">
      <c r="A292" s="168"/>
      <c r="B292" s="76"/>
      <c r="C292" s="92"/>
      <c r="D292" s="92"/>
      <c r="E292" s="93"/>
      <c r="F292" s="6"/>
      <c r="G292" s="6"/>
      <c r="H292" s="449"/>
      <c r="I292" s="450"/>
      <c r="J292" s="459" t="s">
        <v>77</v>
      </c>
      <c r="K292" s="460"/>
      <c r="L292" s="85">
        <f>SUMPRODUCT(($S$2:$S$274="EBAY")*($I$2:$I$274&gt;0)*(MONTH($I$2:$I$274)=COLUMNS($A:A)),($Q$2:$Q$274))</f>
        <v>56.57</v>
      </c>
      <c r="M292" s="85">
        <f t="array" ref="M292">SUMPRODUCT(($S$2:$S$274="EBAY")*($I$2:$I$274&gt;0)*(MONTH($I$2:$I$274)=COLUMNS($A:B)),($Q$2:$Q$274))</f>
        <v>110.05</v>
      </c>
      <c r="N292" s="85">
        <f t="array" ref="N292">SUMPRODUCT(($S$2:$S$274="EBAY")*($I$2:$I$274&gt;0)*(MONTH($I$2:$I$274)=COLUMNS($A:C)),($Q$2:$Q$274))</f>
        <v>90.04</v>
      </c>
      <c r="O292" s="85">
        <f t="array" ref="O292">SUMPRODUCT(($S$2:$S$274="EBAY")*($I$2:$I$274&gt;0)*(MONTH($I$2:$I$274)=COLUMNS($A:D)),($Q$2:$Q$274))</f>
        <v>186.96</v>
      </c>
      <c r="P292" s="85">
        <f t="array" ref="P292">SUMPRODUCT(($S$2:$S$274="EBAY")*($I$2:$I$274&gt;0)*(MONTH($I$2:$I$274)=COLUMNS($A:E)),($Q$2:$Q$274))</f>
        <v>172.4</v>
      </c>
      <c r="Q292" s="85">
        <f t="array" ref="Q292">SUMPRODUCT(($S$2:$S$274="EBAY")*($I$2:$I$274&gt;0)*(MONTH($I$2:$I$274)=COLUMNS($A:F)),($Q$2:$Q$274))</f>
        <v>182.57000000000005</v>
      </c>
      <c r="R292" s="85">
        <f t="array" ref="R292">SUMPRODUCT(($S$2:$S$274="EBAY")*($I$2:$I$274&gt;0)*(MONTH($I$2:$I$274)=COLUMNS($A:G)),($Q$2:$Q$274))</f>
        <v>76.47</v>
      </c>
      <c r="S292" s="85">
        <f t="array" ref="S292">SUMPRODUCT(($S$2:$S$274="EBAY")*($I$2:$I$274&gt;0)*(MONTH($I$2:$I$274)=COLUMNS($A:H)),($Q$2:$Q$274))</f>
        <v>107.15999999999997</v>
      </c>
      <c r="T292" s="85">
        <f t="array" ref="T292">SUMPRODUCT(($S$2:$S$274="EBAY")*($I$2:$I$274&gt;0)*(MONTH($I$2:$I$274)=COLUMNS($A:I)),($Q$2:$Q$274))</f>
        <v>169.17</v>
      </c>
      <c r="U292" s="85">
        <f t="array" ref="U292">SUMPRODUCT(($S$2:$S$274="EBAY")*($I$2:$I$274&gt;0)*(MONTH($I$2:$I$274)=COLUMNS($A:J)),($Q$2:$Q$274))</f>
        <v>29.220000000000006</v>
      </c>
      <c r="V292" s="85">
        <f t="array" ref="V292">SUMPRODUCT(($S$2:$S$274="EBAY")*($I$2:$I$274&gt;0)*(MONTH($I$2:$I$274)=COLUMNS($A:K)),($Q$2:$Q$274))</f>
        <v>119.93999999999998</v>
      </c>
      <c r="W292" s="85">
        <f t="array" ref="W292">SUMPRODUCT(($S$2:$S$274="EBAY")*($I$2:$I$274&gt;0)*(MONTH($I$2:$I$274)=COLUMNS($A:L)),($Q$2:$Q$274))</f>
        <v>33.49</v>
      </c>
      <c r="X292" s="86">
        <f>SUM(L292:W292)</f>
        <v>1334.0400000000002</v>
      </c>
      <c r="Y292" s="457"/>
      <c r="Z292" s="45"/>
      <c r="AA292" s="45"/>
    </row>
    <row r="293" spans="1:27" ht="15.75" customHeight="1">
      <c r="A293" s="170"/>
      <c r="B293" s="94"/>
      <c r="C293" s="94"/>
      <c r="D293" s="94"/>
      <c r="E293" s="95"/>
      <c r="F293" s="6"/>
      <c r="G293" s="6"/>
      <c r="H293" s="451"/>
      <c r="I293" s="452"/>
      <c r="J293" s="463" t="s">
        <v>78</v>
      </c>
      <c r="K293" s="464"/>
      <c r="L293" s="96">
        <f>SUMPRODUCT(($S$2:$S$274="EBAY")*($I$2:$I$274&gt;0)*(MONTH($I$2:$I$274)=COLUMNS($A:A)),($R$2:$R$274))</f>
        <v>194.18</v>
      </c>
      <c r="M293" s="96">
        <f>SUMPRODUCT(($S$8:$S$274="EBAY")*($I$8:$I$274&gt;0)*(MONTH($I$8:$I$274)=COLUMNS($A:B)),($R$8:$R$274))</f>
        <v>314.65000000000003</v>
      </c>
      <c r="N293" s="96">
        <f>SUMPRODUCT(($S$8:$S$274="EBAY")*($I$8:$I$274&gt;0)*(MONTH($I$8:$I$274)=COLUMNS($A:C)),($R$8:$R$274))</f>
        <v>790.13000000000011</v>
      </c>
      <c r="O293" s="96">
        <f>SUMPRODUCT(($S$8:$S$274="EBAY")*($I$8:$I$274&gt;0)*(MONTH($I$8:$I$274)=COLUMNS($A:D)),($R$8:$R$274))</f>
        <v>680.33</v>
      </c>
      <c r="P293" s="96">
        <f>SUMPRODUCT(($S$8:$S$274="EBAY")*($I$8:$I$274&gt;0)*(MONTH($I$8:$I$274)=COLUMNS($A:E)),($R$8:$R$274))</f>
        <v>575.63</v>
      </c>
      <c r="Q293" s="96">
        <f>SUMPRODUCT(($S$8:$S$274="EBAY")*($I$8:$I$274&gt;0)*(MONTH($I$8:$I$274)=COLUMNS($A:F)),($R$8:$R$274))</f>
        <v>698.40999999999985</v>
      </c>
      <c r="R293" s="96">
        <f>SUMPRODUCT(($S$8:$S$274="EBAY")*($I$8:$I$274&gt;0)*(MONTH($I$8:$I$274)=COLUMNS($A:G)),($R$8:$R$274))</f>
        <v>599.05999999999995</v>
      </c>
      <c r="S293" s="96">
        <f>SUMPRODUCT(($S$8:$S$274="EBAY")*($I$8:$I$274&gt;0)*(MONTH($I$8:$I$274)=COLUMNS($A:H)),($R$8:$R$274))</f>
        <v>847.49</v>
      </c>
      <c r="T293" s="96">
        <f>SUMPRODUCT(($S$8:$S$274="EBAY")*($I$8:$I$274&gt;0)*(MONTH($I$8:$I$274)=COLUMNS($A:I)),($R$8:$R$274))</f>
        <v>847.51</v>
      </c>
      <c r="U293" s="96">
        <f>SUMPRODUCT(($S$8:$S$274="EBAY")*($I$8:$I$274&gt;0)*(MONTH($I$8:$I$274)=COLUMNS($A:J)),($R$8:$R$274))</f>
        <v>268</v>
      </c>
      <c r="V293" s="96">
        <f>SUMPRODUCT(($S$8:$S$274="EBAY")*($I$8:$I$274&gt;0)*(MONTH($I$8:$I$274)=COLUMNS($A:K)),($R$8:$R$274))</f>
        <v>662.39</v>
      </c>
      <c r="W293" s="96">
        <f>SUMPRODUCT(($S$8:$S$274="EBAY")*($I$8:$I$274&gt;0)*(MONTH($I$8:$I$274)=COLUMNS($A:L)),($R$8:$R$274))</f>
        <v>231.16900000000001</v>
      </c>
      <c r="X293" s="96">
        <f>SUM(L293:W293)</f>
        <v>6708.9490000000005</v>
      </c>
      <c r="Y293" s="458"/>
      <c r="Z293" s="94"/>
      <c r="AA293" s="94"/>
    </row>
    <row r="294" spans="1:27" ht="15.75" customHeight="1">
      <c r="A294" s="165"/>
      <c r="B294" s="45"/>
      <c r="C294" s="97"/>
      <c r="D294" s="13"/>
      <c r="E294" s="47"/>
      <c r="F294" s="98"/>
      <c r="G294" s="98"/>
      <c r="H294" s="99"/>
      <c r="I294" s="100"/>
      <c r="J294" s="100"/>
      <c r="K294" s="101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96"/>
      <c r="Z294" s="45"/>
      <c r="AA294" s="45"/>
    </row>
    <row r="295" spans="1:27" ht="15.75" customHeight="1">
      <c r="A295" s="165"/>
      <c r="B295" s="45"/>
      <c r="C295" s="45"/>
      <c r="D295" s="45"/>
      <c r="E295" s="47"/>
      <c r="F295" s="6"/>
      <c r="G295" s="87"/>
      <c r="H295" s="447" t="s">
        <v>100</v>
      </c>
      <c r="I295" s="448"/>
      <c r="J295" s="461" t="s">
        <v>79</v>
      </c>
      <c r="K295" s="462"/>
      <c r="L295" s="88">
        <f>SUMPRODUCT(($S$2:$S$274="LBC1")*($I$2:$I$274&gt;0)*(MONTH($I$2:$I$274)=COLUMNS($A:A)),($P$2:$P$274))</f>
        <v>145</v>
      </c>
      <c r="M295" s="88">
        <f t="array" ref="M295">SUMPRODUCT(($S$2:$S$274="LBC1")*($I$2:$I$274&gt;0)*(MONTH($I$2:$I$274)=COLUMNS($A:B)),($P$2:$P$274))</f>
        <v>90</v>
      </c>
      <c r="N295" s="88">
        <f t="array" ref="N295">SUMPRODUCT(($S$2:$S$274="LBC1")*($I$2:$I$274&gt;0)*(MONTH($I$2:$I$274)=COLUMNS($A:C)),($P$2:$P$274))</f>
        <v>0</v>
      </c>
      <c r="O295" s="88">
        <f t="array" ref="O295">SUMPRODUCT(($S$2:$S$274="LBC1")*($I$2:$I$274&gt;0)*(MONTH($I$2:$I$274)=COLUMNS($A:D)),($P$2:$P$274))</f>
        <v>567</v>
      </c>
      <c r="P295" s="88">
        <f t="array" ref="P295">SUMPRODUCT(($S$2:$S$274="LBC1")*($I$2:$I$274&gt;0)*(MONTH($I$2:$I$274)=COLUMNS($A:E)),($P$2:$P$274))</f>
        <v>420</v>
      </c>
      <c r="Q295" s="88">
        <f t="array" ref="Q295">SUMPRODUCT(($S$2:$S$274="LBC1")*($I$2:$I$274&gt;0)*(MONTH($I$2:$I$274)=COLUMNS($A:F)),($P$2:$P$274))</f>
        <v>518</v>
      </c>
      <c r="R295" s="88">
        <f t="array" ref="R295">SUMPRODUCT(($S$2:$S$274="LBC1")*($I$2:$I$274&gt;0)*(MONTH($I$2:$I$274)=COLUMNS($A:G)),($P$2:$P$274))</f>
        <v>0</v>
      </c>
      <c r="S295" s="88">
        <f t="array" ref="S295">SUMPRODUCT(($S$2:$S$274="LBC1")*($I$2:$I$274&gt;0)*(MONTH($I$2:$I$274)=COLUMNS($A:H)),($P$2:$P$274))</f>
        <v>580</v>
      </c>
      <c r="T295" s="88">
        <f t="array" ref="T295">SUMPRODUCT(($S$2:$S$274="LBC1")*($I$2:$I$274&gt;0)*(MONTH($I$2:$I$274)=COLUMNS($A:I)),($P$2:$P$274))</f>
        <v>430</v>
      </c>
      <c r="U295" s="88">
        <f t="array" ref="U295">SUMPRODUCT(($S$2:$S$274="LBC1")*($I$2:$I$274&gt;0)*(MONTH($I$2:$I$274)=COLUMNS($A:J)),($P$2:$P$274))</f>
        <v>140</v>
      </c>
      <c r="V295" s="88">
        <f t="array" ref="V295">SUMPRODUCT(($S$2:$S$274="LBC1")*($I$2:$I$274&gt;0)*(MONTH($I$2:$I$274)=COLUMNS($A:K)),($P$2:$P$274))</f>
        <v>450</v>
      </c>
      <c r="W295" s="88">
        <f t="array" ref="W295">SUMPRODUCT(($S$2:$S$274="LBC1")*($I$2:$I$274&gt;0)*(MONTH($I$2:$I$274)=COLUMNS($A:L)),($P$2:$P$274))</f>
        <v>20</v>
      </c>
      <c r="X295" s="89">
        <f>SUM(L295:W295)</f>
        <v>3360</v>
      </c>
      <c r="Y295" s="456">
        <f>SUM(X299/X300)</f>
        <v>0.27641735753030494</v>
      </c>
      <c r="Z295" s="45"/>
      <c r="AA295" s="45"/>
    </row>
    <row r="296" spans="1:27" ht="15.75" customHeight="1">
      <c r="A296" s="165"/>
      <c r="B296" s="164"/>
      <c r="C296" s="45"/>
      <c r="D296" s="45"/>
      <c r="E296" s="72"/>
      <c r="F296" s="6"/>
      <c r="G296" s="6"/>
      <c r="H296" s="449"/>
      <c r="I296" s="450"/>
      <c r="J296" s="465" t="s">
        <v>80</v>
      </c>
      <c r="K296" s="466"/>
      <c r="L296" s="86">
        <f>SUMPRODUCT(($S$2:$S$274="LBC1")*($I$2:$I$274&gt;0)*(MONTH($I$2:$I$274)=COLUMNS($A:A)),($R$2:$R$274))</f>
        <v>80</v>
      </c>
      <c r="M296" s="86">
        <f t="array" ref="M296">SUMPRODUCT(($S$2:$S$274="LBC1")*($I$2:$I$274&gt;0)*(MONTH($I$2:$I$274)=COLUMNS($A:B)),($R$2:$R$274))</f>
        <v>72</v>
      </c>
      <c r="N296" s="86">
        <f t="array" ref="N296">SUMPRODUCT(($S$2:$S$274="LBC1")*($I$2:$I$274&gt;0)*(MONTH($I$2:$I$274)=COLUMNS($A:C)),($R$2:$R$274))</f>
        <v>0</v>
      </c>
      <c r="O296" s="86">
        <f t="array" ref="O296">SUMPRODUCT(($S$2:$S$274="LBC1")*($I$2:$I$274&gt;0)*(MONTH($I$2:$I$274)=COLUMNS($A:D)),($R$2:$R$274))</f>
        <v>461</v>
      </c>
      <c r="P296" s="86">
        <f t="array" ref="P296">SUMPRODUCT(($S$2:$S$274="LBC1")*($I$2:$I$274&gt;0)*(MONTH($I$2:$I$274)=COLUMNS($A:E)),($R$2:$R$274))</f>
        <v>375</v>
      </c>
      <c r="Q296" s="86">
        <f t="array" ref="Q296">SUMPRODUCT(($S$2:$S$274="LBC1")*($I$2:$I$274&gt;0)*(MONTH($I$2:$I$274)=COLUMNS($A:F)),($R$2:$R$274))</f>
        <v>377.65</v>
      </c>
      <c r="R296" s="86">
        <f t="array" ref="R296">SUMPRODUCT(($S$2:$S$274="LBC1")*($I$2:$I$274&gt;0)*(MONTH($I$2:$I$274)=COLUMNS($A:G)),($R$2:$R$274))</f>
        <v>0</v>
      </c>
      <c r="S296" s="86">
        <f t="array" ref="S296">SUMPRODUCT(($S$2:$S$274="LBC1")*($I$2:$I$274&gt;0)*(MONTH($I$2:$I$274)=COLUMNS($A:H)),($R$2:$R$274))</f>
        <v>450</v>
      </c>
      <c r="T296" s="86">
        <f t="array" ref="T296">SUMPRODUCT(($S$2:$S$274="LBC1")*($I$2:$I$274&gt;0)*(MONTH($I$2:$I$274)=COLUMNS($A:I)),($R$2:$R$274))</f>
        <v>395</v>
      </c>
      <c r="U296" s="86">
        <f t="array" ref="U296">SUMPRODUCT(($S$2:$S$274="LBC1")*($I$2:$I$274&gt;0)*(MONTH($I$2:$I$274)=COLUMNS($A:J)),($R$2:$R$274))</f>
        <v>100</v>
      </c>
      <c r="V296" s="86">
        <f t="array" ref="V296">SUMPRODUCT(($S$2:$S$274="LBC1")*($I$2:$I$274&gt;0)*(MONTH($I$2:$I$274)=COLUMNS($A:K)),($R$2:$R$274))</f>
        <v>232.25</v>
      </c>
      <c r="W296" s="86">
        <f t="array" ref="W296">SUMPRODUCT(($S$2:$S$274="LBC1")*($I$2:$I$274&gt;0)*(MONTH($I$2:$I$274)=COLUMNS($A:L)),($R$2:$R$274))</f>
        <v>20</v>
      </c>
      <c r="X296" s="86">
        <f>SUM(L296:W296)</f>
        <v>2562.9</v>
      </c>
      <c r="Y296" s="457"/>
      <c r="Z296" s="13">
        <f>SUM(3000-X295)</f>
        <v>-360</v>
      </c>
      <c r="AA296" s="45"/>
    </row>
    <row r="297" spans="1:27" ht="15.75" customHeight="1">
      <c r="A297" s="165"/>
      <c r="B297" s="45"/>
      <c r="C297" s="45"/>
      <c r="D297" s="45"/>
      <c r="E297" s="72"/>
      <c r="F297" s="6"/>
      <c r="G297" s="87"/>
      <c r="H297" s="449"/>
      <c r="I297" s="450"/>
      <c r="J297" s="461" t="s">
        <v>81</v>
      </c>
      <c r="K297" s="462"/>
      <c r="L297" s="88">
        <f>SUMPRODUCT(($S$2:$S$274="LBC2")*($I$2:$I$274&gt;0)*(MONTH($I$2:$I$274)=COLUMNS($A:A)),($P$2:$P$274))</f>
        <v>0</v>
      </c>
      <c r="M297" s="88">
        <f t="array" ref="M297">SUMPRODUCT(($S$2:$S$274="LBC2")*($I$2:$I$274&gt;0)*(MONTH($I$2:$I$274)=COLUMNS($A:B)),($P$2:$P$274))</f>
        <v>0</v>
      </c>
      <c r="N297" s="88">
        <f t="array" ref="N297">SUMPRODUCT(($S$2:$S$274="LBC2")*($I$2:$I$274&gt;0)*(MONTH($I$2:$I$274)=COLUMNS($A:C)),($P$2:$P$274))</f>
        <v>0</v>
      </c>
      <c r="O297" s="88">
        <f t="array" ref="O297">SUMPRODUCT(($S$2:$S$274="LBC2")*($I$2:$I$274&gt;0)*(MONTH($I$2:$I$274)=COLUMNS($A:D)),($P$2:$P$274))</f>
        <v>0</v>
      </c>
      <c r="P297" s="88">
        <f t="array" ref="P297">SUMPRODUCT(($S$2:$S$274="LBC2")*($I$2:$I$274&gt;0)*(MONTH($I$2:$I$274)=COLUMNS($A:E)),($P$2:$P$274))</f>
        <v>0</v>
      </c>
      <c r="Q297" s="88">
        <f t="array" ref="Q297">SUMPRODUCT(($S$2:$S$274="LBC2")*($I$2:$I$274&gt;0)*(MONTH($I$2:$I$274)=COLUMNS($A:E)),($P$2:$P$274))</f>
        <v>0</v>
      </c>
      <c r="R297" s="88">
        <f t="array" ref="R297">SUMPRODUCT(($S$2:$S$274="LBC2")*($I$2:$I$274&gt;0)*(MONTH($I$2:$I$274)=COLUMNS($A:F)),($P$2:$P$274))</f>
        <v>0</v>
      </c>
      <c r="S297" s="88">
        <f t="array" ref="S297">SUMPRODUCT(($S$2:$S$274="LBC2")*($I$2:$I$274&gt;0)*(MONTH($I$2:$I$274)=COLUMNS($A:G)),($P$2:$P$274))</f>
        <v>0</v>
      </c>
      <c r="T297" s="88">
        <f t="array" ref="T297">SUMPRODUCT(($S$2:$S$274="LBC2")*($I$2:$I$274&gt;0)*(MONTH($I$2:$I$274)=COLUMNS($A:H)),($P$2:$P$274))</f>
        <v>0</v>
      </c>
      <c r="U297" s="88">
        <f t="array" ref="U297">SUMPRODUCT(($S$2:$S$274="LBC2")*($I$2:$I$274&gt;0)*(MONTH($I$2:$I$274)=COLUMNS($A:I)),($P$2:$P$274))</f>
        <v>0</v>
      </c>
      <c r="V297" s="88">
        <f t="array" ref="V297">SUMPRODUCT(($S$2:$S$274="LBC2")*($I$2:$I$274&gt;0)*(MONTH($I$2:$I$274)=COLUMNS($A:J)),($P$2:$P$274))</f>
        <v>0</v>
      </c>
      <c r="W297" s="88">
        <f t="array" ref="W297">SUMPRODUCT(($S$2:$S$274="LBC2")*($I$2:$I$274&gt;0)*(MONTH($I$2:$I$274)=COLUMNS($A:K)),($P$2:$P$274))</f>
        <v>0</v>
      </c>
      <c r="X297" s="103">
        <f>SUM(L297:W297)</f>
        <v>0</v>
      </c>
      <c r="Y297" s="457"/>
      <c r="Z297" s="13"/>
      <c r="AA297" s="45"/>
    </row>
    <row r="298" spans="1:27" ht="15.75" customHeight="1">
      <c r="A298" s="165"/>
      <c r="B298" s="45"/>
      <c r="C298" s="45"/>
      <c r="D298" s="45"/>
      <c r="E298" s="72"/>
      <c r="F298" s="6"/>
      <c r="G298" s="104"/>
      <c r="H298" s="449"/>
      <c r="I298" s="450"/>
      <c r="J298" s="465" t="s">
        <v>82</v>
      </c>
      <c r="K298" s="466"/>
      <c r="L298" s="86">
        <f>SUMPRODUCT(($S$2:$S$274="LBC2")*($I$2:$I$274&gt;0)*(MONTH($I$2:$I$274)=COLUMNS($A:A)),($R$2:$R$274))</f>
        <v>0</v>
      </c>
      <c r="M298" s="86">
        <f t="array" ref="M298">SUMPRODUCT(($S$2:$S$274="LBC2")*($I$2:$I$274&gt;0)*(MONTH($I$2:$I$274)=COLUMNS($A:B)),($R$2:$R$274))</f>
        <v>0</v>
      </c>
      <c r="N298" s="86">
        <f t="array" ref="N298">SUMPRODUCT(($S$2:$S$274="LBC2")*($I$2:$I$274&gt;0)*(MONTH($I$2:$I$274)=COLUMNS($A:C)),($R$2:$R$274))</f>
        <v>0</v>
      </c>
      <c r="O298" s="86">
        <f t="array" ref="O298">SUMPRODUCT(($S$2:$S$274="LBC2")*($I$2:$I$274&gt;0)*(MONTH($I$2:$I$274)=COLUMNS($A:D)),($R$2:$R$274))</f>
        <v>0</v>
      </c>
      <c r="P298" s="86">
        <f t="array" ref="P298">SUMPRODUCT(($S$2:$S$274="LBC2")*($I$2:$I$274&gt;0)*(MONTH($I$2:$I$274)=COLUMNS($A:E)),($R$2:$R$274))</f>
        <v>0</v>
      </c>
      <c r="Q298" s="86">
        <f t="array" ref="Q298">SUMPRODUCT(($S$2:$S$274="LBC2")*($I$2:$I$274&gt;0)*(MONTH($I$2:$I$274)=COLUMNS($A:E)),($R$2:$R$274))</f>
        <v>0</v>
      </c>
      <c r="R298" s="86">
        <f t="array" ref="R298">SUMPRODUCT(($S$2:$S$274="LBC2")*($I$2:$I$274&gt;0)*(MONTH($I$2:$I$274)=COLUMNS($A:F)),($R$2:$R$274))</f>
        <v>0</v>
      </c>
      <c r="S298" s="86">
        <f t="array" ref="S298">SUMPRODUCT(($S$2:$S$274="LBC2")*($I$2:$I$274&gt;0)*(MONTH($I$2:$I$274)=COLUMNS($A:G)),($R$2:$R$274))</f>
        <v>0</v>
      </c>
      <c r="T298" s="86">
        <f t="array" ref="T298">SUMPRODUCT(($S$2:$S$274="LBC2")*($I$2:$I$274&gt;0)*(MONTH($I$2:$I$274)=COLUMNS($A:H)),($R$2:$R$274))</f>
        <v>0</v>
      </c>
      <c r="U298" s="86">
        <f t="array" ref="U298">SUMPRODUCT(($S$2:$S$274="LBC2")*($I$2:$I$274&gt;0)*(MONTH($I$2:$I$274)=COLUMNS($A:I)),($R$2:$R$274))</f>
        <v>0</v>
      </c>
      <c r="V298" s="86">
        <f t="array" ref="V298">SUMPRODUCT(($S$2:$S$274="LBC2")*($I$2:$I$274&gt;0)*(MONTH($I$2:$I$274)=COLUMNS($A:J)),($R$2:$R$274))</f>
        <v>0</v>
      </c>
      <c r="W298" s="86">
        <f t="array" ref="W298">SUMPRODUCT(($S$2:$S$274="LBC2")*($I$2:$I$274&gt;0)*(MONTH($I$2:$I$274)=COLUMNS($A:K)),($R$2:$R$274))</f>
        <v>0</v>
      </c>
      <c r="X298" s="86">
        <f>SUM(L298:W298)</f>
        <v>0</v>
      </c>
      <c r="Y298" s="457"/>
      <c r="Z298" s="13">
        <f>SUM(3000-X298)</f>
        <v>3000</v>
      </c>
      <c r="AA298" s="45"/>
    </row>
    <row r="299" spans="1:27" ht="15.75" customHeight="1">
      <c r="A299" s="170"/>
      <c r="B299" s="94"/>
      <c r="C299" s="94"/>
      <c r="D299" s="94"/>
      <c r="E299" s="105"/>
      <c r="F299" s="106"/>
      <c r="G299" s="104"/>
      <c r="H299" s="451"/>
      <c r="I299" s="452"/>
      <c r="J299" s="463" t="s">
        <v>83</v>
      </c>
      <c r="K299" s="464"/>
      <c r="L299" s="96">
        <f>SUM(L296,L298)</f>
        <v>80</v>
      </c>
      <c r="M299" s="96">
        <f t="shared" ref="M299:W299" si="126">SUM(M296,M298)</f>
        <v>72</v>
      </c>
      <c r="N299" s="96">
        <f t="shared" si="126"/>
        <v>0</v>
      </c>
      <c r="O299" s="96">
        <f t="shared" si="126"/>
        <v>461</v>
      </c>
      <c r="P299" s="96">
        <f t="shared" si="126"/>
        <v>375</v>
      </c>
      <c r="Q299" s="96">
        <f t="shared" si="126"/>
        <v>377.65</v>
      </c>
      <c r="R299" s="96">
        <f t="shared" si="126"/>
        <v>0</v>
      </c>
      <c r="S299" s="96">
        <f t="shared" si="126"/>
        <v>450</v>
      </c>
      <c r="T299" s="96">
        <f t="shared" si="126"/>
        <v>395</v>
      </c>
      <c r="U299" s="96">
        <f t="shared" si="126"/>
        <v>100</v>
      </c>
      <c r="V299" s="96">
        <f t="shared" si="126"/>
        <v>232.25</v>
      </c>
      <c r="W299" s="96">
        <f t="shared" si="126"/>
        <v>20</v>
      </c>
      <c r="X299" s="96">
        <f>SUM(X296,X298)</f>
        <v>2562.9</v>
      </c>
      <c r="Y299" s="458"/>
      <c r="Z299" s="107"/>
      <c r="AA299" s="94"/>
    </row>
    <row r="300" spans="1:27" s="198" customFormat="1" ht="15.75" customHeight="1">
      <c r="A300" s="165"/>
      <c r="B300" s="45"/>
      <c r="C300" s="45"/>
      <c r="D300" s="45"/>
      <c r="E300" s="72"/>
      <c r="F300" s="95"/>
      <c r="G300" s="104"/>
      <c r="H300" s="453" t="s">
        <v>84</v>
      </c>
      <c r="I300" s="454"/>
      <c r="J300" s="454"/>
      <c r="K300" s="455"/>
      <c r="L300" s="197">
        <f t="shared" ref="L300:W300" si="127">SUM(L293,L296,L298)</f>
        <v>274.18</v>
      </c>
      <c r="M300" s="197">
        <f t="shared" si="127"/>
        <v>386.65000000000003</v>
      </c>
      <c r="N300" s="197">
        <f t="shared" si="127"/>
        <v>790.13000000000011</v>
      </c>
      <c r="O300" s="197">
        <f t="shared" si="127"/>
        <v>1141.33</v>
      </c>
      <c r="P300" s="197">
        <f t="shared" si="127"/>
        <v>950.63</v>
      </c>
      <c r="Q300" s="197">
        <f t="shared" si="127"/>
        <v>1076.06</v>
      </c>
      <c r="R300" s="197">
        <f t="shared" si="127"/>
        <v>599.05999999999995</v>
      </c>
      <c r="S300" s="197">
        <f t="shared" si="127"/>
        <v>1297.49</v>
      </c>
      <c r="T300" s="197">
        <f t="shared" si="127"/>
        <v>1242.51</v>
      </c>
      <c r="U300" s="197">
        <f t="shared" si="127"/>
        <v>368</v>
      </c>
      <c r="V300" s="197">
        <f t="shared" si="127"/>
        <v>894.64</v>
      </c>
      <c r="W300" s="197">
        <f t="shared" si="127"/>
        <v>251.16900000000001</v>
      </c>
      <c r="X300" s="197">
        <f>SUM(L300:W300)</f>
        <v>9271.8489999999983</v>
      </c>
      <c r="Y300" s="45"/>
      <c r="Z300" s="193"/>
      <c r="AA300" s="45"/>
    </row>
    <row r="301" spans="1:27" ht="15.75" customHeight="1">
      <c r="A301" s="165"/>
      <c r="B301" s="45"/>
      <c r="C301" s="45"/>
      <c r="D301" s="45"/>
      <c r="E301" s="72"/>
      <c r="F301" s="128"/>
      <c r="G301" s="45"/>
      <c r="H301" s="199"/>
      <c r="I301" s="109"/>
      <c r="J301" s="109"/>
      <c r="K301" s="110" t="s">
        <v>85</v>
      </c>
      <c r="L301" s="111">
        <f>SUM(L300/X300)</f>
        <v>2.9571232232103874E-2</v>
      </c>
      <c r="M301" s="111">
        <f>SUM(M300/X300)</f>
        <v>4.170149880568591E-2</v>
      </c>
      <c r="N301" s="111">
        <f>SUM(N300/X300)</f>
        <v>8.5218169536626434E-2</v>
      </c>
      <c r="O301" s="111">
        <f>SUM(O300/X300)</f>
        <v>0.1230962669905431</v>
      </c>
      <c r="P301" s="111">
        <f>SUM(P300/X300)</f>
        <v>0.10252863263843061</v>
      </c>
      <c r="Q301" s="111">
        <f>SUM(Q300/X300)</f>
        <v>0.11605667866247607</v>
      </c>
      <c r="R301" s="111">
        <f>SUM(R300/X300)</f>
        <v>6.4610629444029996E-2</v>
      </c>
      <c r="S301" s="111">
        <f>SUM(S300/X300)</f>
        <v>0.13993864654180629</v>
      </c>
      <c r="T301" s="111">
        <f>SUM(T300/X300)</f>
        <v>0.1340088692126026</v>
      </c>
      <c r="U301" s="111">
        <f>SUM(U300/X300)</f>
        <v>3.9690033778591524E-2</v>
      </c>
      <c r="V301" s="111">
        <f>SUM(V300/X300)</f>
        <v>9.6489923423041093E-2</v>
      </c>
      <c r="W301" s="111">
        <f>SUM(W300/X300)</f>
        <v>2.7089418734062651E-2</v>
      </c>
      <c r="X301" s="111">
        <f>SUM(X300/X300)</f>
        <v>1</v>
      </c>
      <c r="Y301" s="46"/>
      <c r="Z301" s="46"/>
      <c r="AA301" s="45"/>
    </row>
    <row r="302" spans="1:27" ht="15.75" customHeight="1">
      <c r="A302" s="165"/>
      <c r="B302" s="45"/>
      <c r="C302" s="45"/>
      <c r="D302" s="45"/>
      <c r="E302" s="112"/>
      <c r="F302" s="98"/>
      <c r="G302" s="98"/>
      <c r="H302" s="99"/>
      <c r="I302" s="100"/>
      <c r="J302" s="100"/>
      <c r="K302" s="101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45"/>
      <c r="Z302" s="45"/>
      <c r="AA302" s="193"/>
    </row>
    <row r="303" spans="1:27" ht="15.75" customHeight="1">
      <c r="A303" s="165"/>
      <c r="B303" s="45"/>
      <c r="C303" s="45"/>
      <c r="D303" s="45"/>
      <c r="F303" s="98"/>
      <c r="G303" s="98"/>
      <c r="H303" s="113"/>
      <c r="I303" s="114"/>
      <c r="J303" s="114"/>
      <c r="K303" s="113"/>
      <c r="L303" s="115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45"/>
      <c r="Z303" s="45"/>
      <c r="AA303" s="45"/>
    </row>
    <row r="304" spans="1:27" ht="15.75" customHeight="1">
      <c r="A304" s="165"/>
      <c r="B304" s="45"/>
      <c r="C304" s="45"/>
      <c r="D304" s="45"/>
      <c r="E304" s="72"/>
      <c r="F304" s="116"/>
      <c r="G304" s="117"/>
      <c r="H304" s="470" t="s">
        <v>86</v>
      </c>
      <c r="I304" s="468"/>
      <c r="J304" s="468"/>
      <c r="K304" s="469"/>
      <c r="L304" s="118">
        <f t="shared" ref="L304:X304" si="128">SUM(L290,L295,L297)</f>
        <v>452.75</v>
      </c>
      <c r="M304" s="118">
        <f t="shared" si="128"/>
        <v>782.19999999999993</v>
      </c>
      <c r="N304" s="118">
        <f t="shared" si="128"/>
        <v>1164.6200000000001</v>
      </c>
      <c r="O304" s="118">
        <f t="shared" si="128"/>
        <v>1795.7900000000002</v>
      </c>
      <c r="P304" s="118">
        <f t="shared" si="128"/>
        <v>1435.53</v>
      </c>
      <c r="Q304" s="118">
        <f t="shared" si="128"/>
        <v>1789.81</v>
      </c>
      <c r="R304" s="118">
        <f t="shared" si="128"/>
        <v>986.53</v>
      </c>
      <c r="S304" s="118">
        <f t="shared" si="128"/>
        <v>2119.46</v>
      </c>
      <c r="T304" s="118">
        <f t="shared" si="128"/>
        <v>1940.68</v>
      </c>
      <c r="U304" s="118">
        <f t="shared" si="128"/>
        <v>537.22</v>
      </c>
      <c r="V304" s="118">
        <f t="shared" si="128"/>
        <v>1547.3299999999997</v>
      </c>
      <c r="W304" s="118">
        <f t="shared" si="128"/>
        <v>399.65900000000005</v>
      </c>
      <c r="X304" s="118">
        <f t="shared" si="128"/>
        <v>14951.579</v>
      </c>
      <c r="Y304" s="45"/>
      <c r="Z304" s="45"/>
      <c r="AA304" s="193"/>
    </row>
    <row r="305" spans="1:27" ht="15.75" customHeight="1">
      <c r="A305" s="165"/>
      <c r="B305" s="45"/>
      <c r="C305" s="45"/>
      <c r="D305" s="72"/>
      <c r="E305" s="119"/>
      <c r="F305" s="116"/>
      <c r="G305" s="116"/>
      <c r="H305" s="474" t="s">
        <v>87</v>
      </c>
      <c r="I305" s="474"/>
      <c r="J305" s="474"/>
      <c r="K305" s="475"/>
      <c r="L305" s="194">
        <f t="shared" ref="L305:W305" ca="1" si="129">IFERROR(SUMPRODUCT((MONTH($E$8:$E$274)=MONTH(1&amp;L$288))*(YEAR($E$8:$E$274)=RIGHT(CELL("nomfichier"),4)*1)*$F$8:$F$274),0)</f>
        <v>0</v>
      </c>
      <c r="M305" s="194">
        <f t="shared" ca="1" si="129"/>
        <v>0</v>
      </c>
      <c r="N305" s="194">
        <f t="shared" ca="1" si="129"/>
        <v>0</v>
      </c>
      <c r="O305" s="194">
        <f t="shared" ca="1" si="129"/>
        <v>0</v>
      </c>
      <c r="P305" s="194">
        <f t="shared" ca="1" si="129"/>
        <v>0</v>
      </c>
      <c r="Q305" s="194">
        <f t="shared" ca="1" si="129"/>
        <v>0</v>
      </c>
      <c r="R305" s="194">
        <f t="shared" ca="1" si="129"/>
        <v>0</v>
      </c>
      <c r="S305" s="194">
        <f t="shared" ca="1" si="129"/>
        <v>0</v>
      </c>
      <c r="T305" s="194">
        <f t="shared" ca="1" si="129"/>
        <v>0</v>
      </c>
      <c r="U305" s="194">
        <f t="shared" ca="1" si="129"/>
        <v>0</v>
      </c>
      <c r="V305" s="194">
        <f t="shared" ca="1" si="129"/>
        <v>0</v>
      </c>
      <c r="W305" s="194">
        <f t="shared" ca="1" si="129"/>
        <v>0</v>
      </c>
      <c r="X305" s="121">
        <f ca="1">SUM(L305:W305)</f>
        <v>0</v>
      </c>
      <c r="Y305" s="193"/>
      <c r="Z305" s="45"/>
      <c r="AA305" s="45"/>
    </row>
    <row r="306" spans="1:27" ht="15.75" customHeight="1">
      <c r="A306" s="157"/>
      <c r="B306" s="14"/>
      <c r="C306" s="14"/>
      <c r="D306" s="14"/>
      <c r="E306" s="76"/>
      <c r="F306" s="116"/>
      <c r="G306" s="116"/>
      <c r="H306" s="122"/>
      <c r="I306" s="122"/>
      <c r="J306" s="122"/>
      <c r="K306" s="123" t="s">
        <v>85</v>
      </c>
      <c r="L306" s="124">
        <f ca="1">IFERROR(SUM(L305/X305),0)</f>
        <v>0</v>
      </c>
      <c r="M306" s="124">
        <f ca="1">IFERROR(SUM(M305/X305),0)</f>
        <v>0</v>
      </c>
      <c r="N306" s="124">
        <f ca="1">IFERROR(SUM(N305/X305),0)</f>
        <v>0</v>
      </c>
      <c r="O306" s="124">
        <f ca="1">IFERROR(SUM(O305/X305),0)</f>
        <v>0</v>
      </c>
      <c r="P306" s="124">
        <f ca="1">IFERROR(SUM(P305/X305),0)</f>
        <v>0</v>
      </c>
      <c r="Q306" s="124">
        <f ca="1">IFERROR(SUM(Q305/X305),0)</f>
        <v>0</v>
      </c>
      <c r="R306" s="124">
        <f ca="1">IFERROR(SUM(R305/X305),0)</f>
        <v>0</v>
      </c>
      <c r="S306" s="124">
        <f ca="1">IFERROR(SUM(S305/X305),0)</f>
        <v>0</v>
      </c>
      <c r="T306" s="124">
        <f ca="1">IFERROR(SUM(T305/X305),0)</f>
        <v>0</v>
      </c>
      <c r="U306" s="124">
        <f ca="1">IFERROR(SUM(U305/X305),0)</f>
        <v>0</v>
      </c>
      <c r="V306" s="124">
        <f ca="1">IFERROR(SUM(V305/X305),0)</f>
        <v>0</v>
      </c>
      <c r="W306" s="124">
        <f ca="1">IFERROR(SUM(W305/X305),0)</f>
        <v>0</v>
      </c>
      <c r="X306" s="125"/>
      <c r="Y306" s="14"/>
      <c r="Z306" s="14"/>
      <c r="AA306" s="14"/>
    </row>
    <row r="307" spans="1:27" ht="15.75" customHeight="1">
      <c r="A307" s="165"/>
      <c r="B307" s="45"/>
      <c r="C307" s="45"/>
      <c r="D307" s="72"/>
      <c r="E307" s="119"/>
      <c r="F307" s="6"/>
      <c r="G307" s="117"/>
      <c r="H307" s="471" t="s">
        <v>88</v>
      </c>
      <c r="I307" s="468"/>
      <c r="J307" s="468"/>
      <c r="K307" s="469"/>
      <c r="L307" s="120">
        <f t="shared" ref="L307:W307" ca="1" si="130">IFERROR(SUMPRODUCT((MONTH($E$8:$E$274)=MONTH(1&amp;L$288))*(YEAR($E$8:$E$274)=RIGHT(CELL("nomfichier"),4)*1)*$G$8:$G$274),0)</f>
        <v>0</v>
      </c>
      <c r="M307" s="120">
        <f t="shared" ca="1" si="130"/>
        <v>0</v>
      </c>
      <c r="N307" s="120">
        <f t="shared" ca="1" si="130"/>
        <v>0</v>
      </c>
      <c r="O307" s="120">
        <f t="shared" ca="1" si="130"/>
        <v>0</v>
      </c>
      <c r="P307" s="120">
        <f t="shared" ca="1" si="130"/>
        <v>0</v>
      </c>
      <c r="Q307" s="120">
        <f t="shared" ca="1" si="130"/>
        <v>0</v>
      </c>
      <c r="R307" s="120">
        <f t="shared" ca="1" si="130"/>
        <v>0</v>
      </c>
      <c r="S307" s="120">
        <f t="shared" ca="1" si="130"/>
        <v>0</v>
      </c>
      <c r="T307" s="120">
        <f t="shared" ca="1" si="130"/>
        <v>0</v>
      </c>
      <c r="U307" s="120">
        <f t="shared" ca="1" si="130"/>
        <v>0</v>
      </c>
      <c r="V307" s="120">
        <f t="shared" ca="1" si="130"/>
        <v>0</v>
      </c>
      <c r="W307" s="120">
        <f t="shared" ca="1" si="130"/>
        <v>0</v>
      </c>
      <c r="X307" s="126">
        <f ca="1">SUM(L307:W307)</f>
        <v>0</v>
      </c>
      <c r="Y307" s="45"/>
      <c r="Z307" s="45"/>
      <c r="AA307" s="45"/>
    </row>
    <row r="308" spans="1:27" ht="15.75" customHeight="1">
      <c r="A308" s="165"/>
      <c r="B308" s="45"/>
      <c r="C308" s="45"/>
      <c r="D308" s="45"/>
      <c r="E308" s="72"/>
      <c r="F308" s="6"/>
      <c r="G308" s="117"/>
      <c r="H308" s="472" t="s">
        <v>89</v>
      </c>
      <c r="I308" s="468"/>
      <c r="J308" s="468"/>
      <c r="K308" s="469"/>
      <c r="L308" s="127">
        <f t="shared" ref="L308:W308" ca="1" si="131">L304-L305-L307</f>
        <v>452.75</v>
      </c>
      <c r="M308" s="127">
        <f t="shared" ca="1" si="131"/>
        <v>782.19999999999993</v>
      </c>
      <c r="N308" s="127">
        <f t="shared" ca="1" si="131"/>
        <v>1164.6200000000001</v>
      </c>
      <c r="O308" s="127">
        <f t="shared" ca="1" si="131"/>
        <v>1795.7900000000002</v>
      </c>
      <c r="P308" s="127">
        <f t="shared" ca="1" si="131"/>
        <v>1435.53</v>
      </c>
      <c r="Q308" s="127">
        <f t="shared" ca="1" si="131"/>
        <v>1789.81</v>
      </c>
      <c r="R308" s="127">
        <f t="shared" ca="1" si="131"/>
        <v>986.53</v>
      </c>
      <c r="S308" s="127">
        <f t="shared" ca="1" si="131"/>
        <v>2119.46</v>
      </c>
      <c r="T308" s="127">
        <f t="shared" ca="1" si="131"/>
        <v>1940.68</v>
      </c>
      <c r="U308" s="127">
        <f t="shared" ca="1" si="131"/>
        <v>537.22</v>
      </c>
      <c r="V308" s="127">
        <f t="shared" ca="1" si="131"/>
        <v>1547.3299999999997</v>
      </c>
      <c r="W308" s="127">
        <f t="shared" ca="1" si="131"/>
        <v>399.65900000000005</v>
      </c>
      <c r="X308" s="127"/>
      <c r="Y308" s="45"/>
      <c r="Z308" s="45"/>
      <c r="AA308" s="45"/>
    </row>
    <row r="309" spans="1:27" ht="15.75" customHeight="1">
      <c r="A309" s="165"/>
      <c r="B309" s="45"/>
      <c r="C309" s="45"/>
      <c r="D309" s="45"/>
      <c r="E309" s="72"/>
      <c r="F309" s="108"/>
      <c r="G309" s="45"/>
      <c r="H309" s="45"/>
      <c r="I309" s="48"/>
      <c r="J309" s="48"/>
      <c r="K309" s="45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5"/>
      <c r="Z309" s="45"/>
      <c r="AA309" s="45"/>
    </row>
    <row r="310" spans="1:27" ht="15.75" customHeight="1">
      <c r="A310" s="165"/>
      <c r="B310" s="45"/>
      <c r="C310" s="45"/>
      <c r="D310" s="45"/>
      <c r="E310" s="72"/>
      <c r="F310" s="108"/>
      <c r="G310" s="45"/>
      <c r="H310" s="45"/>
      <c r="I310" s="48"/>
      <c r="J310" s="48"/>
      <c r="K310" s="45"/>
      <c r="L310" s="81" t="s">
        <v>58</v>
      </c>
      <c r="M310" s="81" t="s">
        <v>59</v>
      </c>
      <c r="N310" s="81" t="s">
        <v>60</v>
      </c>
      <c r="O310" s="81" t="s">
        <v>61</v>
      </c>
      <c r="P310" s="81" t="s">
        <v>62</v>
      </c>
      <c r="Q310" s="81" t="s">
        <v>63</v>
      </c>
      <c r="R310" s="81" t="s">
        <v>64</v>
      </c>
      <c r="S310" s="81" t="s">
        <v>65</v>
      </c>
      <c r="T310" s="81" t="s">
        <v>66</v>
      </c>
      <c r="U310" s="81" t="s">
        <v>67</v>
      </c>
      <c r="V310" s="81" t="s">
        <v>68</v>
      </c>
      <c r="W310" s="81" t="s">
        <v>69</v>
      </c>
      <c r="X310" s="129" t="s">
        <v>41</v>
      </c>
      <c r="Y310" s="74" t="s">
        <v>43</v>
      </c>
      <c r="Z310" s="45"/>
      <c r="AA310" s="45"/>
    </row>
    <row r="311" spans="1:27" ht="15.75" customHeight="1">
      <c r="A311" s="165"/>
      <c r="B311" s="45"/>
      <c r="C311" s="45"/>
      <c r="D311" s="72"/>
      <c r="E311" s="130"/>
      <c r="F311" s="45"/>
      <c r="G311" s="45"/>
      <c r="H311" s="45"/>
      <c r="I311" s="473" t="s">
        <v>90</v>
      </c>
      <c r="J311" s="468"/>
      <c r="K311" s="469"/>
      <c r="L311" s="131">
        <f t="shared" ref="L311:W311" si="132">SUMPRODUCT(($S2:$S274="LBC1")*($J2:$J274=MONTH(1&amp;L$310)))</f>
        <v>3</v>
      </c>
      <c r="M311" s="131">
        <f t="shared" si="132"/>
        <v>2</v>
      </c>
      <c r="N311" s="131">
        <f t="shared" si="132"/>
        <v>0</v>
      </c>
      <c r="O311" s="131">
        <f t="shared" si="132"/>
        <v>6</v>
      </c>
      <c r="P311" s="131">
        <f t="shared" si="132"/>
        <v>6</v>
      </c>
      <c r="Q311" s="131">
        <f t="shared" si="132"/>
        <v>9</v>
      </c>
      <c r="R311" s="131">
        <f t="shared" si="132"/>
        <v>0</v>
      </c>
      <c r="S311" s="131">
        <f t="shared" si="132"/>
        <v>7</v>
      </c>
      <c r="T311" s="131">
        <f t="shared" si="132"/>
        <v>7</v>
      </c>
      <c r="U311" s="131">
        <f t="shared" si="132"/>
        <v>2</v>
      </c>
      <c r="V311" s="131">
        <f t="shared" si="132"/>
        <v>10</v>
      </c>
      <c r="W311" s="131">
        <f t="shared" si="132"/>
        <v>1</v>
      </c>
      <c r="X311" s="131">
        <f>SUM(L311:W311)</f>
        <v>53</v>
      </c>
      <c r="Y311" s="74"/>
      <c r="Z311" s="45"/>
      <c r="AA311" s="45"/>
    </row>
    <row r="312" spans="1:27" ht="15.75" customHeight="1">
      <c r="A312" s="165"/>
      <c r="B312" s="45"/>
      <c r="C312" s="45"/>
      <c r="D312" s="45"/>
      <c r="E312" s="130"/>
      <c r="F312" s="45"/>
      <c r="G312" s="45"/>
      <c r="H312" s="45"/>
      <c r="I312" s="473" t="s">
        <v>91</v>
      </c>
      <c r="J312" s="468"/>
      <c r="K312" s="469"/>
      <c r="L312" s="131">
        <f t="shared" ref="L312:W312" si="133">SUMPRODUCT(($S2:$S274="LBC2")*($J2:$J274=MONTH(1&amp;L$310)))</f>
        <v>0</v>
      </c>
      <c r="M312" s="131">
        <f t="shared" si="133"/>
        <v>0</v>
      </c>
      <c r="N312" s="131">
        <f t="shared" si="133"/>
        <v>0</v>
      </c>
      <c r="O312" s="131">
        <f t="shared" si="133"/>
        <v>0</v>
      </c>
      <c r="P312" s="131">
        <f t="shared" si="133"/>
        <v>0</v>
      </c>
      <c r="Q312" s="131">
        <f t="shared" si="133"/>
        <v>0</v>
      </c>
      <c r="R312" s="131">
        <f t="shared" si="133"/>
        <v>0</v>
      </c>
      <c r="S312" s="131">
        <f t="shared" si="133"/>
        <v>0</v>
      </c>
      <c r="T312" s="131">
        <f t="shared" si="133"/>
        <v>0</v>
      </c>
      <c r="U312" s="131">
        <f t="shared" si="133"/>
        <v>0</v>
      </c>
      <c r="V312" s="131">
        <f t="shared" si="133"/>
        <v>0</v>
      </c>
      <c r="W312" s="131">
        <f t="shared" si="133"/>
        <v>0</v>
      </c>
      <c r="X312" s="131">
        <f>SUM(L312:W312)</f>
        <v>0</v>
      </c>
      <c r="Y312" s="74"/>
      <c r="Z312" s="45"/>
      <c r="AA312" s="45"/>
    </row>
    <row r="313" spans="1:27" ht="15.75" customHeight="1">
      <c r="A313" s="165"/>
      <c r="B313" s="45"/>
      <c r="C313" s="45"/>
      <c r="D313" s="45"/>
      <c r="E313" s="72"/>
      <c r="F313" s="45"/>
      <c r="G313" s="45"/>
      <c r="H313" s="45"/>
      <c r="I313" s="467" t="s">
        <v>102</v>
      </c>
      <c r="J313" s="468"/>
      <c r="K313" s="469"/>
      <c r="L313" s="132">
        <f t="shared" ref="L313:X313" si="134">SUM(L311:L312)</f>
        <v>3</v>
      </c>
      <c r="M313" s="132">
        <f t="shared" si="134"/>
        <v>2</v>
      </c>
      <c r="N313" s="132">
        <f t="shared" si="134"/>
        <v>0</v>
      </c>
      <c r="O313" s="132">
        <f t="shared" si="134"/>
        <v>6</v>
      </c>
      <c r="P313" s="132">
        <f t="shared" si="134"/>
        <v>6</v>
      </c>
      <c r="Q313" s="132">
        <f t="shared" si="134"/>
        <v>9</v>
      </c>
      <c r="R313" s="132">
        <f t="shared" si="134"/>
        <v>0</v>
      </c>
      <c r="S313" s="132">
        <f t="shared" si="134"/>
        <v>7</v>
      </c>
      <c r="T313" s="132">
        <f t="shared" si="134"/>
        <v>7</v>
      </c>
      <c r="U313" s="133">
        <f t="shared" si="134"/>
        <v>2</v>
      </c>
      <c r="V313" s="132">
        <f t="shared" si="134"/>
        <v>10</v>
      </c>
      <c r="W313" s="132">
        <f t="shared" si="134"/>
        <v>1</v>
      </c>
      <c r="X313" s="132">
        <f t="shared" si="134"/>
        <v>53</v>
      </c>
      <c r="Y313" s="195">
        <f>SUM(X313/X315)</f>
        <v>0.28342245989304815</v>
      </c>
      <c r="Z313" s="45"/>
      <c r="AA313" s="45"/>
    </row>
    <row r="314" spans="1:27" ht="15.75" customHeight="1">
      <c r="A314" s="165"/>
      <c r="B314" s="45"/>
      <c r="C314" s="45"/>
      <c r="D314" s="72"/>
      <c r="E314" s="130"/>
      <c r="F314" s="45"/>
      <c r="G314" s="45"/>
      <c r="H314" s="45"/>
      <c r="I314" s="467" t="s">
        <v>92</v>
      </c>
      <c r="J314" s="468"/>
      <c r="K314" s="469"/>
      <c r="L314" s="132">
        <f t="shared" ref="L314:W314" si="135">SUMPRODUCT(($S2:$S274="EBAY")*($J2:$J274=MONTH(1&amp;L$310)))</f>
        <v>7</v>
      </c>
      <c r="M314" s="132">
        <f t="shared" si="135"/>
        <v>10</v>
      </c>
      <c r="N314" s="132">
        <f t="shared" si="135"/>
        <v>10</v>
      </c>
      <c r="O314" s="132">
        <f t="shared" si="135"/>
        <v>16</v>
      </c>
      <c r="P314" s="132">
        <f t="shared" si="135"/>
        <v>16</v>
      </c>
      <c r="Q314" s="132">
        <f t="shared" si="135"/>
        <v>14</v>
      </c>
      <c r="R314" s="132">
        <f t="shared" si="135"/>
        <v>7</v>
      </c>
      <c r="S314" s="132">
        <f t="shared" si="135"/>
        <v>19</v>
      </c>
      <c r="T314" s="132">
        <f t="shared" si="135"/>
        <v>16</v>
      </c>
      <c r="U314" s="132">
        <f t="shared" si="135"/>
        <v>4</v>
      </c>
      <c r="V314" s="132">
        <f t="shared" si="135"/>
        <v>12</v>
      </c>
      <c r="W314" s="132">
        <f t="shared" si="135"/>
        <v>3</v>
      </c>
      <c r="X314" s="132">
        <f>SUM(L314:W314)</f>
        <v>134</v>
      </c>
      <c r="Y314" s="195">
        <f>SUM(X314/X315)</f>
        <v>0.71657754010695185</v>
      </c>
      <c r="Z314" s="45"/>
      <c r="AA314" s="45"/>
    </row>
    <row r="315" spans="1:27" ht="15.75" customHeight="1">
      <c r="A315" s="165"/>
      <c r="B315" s="45"/>
      <c r="C315" s="45"/>
      <c r="D315" s="45"/>
      <c r="E315" s="72"/>
      <c r="F315" s="45"/>
      <c r="G315" s="45"/>
      <c r="H315" s="45"/>
      <c r="I315" s="416" t="s">
        <v>93</v>
      </c>
      <c r="J315" s="468"/>
      <c r="K315" s="469"/>
      <c r="L315" s="134">
        <f t="shared" ref="L315:W315" si="136">SUM(L313:L314)</f>
        <v>10</v>
      </c>
      <c r="M315" s="134">
        <f t="shared" si="136"/>
        <v>12</v>
      </c>
      <c r="N315" s="134">
        <f t="shared" si="136"/>
        <v>10</v>
      </c>
      <c r="O315" s="134">
        <f t="shared" si="136"/>
        <v>22</v>
      </c>
      <c r="P315" s="134">
        <f t="shared" si="136"/>
        <v>22</v>
      </c>
      <c r="Q315" s="134">
        <f t="shared" si="136"/>
        <v>23</v>
      </c>
      <c r="R315" s="134">
        <f t="shared" si="136"/>
        <v>7</v>
      </c>
      <c r="S315" s="134">
        <f t="shared" si="136"/>
        <v>26</v>
      </c>
      <c r="T315" s="134">
        <f t="shared" si="136"/>
        <v>23</v>
      </c>
      <c r="U315" s="135">
        <f t="shared" si="136"/>
        <v>6</v>
      </c>
      <c r="V315" s="134">
        <f t="shared" si="136"/>
        <v>22</v>
      </c>
      <c r="W315" s="134">
        <f t="shared" si="136"/>
        <v>4</v>
      </c>
      <c r="X315" s="134">
        <f>SUM(X313+X314)</f>
        <v>187</v>
      </c>
      <c r="Y315" s="14"/>
      <c r="Z315" s="45"/>
      <c r="AA315" s="45"/>
    </row>
    <row r="316" spans="1:27" ht="15.75" customHeight="1">
      <c r="A316" s="171"/>
      <c r="B316" s="136"/>
      <c r="C316" s="136"/>
      <c r="D316" s="136"/>
      <c r="E316" s="137"/>
      <c r="F316" s="136"/>
      <c r="G316" s="136"/>
      <c r="H316" s="136"/>
      <c r="I316" s="138"/>
      <c r="J316" s="138"/>
      <c r="K316" s="139" t="s">
        <v>85</v>
      </c>
      <c r="L316" s="140">
        <f>SUM(L315/X315)</f>
        <v>5.3475935828877004E-2</v>
      </c>
      <c r="M316" s="140">
        <f>SUM(M315/X315)</f>
        <v>6.4171122994652413E-2</v>
      </c>
      <c r="N316" s="140">
        <f>SUM(N315/X315)</f>
        <v>5.3475935828877004E-2</v>
      </c>
      <c r="O316" s="140">
        <f>SUM(O315/X315)</f>
        <v>0.11764705882352941</v>
      </c>
      <c r="P316" s="140">
        <f>SUM(P315/X315)</f>
        <v>0.11764705882352941</v>
      </c>
      <c r="Q316" s="140">
        <f>SUM(Q315/X315)</f>
        <v>0.12299465240641712</v>
      </c>
      <c r="R316" s="140">
        <f>SUM(R315/X315)</f>
        <v>3.7433155080213901E-2</v>
      </c>
      <c r="S316" s="140">
        <f>SUM(S315/X315)</f>
        <v>0.13903743315508021</v>
      </c>
      <c r="T316" s="140">
        <f>SUM(T315/X315)</f>
        <v>0.12299465240641712</v>
      </c>
      <c r="U316" s="140">
        <f>SUM(U315/X315)</f>
        <v>3.2085561497326207E-2</v>
      </c>
      <c r="V316" s="140">
        <f>SUM(V315/X315)</f>
        <v>0.11764705882352941</v>
      </c>
      <c r="W316" s="140">
        <f>SUM(W315/X315)</f>
        <v>2.1390374331550801E-2</v>
      </c>
      <c r="X316" s="140">
        <f>SUM(X315/X315)</f>
        <v>1</v>
      </c>
      <c r="Y316" s="136"/>
      <c r="Z316" s="136"/>
      <c r="AA316" s="136"/>
    </row>
    <row r="317" spans="1:27" ht="15.75" customHeight="1">
      <c r="E317" s="104"/>
      <c r="I317" s="141"/>
      <c r="J317" s="141"/>
      <c r="U317" s="33"/>
    </row>
    <row r="318" spans="1:27" ht="15.75" customHeight="1">
      <c r="E318" s="104"/>
      <c r="I318" s="141"/>
      <c r="J318" s="141"/>
      <c r="U318" s="33"/>
    </row>
    <row r="319" spans="1:27" ht="15.75" customHeight="1">
      <c r="E319" s="104"/>
      <c r="I319" s="141"/>
      <c r="J319" s="141"/>
      <c r="U319" s="33"/>
    </row>
    <row r="320" spans="1:27" ht="15.75" customHeight="1">
      <c r="E320" s="104"/>
      <c r="I320" s="141"/>
      <c r="J320" s="141"/>
      <c r="U320" s="33"/>
    </row>
    <row r="321" spans="5:21" ht="15.75" customHeight="1">
      <c r="E321" s="104"/>
      <c r="I321" s="141"/>
      <c r="J321" s="141"/>
      <c r="L321" s="91"/>
      <c r="U321" s="33"/>
    </row>
    <row r="322" spans="5:21" ht="15.75" customHeight="1">
      <c r="E322" s="104"/>
      <c r="I322" s="141"/>
      <c r="J322" s="141"/>
      <c r="U322" s="33"/>
    </row>
    <row r="323" spans="5:21" ht="15.75" customHeight="1">
      <c r="E323" s="104"/>
      <c r="I323" s="141"/>
      <c r="J323" s="141"/>
      <c r="U323" s="33"/>
    </row>
    <row r="324" spans="5:21" ht="15.75" customHeight="1">
      <c r="E324" s="104"/>
      <c r="I324" s="141"/>
      <c r="J324" s="141"/>
      <c r="U324" s="33"/>
    </row>
    <row r="325" spans="5:21" ht="15.75" customHeight="1">
      <c r="E325" s="104"/>
      <c r="I325" s="141"/>
      <c r="J325" s="141"/>
      <c r="U325" s="33"/>
    </row>
    <row r="326" spans="5:21" ht="15.75" customHeight="1">
      <c r="E326" s="104"/>
      <c r="I326" s="141"/>
      <c r="J326" s="141"/>
      <c r="U326" s="33"/>
    </row>
    <row r="327" spans="5:21" ht="15.75" customHeight="1">
      <c r="E327" s="104"/>
      <c r="I327" s="141"/>
      <c r="J327" s="141"/>
      <c r="U327" s="33"/>
    </row>
    <row r="328" spans="5:21" ht="15.75" customHeight="1">
      <c r="E328" s="104"/>
      <c r="I328" s="141"/>
      <c r="J328" s="141"/>
      <c r="U328" s="33"/>
    </row>
    <row r="329" spans="5:21" ht="15.75" customHeight="1">
      <c r="E329" s="104"/>
      <c r="I329" s="141"/>
      <c r="J329" s="141"/>
      <c r="U329" s="33"/>
    </row>
    <row r="330" spans="5:21" ht="15.75" customHeight="1">
      <c r="E330" s="104"/>
      <c r="I330" s="141"/>
      <c r="J330" s="141"/>
      <c r="U330" s="33"/>
    </row>
    <row r="331" spans="5:21" ht="15.75" customHeight="1">
      <c r="E331" s="104"/>
      <c r="I331" s="141"/>
      <c r="J331" s="141"/>
      <c r="U331" s="33"/>
    </row>
    <row r="332" spans="5:21" ht="15.75" customHeight="1">
      <c r="E332" s="104"/>
      <c r="I332" s="141"/>
      <c r="J332" s="141"/>
      <c r="U332" s="33"/>
    </row>
    <row r="333" spans="5:21" ht="15.75" customHeight="1">
      <c r="E333" s="104"/>
      <c r="I333" s="141"/>
      <c r="J333" s="141"/>
      <c r="U333" s="33"/>
    </row>
    <row r="334" spans="5:21" ht="15.75" customHeight="1">
      <c r="E334" s="104"/>
      <c r="I334" s="141"/>
      <c r="J334" s="141"/>
      <c r="U334" s="33"/>
    </row>
    <row r="335" spans="5:21" ht="15.75" customHeight="1">
      <c r="E335" s="104"/>
      <c r="I335" s="141"/>
      <c r="J335" s="141"/>
      <c r="U335" s="33"/>
    </row>
    <row r="336" spans="5:21" ht="15.75" customHeight="1">
      <c r="E336" s="104"/>
      <c r="I336" s="141"/>
      <c r="J336" s="141"/>
      <c r="U336" s="33"/>
    </row>
    <row r="337" spans="5:21" ht="15.75" customHeight="1">
      <c r="E337" s="104"/>
      <c r="I337" s="141"/>
      <c r="J337" s="141"/>
      <c r="U337" s="33"/>
    </row>
    <row r="338" spans="5:21" ht="15.75" customHeight="1">
      <c r="E338" s="104"/>
      <c r="I338" s="141"/>
      <c r="J338" s="141"/>
      <c r="U338" s="33"/>
    </row>
    <row r="339" spans="5:21" ht="15.75" customHeight="1">
      <c r="E339" s="104"/>
      <c r="I339" s="141"/>
      <c r="J339" s="141"/>
      <c r="U339" s="33"/>
    </row>
    <row r="340" spans="5:21" ht="15.75" customHeight="1">
      <c r="E340" s="104"/>
      <c r="I340" s="141"/>
      <c r="J340" s="141"/>
      <c r="U340" s="33"/>
    </row>
    <row r="341" spans="5:21" ht="15.75" customHeight="1">
      <c r="E341" s="104"/>
      <c r="I341" s="141"/>
      <c r="J341" s="141"/>
      <c r="U341" s="33"/>
    </row>
    <row r="342" spans="5:21" ht="15.75" customHeight="1">
      <c r="E342" s="104"/>
      <c r="I342" s="141"/>
      <c r="J342" s="141"/>
      <c r="U342" s="33"/>
    </row>
    <row r="343" spans="5:21" ht="15.75" customHeight="1">
      <c r="E343" s="104"/>
      <c r="I343" s="141"/>
      <c r="J343" s="141"/>
      <c r="U343" s="33"/>
    </row>
    <row r="344" spans="5:21" ht="15.75" customHeight="1">
      <c r="E344" s="104"/>
      <c r="I344" s="141"/>
      <c r="J344" s="141"/>
      <c r="U344" s="33"/>
    </row>
    <row r="345" spans="5:21" ht="15.75" customHeight="1">
      <c r="E345" s="104"/>
      <c r="I345" s="141"/>
      <c r="J345" s="141"/>
      <c r="U345" s="33"/>
    </row>
    <row r="346" spans="5:21" ht="15.75" customHeight="1">
      <c r="E346" s="104"/>
      <c r="I346" s="141"/>
      <c r="J346" s="141"/>
      <c r="U346" s="33"/>
    </row>
    <row r="347" spans="5:21" ht="15.75" customHeight="1">
      <c r="E347" s="104"/>
      <c r="I347" s="141"/>
      <c r="J347" s="141"/>
      <c r="U347" s="33"/>
    </row>
    <row r="348" spans="5:21" ht="15.75" customHeight="1">
      <c r="E348" s="104"/>
      <c r="I348" s="141"/>
      <c r="J348" s="141"/>
      <c r="U348" s="33"/>
    </row>
    <row r="349" spans="5:21" ht="15.75" customHeight="1">
      <c r="E349" s="104"/>
      <c r="I349" s="141"/>
      <c r="J349" s="141"/>
      <c r="U349" s="33"/>
    </row>
    <row r="350" spans="5:21" ht="15.75" customHeight="1">
      <c r="E350" s="104"/>
      <c r="I350" s="141"/>
      <c r="J350" s="141"/>
      <c r="U350" s="33"/>
    </row>
    <row r="351" spans="5:21" ht="15.75" customHeight="1">
      <c r="E351" s="104"/>
      <c r="I351" s="141"/>
      <c r="J351" s="141"/>
      <c r="U351" s="33"/>
    </row>
    <row r="352" spans="5:21" ht="15.75" customHeight="1">
      <c r="E352" s="104"/>
      <c r="I352" s="141"/>
      <c r="J352" s="141"/>
      <c r="U352" s="33"/>
    </row>
    <row r="353" spans="5:21" ht="15.75" customHeight="1">
      <c r="E353" s="104"/>
      <c r="I353" s="141"/>
      <c r="J353" s="141"/>
      <c r="U353" s="33"/>
    </row>
    <row r="354" spans="5:21" ht="15.75" customHeight="1">
      <c r="E354" s="104"/>
      <c r="I354" s="141"/>
      <c r="J354" s="141"/>
      <c r="U354" s="33"/>
    </row>
    <row r="355" spans="5:21" ht="15.75" customHeight="1">
      <c r="E355" s="104"/>
      <c r="I355" s="141"/>
      <c r="J355" s="141"/>
      <c r="U355" s="33"/>
    </row>
    <row r="356" spans="5:21" ht="15.75" customHeight="1">
      <c r="E356" s="104"/>
      <c r="I356" s="141"/>
      <c r="J356" s="141"/>
      <c r="U356" s="33"/>
    </row>
    <row r="357" spans="5:21" ht="15.75" customHeight="1">
      <c r="E357" s="104"/>
      <c r="I357" s="141"/>
      <c r="J357" s="141"/>
      <c r="U357" s="33"/>
    </row>
    <row r="358" spans="5:21" ht="15.75" customHeight="1">
      <c r="E358" s="104"/>
      <c r="I358" s="141"/>
      <c r="J358" s="141"/>
      <c r="U358" s="33"/>
    </row>
    <row r="359" spans="5:21" ht="15.75" customHeight="1">
      <c r="E359" s="104"/>
      <c r="I359" s="141"/>
      <c r="J359" s="141"/>
      <c r="U359" s="33"/>
    </row>
    <row r="360" spans="5:21" ht="15.75" customHeight="1">
      <c r="E360" s="104"/>
      <c r="I360" s="141"/>
      <c r="J360" s="141"/>
      <c r="U360" s="33"/>
    </row>
    <row r="361" spans="5:21" ht="15.75" customHeight="1">
      <c r="E361" s="104"/>
      <c r="I361" s="141"/>
      <c r="J361" s="141"/>
      <c r="U361" s="33"/>
    </row>
    <row r="362" spans="5:21" ht="15.75" customHeight="1">
      <c r="E362" s="104"/>
      <c r="I362" s="141"/>
      <c r="J362" s="141"/>
      <c r="U362" s="33"/>
    </row>
    <row r="363" spans="5:21" ht="15.75" customHeight="1">
      <c r="E363" s="104"/>
      <c r="I363" s="141"/>
      <c r="J363" s="141"/>
      <c r="U363" s="33"/>
    </row>
    <row r="364" spans="5:21" ht="15.75" customHeight="1">
      <c r="E364" s="104"/>
      <c r="I364" s="141"/>
      <c r="J364" s="141"/>
      <c r="U364" s="33"/>
    </row>
    <row r="365" spans="5:21" ht="15.75" customHeight="1">
      <c r="E365" s="104"/>
      <c r="I365" s="141"/>
      <c r="J365" s="141"/>
      <c r="U365" s="33"/>
    </row>
    <row r="366" spans="5:21" ht="15.75" customHeight="1">
      <c r="E366" s="104"/>
      <c r="I366" s="141"/>
      <c r="J366" s="141"/>
      <c r="U366" s="33"/>
    </row>
    <row r="367" spans="5:21" ht="15.75" customHeight="1">
      <c r="E367" s="104"/>
      <c r="I367" s="141"/>
      <c r="J367" s="141"/>
      <c r="U367" s="33"/>
    </row>
    <row r="368" spans="5:21" ht="15.75" customHeight="1">
      <c r="E368" s="104"/>
      <c r="I368" s="141"/>
      <c r="J368" s="141"/>
      <c r="U368" s="33"/>
    </row>
    <row r="369" spans="5:21" ht="15.75" customHeight="1">
      <c r="E369" s="104"/>
      <c r="I369" s="141"/>
      <c r="J369" s="141"/>
      <c r="U369" s="33"/>
    </row>
    <row r="370" spans="5:21" ht="15.75" customHeight="1">
      <c r="E370" s="104"/>
      <c r="I370" s="141"/>
      <c r="J370" s="141"/>
      <c r="U370" s="33"/>
    </row>
    <row r="371" spans="5:21" ht="15.75" customHeight="1">
      <c r="E371" s="104"/>
      <c r="I371" s="141"/>
      <c r="J371" s="141"/>
      <c r="U371" s="33"/>
    </row>
    <row r="372" spans="5:21" ht="15.75" customHeight="1">
      <c r="E372" s="104"/>
      <c r="I372" s="141"/>
      <c r="J372" s="141"/>
      <c r="U372" s="33"/>
    </row>
    <row r="373" spans="5:21" ht="15.75" customHeight="1">
      <c r="E373" s="104"/>
      <c r="I373" s="141"/>
      <c r="J373" s="141"/>
      <c r="U373" s="33"/>
    </row>
    <row r="374" spans="5:21" ht="15.75" customHeight="1">
      <c r="E374" s="104"/>
      <c r="I374" s="141"/>
      <c r="J374" s="141"/>
      <c r="U374" s="33"/>
    </row>
    <row r="375" spans="5:21" ht="15.75" customHeight="1">
      <c r="E375" s="104"/>
      <c r="I375" s="141"/>
      <c r="J375" s="141"/>
      <c r="U375" s="33"/>
    </row>
    <row r="376" spans="5:21" ht="15.75" customHeight="1">
      <c r="E376" s="104"/>
      <c r="I376" s="141"/>
      <c r="J376" s="141"/>
      <c r="U376" s="33"/>
    </row>
    <row r="377" spans="5:21" ht="15.75" customHeight="1">
      <c r="E377" s="104"/>
      <c r="I377" s="141"/>
      <c r="J377" s="141"/>
      <c r="U377" s="33"/>
    </row>
    <row r="378" spans="5:21" ht="15.75" customHeight="1">
      <c r="E378" s="104"/>
      <c r="I378" s="141"/>
      <c r="J378" s="141"/>
      <c r="U378" s="33"/>
    </row>
    <row r="379" spans="5:21" ht="15.75" customHeight="1">
      <c r="E379" s="104"/>
      <c r="I379" s="141"/>
      <c r="J379" s="141"/>
      <c r="U379" s="33"/>
    </row>
    <row r="380" spans="5:21" ht="15.75" customHeight="1">
      <c r="E380" s="104"/>
      <c r="I380" s="141"/>
      <c r="J380" s="141"/>
      <c r="U380" s="33"/>
    </row>
    <row r="381" spans="5:21" ht="15.75" customHeight="1">
      <c r="E381" s="104"/>
      <c r="I381" s="141"/>
      <c r="J381" s="141"/>
      <c r="U381" s="33"/>
    </row>
    <row r="382" spans="5:21" ht="15.75" customHeight="1">
      <c r="E382" s="104"/>
      <c r="I382" s="141"/>
      <c r="J382" s="141"/>
      <c r="U382" s="33"/>
    </row>
    <row r="383" spans="5:21" ht="15.75" customHeight="1">
      <c r="E383" s="104"/>
      <c r="I383" s="141"/>
      <c r="J383" s="141"/>
      <c r="U383" s="33"/>
    </row>
    <row r="384" spans="5:21" ht="15.75" customHeight="1">
      <c r="E384" s="104"/>
      <c r="I384" s="141"/>
      <c r="J384" s="141"/>
      <c r="U384" s="33"/>
    </row>
    <row r="385" spans="5:21" ht="15.75" customHeight="1">
      <c r="E385" s="104"/>
      <c r="I385" s="141"/>
      <c r="J385" s="141"/>
      <c r="U385" s="33"/>
    </row>
    <row r="386" spans="5:21" ht="15.75" customHeight="1">
      <c r="E386" s="104"/>
      <c r="I386" s="141"/>
      <c r="J386" s="141"/>
      <c r="U386" s="33"/>
    </row>
    <row r="387" spans="5:21" ht="15.75" customHeight="1">
      <c r="E387" s="104"/>
      <c r="I387" s="141"/>
      <c r="J387" s="141"/>
      <c r="U387" s="33"/>
    </row>
    <row r="388" spans="5:21" ht="15.75" customHeight="1">
      <c r="E388" s="104"/>
      <c r="I388" s="141"/>
      <c r="J388" s="141"/>
      <c r="U388" s="33"/>
    </row>
    <row r="389" spans="5:21" ht="15.75" customHeight="1">
      <c r="E389" s="104"/>
      <c r="I389" s="141"/>
      <c r="J389" s="141"/>
      <c r="U389" s="33"/>
    </row>
    <row r="390" spans="5:21" ht="15.75" customHeight="1">
      <c r="E390" s="104"/>
      <c r="I390" s="141"/>
      <c r="J390" s="141"/>
      <c r="U390" s="33"/>
    </row>
    <row r="391" spans="5:21" ht="15.75" customHeight="1">
      <c r="E391" s="104"/>
      <c r="I391" s="141"/>
      <c r="J391" s="141"/>
      <c r="U391" s="33"/>
    </row>
    <row r="392" spans="5:21" ht="15.75" customHeight="1">
      <c r="E392" s="104"/>
      <c r="I392" s="141"/>
      <c r="J392" s="141"/>
      <c r="U392" s="33"/>
    </row>
    <row r="393" spans="5:21" ht="15.75" customHeight="1">
      <c r="E393" s="104"/>
      <c r="I393" s="141"/>
      <c r="J393" s="141"/>
      <c r="U393" s="33"/>
    </row>
    <row r="394" spans="5:21" ht="15.75" customHeight="1">
      <c r="E394" s="104"/>
      <c r="I394" s="141"/>
      <c r="J394" s="141"/>
      <c r="U394" s="33"/>
    </row>
    <row r="395" spans="5:21" ht="15.75" customHeight="1">
      <c r="E395" s="104"/>
      <c r="I395" s="141"/>
      <c r="J395" s="141"/>
      <c r="U395" s="33"/>
    </row>
    <row r="396" spans="5:21" ht="15.75" customHeight="1">
      <c r="E396" s="104"/>
      <c r="I396" s="141"/>
      <c r="J396" s="141"/>
      <c r="U396" s="33"/>
    </row>
    <row r="397" spans="5:21" ht="15.75" customHeight="1">
      <c r="E397" s="104"/>
      <c r="I397" s="141"/>
      <c r="J397" s="141"/>
      <c r="U397" s="33"/>
    </row>
    <row r="398" spans="5:21" ht="15.75" customHeight="1">
      <c r="E398" s="104"/>
      <c r="I398" s="141"/>
      <c r="J398" s="141"/>
      <c r="U398" s="33"/>
    </row>
    <row r="399" spans="5:21" ht="15.75" customHeight="1">
      <c r="E399" s="104"/>
      <c r="I399" s="141"/>
      <c r="J399" s="141"/>
      <c r="U399" s="33"/>
    </row>
    <row r="400" spans="5:21" ht="15.75" customHeight="1">
      <c r="E400" s="104"/>
      <c r="I400" s="141"/>
      <c r="J400" s="141"/>
      <c r="U400" s="33"/>
    </row>
    <row r="401" spans="5:21" ht="15.75" customHeight="1">
      <c r="E401" s="104"/>
      <c r="I401" s="141"/>
      <c r="J401" s="141"/>
      <c r="U401" s="33"/>
    </row>
    <row r="402" spans="5:21" ht="15.75" customHeight="1">
      <c r="E402" s="104"/>
      <c r="I402" s="141"/>
      <c r="J402" s="141"/>
      <c r="U402" s="33"/>
    </row>
    <row r="403" spans="5:21" ht="15.75" customHeight="1">
      <c r="E403" s="104"/>
      <c r="I403" s="141"/>
      <c r="J403" s="141"/>
      <c r="U403" s="33"/>
    </row>
    <row r="404" spans="5:21" ht="15.75" customHeight="1">
      <c r="E404" s="104"/>
      <c r="I404" s="141"/>
      <c r="J404" s="141"/>
      <c r="U404" s="33"/>
    </row>
    <row r="405" spans="5:21" ht="15.75" customHeight="1">
      <c r="E405" s="104"/>
      <c r="I405" s="141"/>
      <c r="J405" s="141"/>
      <c r="U405" s="33"/>
    </row>
    <row r="406" spans="5:21" ht="15.75" customHeight="1">
      <c r="E406" s="104"/>
      <c r="I406" s="141"/>
      <c r="J406" s="141"/>
      <c r="U406" s="33"/>
    </row>
    <row r="407" spans="5:21" ht="15.75" customHeight="1">
      <c r="E407" s="104"/>
      <c r="I407" s="141"/>
      <c r="J407" s="141"/>
      <c r="U407" s="33"/>
    </row>
    <row r="408" spans="5:21" ht="15.75" customHeight="1">
      <c r="E408" s="104"/>
      <c r="I408" s="141"/>
      <c r="J408" s="141"/>
      <c r="U408" s="33"/>
    </row>
    <row r="409" spans="5:21" ht="15.75" customHeight="1">
      <c r="E409" s="104"/>
      <c r="I409" s="141"/>
      <c r="J409" s="141"/>
      <c r="U409" s="33"/>
    </row>
    <row r="410" spans="5:21" ht="15.75" customHeight="1">
      <c r="E410" s="104"/>
      <c r="I410" s="141"/>
      <c r="J410" s="141"/>
      <c r="U410" s="33"/>
    </row>
    <row r="411" spans="5:21" ht="15.75" customHeight="1">
      <c r="E411" s="104"/>
      <c r="I411" s="141"/>
      <c r="J411" s="141"/>
      <c r="U411" s="33"/>
    </row>
    <row r="412" spans="5:21" ht="15.75" customHeight="1">
      <c r="E412" s="104"/>
      <c r="I412" s="141"/>
      <c r="J412" s="141"/>
      <c r="U412" s="33"/>
    </row>
    <row r="413" spans="5:21" ht="15.75" customHeight="1">
      <c r="E413" s="104"/>
      <c r="I413" s="141"/>
      <c r="J413" s="141"/>
      <c r="U413" s="33"/>
    </row>
    <row r="414" spans="5:21" ht="15.75" customHeight="1">
      <c r="E414" s="104"/>
      <c r="I414" s="141"/>
      <c r="J414" s="141"/>
      <c r="U414" s="33"/>
    </row>
    <row r="415" spans="5:21" ht="15.75" customHeight="1">
      <c r="E415" s="104"/>
      <c r="I415" s="141"/>
      <c r="J415" s="141"/>
      <c r="U415" s="33"/>
    </row>
    <row r="416" spans="5:21" ht="15.75" customHeight="1">
      <c r="E416" s="104"/>
      <c r="I416" s="141"/>
      <c r="J416" s="141"/>
      <c r="U416" s="33"/>
    </row>
    <row r="417" spans="5:21" ht="15.75" customHeight="1">
      <c r="E417" s="104"/>
      <c r="I417" s="141"/>
      <c r="J417" s="141"/>
      <c r="U417" s="33"/>
    </row>
    <row r="418" spans="5:21" ht="15.75" customHeight="1">
      <c r="E418" s="104"/>
      <c r="I418" s="141"/>
      <c r="J418" s="141"/>
      <c r="U418" s="33"/>
    </row>
    <row r="419" spans="5:21" ht="15.75" customHeight="1">
      <c r="E419" s="104"/>
      <c r="I419" s="141"/>
      <c r="J419" s="141"/>
      <c r="U419" s="33"/>
    </row>
    <row r="420" spans="5:21" ht="15.75" customHeight="1">
      <c r="E420" s="104"/>
      <c r="I420" s="141"/>
      <c r="J420" s="141"/>
      <c r="U420" s="33"/>
    </row>
    <row r="421" spans="5:21" ht="15.75" customHeight="1">
      <c r="E421" s="104"/>
      <c r="I421" s="141"/>
      <c r="J421" s="141"/>
      <c r="U421" s="33"/>
    </row>
    <row r="422" spans="5:21" ht="15.75" customHeight="1">
      <c r="E422" s="104"/>
      <c r="I422" s="141"/>
      <c r="J422" s="141"/>
      <c r="U422" s="33"/>
    </row>
    <row r="423" spans="5:21" ht="15.75" customHeight="1">
      <c r="E423" s="104"/>
      <c r="I423" s="141"/>
      <c r="J423" s="141"/>
      <c r="U423" s="33"/>
    </row>
    <row r="424" spans="5:21" ht="15.75" customHeight="1">
      <c r="E424" s="104"/>
      <c r="I424" s="141"/>
      <c r="J424" s="141"/>
      <c r="U424" s="33"/>
    </row>
    <row r="425" spans="5:21" ht="15.75" customHeight="1">
      <c r="E425" s="104"/>
      <c r="I425" s="141"/>
      <c r="J425" s="141"/>
      <c r="U425" s="33"/>
    </row>
    <row r="426" spans="5:21" ht="15.75" customHeight="1">
      <c r="E426" s="104"/>
      <c r="I426" s="141"/>
      <c r="J426" s="141"/>
      <c r="U426" s="33"/>
    </row>
    <row r="427" spans="5:21" ht="15.75" customHeight="1">
      <c r="E427" s="104"/>
      <c r="I427" s="141"/>
      <c r="J427" s="141"/>
      <c r="U427" s="33"/>
    </row>
    <row r="428" spans="5:21" ht="15.75" customHeight="1">
      <c r="E428" s="104"/>
      <c r="I428" s="141"/>
      <c r="J428" s="141"/>
      <c r="U428" s="33"/>
    </row>
    <row r="429" spans="5:21" ht="15.75" customHeight="1">
      <c r="E429" s="104"/>
      <c r="I429" s="141"/>
      <c r="J429" s="141"/>
      <c r="U429" s="33"/>
    </row>
    <row r="430" spans="5:21" ht="15.75" customHeight="1">
      <c r="E430" s="104"/>
      <c r="I430" s="141"/>
      <c r="J430" s="141"/>
      <c r="U430" s="33"/>
    </row>
    <row r="431" spans="5:21" ht="15.75" customHeight="1">
      <c r="E431" s="104"/>
      <c r="I431" s="141"/>
      <c r="J431" s="141"/>
      <c r="U431" s="33"/>
    </row>
    <row r="432" spans="5:21" ht="15.75" customHeight="1">
      <c r="E432" s="104"/>
      <c r="I432" s="141"/>
      <c r="J432" s="141"/>
      <c r="U432" s="33"/>
    </row>
    <row r="433" spans="5:21" ht="15.75" customHeight="1">
      <c r="E433" s="104"/>
      <c r="I433" s="141"/>
      <c r="J433" s="141"/>
      <c r="U433" s="33"/>
    </row>
    <row r="434" spans="5:21" ht="15.75" customHeight="1">
      <c r="E434" s="104"/>
      <c r="I434" s="141"/>
      <c r="J434" s="141"/>
      <c r="U434" s="33"/>
    </row>
    <row r="435" spans="5:21" ht="15.75" customHeight="1">
      <c r="E435" s="104"/>
      <c r="I435" s="141"/>
      <c r="J435" s="141"/>
      <c r="U435" s="33"/>
    </row>
    <row r="436" spans="5:21" ht="15.75" customHeight="1">
      <c r="E436" s="104"/>
      <c r="I436" s="141"/>
      <c r="J436" s="141"/>
      <c r="U436" s="33"/>
    </row>
    <row r="437" spans="5:21" ht="15.75" customHeight="1">
      <c r="E437" s="104"/>
      <c r="I437" s="141"/>
      <c r="J437" s="141"/>
      <c r="U437" s="33"/>
    </row>
    <row r="438" spans="5:21" ht="15.75" customHeight="1">
      <c r="E438" s="104"/>
      <c r="I438" s="141"/>
      <c r="J438" s="141"/>
      <c r="U438" s="33"/>
    </row>
    <row r="439" spans="5:21" ht="15.75" customHeight="1">
      <c r="E439" s="104"/>
      <c r="I439" s="141"/>
      <c r="J439" s="141"/>
      <c r="U439" s="33"/>
    </row>
    <row r="440" spans="5:21" ht="15.75" customHeight="1">
      <c r="E440" s="104"/>
      <c r="I440" s="141"/>
      <c r="J440" s="141"/>
      <c r="U440" s="33"/>
    </row>
    <row r="441" spans="5:21" ht="15.75" customHeight="1">
      <c r="E441" s="104"/>
      <c r="I441" s="141"/>
      <c r="J441" s="141"/>
      <c r="U441" s="33"/>
    </row>
    <row r="442" spans="5:21" ht="15.75" customHeight="1">
      <c r="E442" s="104"/>
      <c r="I442" s="141"/>
      <c r="J442" s="141"/>
      <c r="U442" s="33"/>
    </row>
    <row r="443" spans="5:21" ht="15.75" customHeight="1">
      <c r="E443" s="104"/>
      <c r="I443" s="141"/>
      <c r="J443" s="141"/>
      <c r="U443" s="33"/>
    </row>
    <row r="444" spans="5:21" ht="15.75" customHeight="1">
      <c r="E444" s="104"/>
      <c r="I444" s="141"/>
      <c r="J444" s="141"/>
      <c r="U444" s="33"/>
    </row>
    <row r="445" spans="5:21" ht="15.75" customHeight="1">
      <c r="E445" s="104"/>
      <c r="I445" s="141"/>
      <c r="J445" s="141"/>
      <c r="U445" s="33"/>
    </row>
    <row r="446" spans="5:21" ht="15.75" customHeight="1">
      <c r="E446" s="104"/>
      <c r="I446" s="141"/>
      <c r="J446" s="141"/>
      <c r="U446" s="33"/>
    </row>
    <row r="447" spans="5:21" ht="15.75" customHeight="1">
      <c r="E447" s="104"/>
      <c r="I447" s="141"/>
      <c r="J447" s="141"/>
      <c r="U447" s="33"/>
    </row>
    <row r="448" spans="5:21" ht="15.75" customHeight="1">
      <c r="E448" s="104"/>
      <c r="I448" s="141"/>
      <c r="J448" s="141"/>
      <c r="U448" s="33"/>
    </row>
    <row r="449" spans="5:21" ht="15.75" customHeight="1">
      <c r="E449" s="104"/>
      <c r="I449" s="141"/>
      <c r="J449" s="141"/>
      <c r="U449" s="33"/>
    </row>
    <row r="450" spans="5:21" ht="15.75" customHeight="1">
      <c r="E450" s="104"/>
      <c r="I450" s="141"/>
      <c r="J450" s="141"/>
      <c r="U450" s="33"/>
    </row>
    <row r="451" spans="5:21" ht="15.75" customHeight="1">
      <c r="E451" s="104"/>
      <c r="I451" s="141"/>
      <c r="J451" s="141"/>
      <c r="U451" s="33"/>
    </row>
    <row r="452" spans="5:21" ht="15.75" customHeight="1">
      <c r="E452" s="104"/>
      <c r="I452" s="141"/>
      <c r="J452" s="141"/>
      <c r="U452" s="33"/>
    </row>
    <row r="453" spans="5:21" ht="15.75" customHeight="1">
      <c r="E453" s="104"/>
      <c r="I453" s="141"/>
      <c r="J453" s="141"/>
      <c r="U453" s="33"/>
    </row>
    <row r="454" spans="5:21" ht="15.75" customHeight="1">
      <c r="E454" s="104"/>
      <c r="I454" s="141"/>
      <c r="J454" s="141"/>
      <c r="U454" s="33"/>
    </row>
    <row r="455" spans="5:21" ht="15.75" customHeight="1">
      <c r="E455" s="104"/>
      <c r="I455" s="141"/>
      <c r="J455" s="141"/>
      <c r="U455" s="33"/>
    </row>
    <row r="456" spans="5:21" ht="15.75" customHeight="1">
      <c r="E456" s="104"/>
      <c r="I456" s="141"/>
      <c r="J456" s="141"/>
      <c r="U456" s="33"/>
    </row>
    <row r="457" spans="5:21" ht="15.75" customHeight="1">
      <c r="E457" s="104"/>
      <c r="I457" s="141"/>
      <c r="J457" s="141"/>
      <c r="U457" s="33"/>
    </row>
    <row r="458" spans="5:21" ht="15.75" customHeight="1">
      <c r="E458" s="104"/>
      <c r="I458" s="141"/>
      <c r="J458" s="141"/>
      <c r="U458" s="33"/>
    </row>
    <row r="459" spans="5:21" ht="15.75" customHeight="1">
      <c r="E459" s="104"/>
      <c r="I459" s="141"/>
      <c r="J459" s="141"/>
      <c r="U459" s="33"/>
    </row>
    <row r="460" spans="5:21" ht="15.75" customHeight="1">
      <c r="E460" s="104"/>
      <c r="I460" s="141"/>
      <c r="J460" s="141"/>
      <c r="U460" s="33"/>
    </row>
    <row r="461" spans="5:21" ht="15.75" customHeight="1">
      <c r="E461" s="104"/>
      <c r="I461" s="141"/>
      <c r="J461" s="141"/>
      <c r="U461" s="33"/>
    </row>
    <row r="462" spans="5:21" ht="15.75" customHeight="1">
      <c r="E462" s="104"/>
      <c r="I462" s="141"/>
      <c r="J462" s="141"/>
      <c r="U462" s="33"/>
    </row>
    <row r="463" spans="5:21" ht="15.75" customHeight="1">
      <c r="E463" s="104"/>
      <c r="I463" s="141"/>
      <c r="J463" s="141"/>
      <c r="U463" s="33"/>
    </row>
    <row r="464" spans="5:21" ht="15.75" customHeight="1">
      <c r="E464" s="104"/>
      <c r="I464" s="141"/>
      <c r="J464" s="141"/>
      <c r="U464" s="33"/>
    </row>
    <row r="465" spans="5:21" ht="15.75" customHeight="1">
      <c r="E465" s="104"/>
      <c r="I465" s="141"/>
      <c r="J465" s="141"/>
      <c r="U465" s="33"/>
    </row>
    <row r="466" spans="5:21" ht="15.75" customHeight="1">
      <c r="E466" s="104"/>
      <c r="I466" s="141"/>
      <c r="J466" s="141"/>
      <c r="U466" s="33"/>
    </row>
    <row r="467" spans="5:21" ht="15.75" customHeight="1">
      <c r="E467" s="104"/>
      <c r="I467" s="141"/>
      <c r="J467" s="141"/>
      <c r="U467" s="33"/>
    </row>
    <row r="468" spans="5:21" ht="15.75" customHeight="1">
      <c r="E468" s="104"/>
      <c r="I468" s="141"/>
      <c r="J468" s="141"/>
      <c r="U468" s="33"/>
    </row>
    <row r="469" spans="5:21" ht="15.75" customHeight="1">
      <c r="E469" s="104"/>
      <c r="I469" s="141"/>
      <c r="J469" s="141"/>
      <c r="U469" s="33"/>
    </row>
    <row r="470" spans="5:21" ht="15.75" customHeight="1">
      <c r="E470" s="104"/>
      <c r="I470" s="141"/>
      <c r="J470" s="141"/>
      <c r="U470" s="33"/>
    </row>
    <row r="471" spans="5:21" ht="15.75" customHeight="1">
      <c r="E471" s="104"/>
      <c r="I471" s="141"/>
      <c r="J471" s="141"/>
      <c r="U471" s="33"/>
    </row>
    <row r="472" spans="5:21" ht="15.75" customHeight="1">
      <c r="E472" s="104"/>
      <c r="I472" s="141"/>
      <c r="J472" s="141"/>
      <c r="U472" s="33"/>
    </row>
    <row r="473" spans="5:21" ht="15.75" customHeight="1">
      <c r="E473" s="104"/>
      <c r="I473" s="141"/>
      <c r="J473" s="141"/>
      <c r="U473" s="33"/>
    </row>
    <row r="474" spans="5:21" ht="15.75" customHeight="1">
      <c r="E474" s="104"/>
      <c r="I474" s="141"/>
      <c r="J474" s="141"/>
      <c r="U474" s="33"/>
    </row>
    <row r="475" spans="5:21" ht="15.75" customHeight="1">
      <c r="E475" s="104"/>
      <c r="I475" s="141"/>
      <c r="J475" s="141"/>
      <c r="U475" s="33"/>
    </row>
    <row r="476" spans="5:21" ht="15.75" customHeight="1">
      <c r="E476" s="104"/>
      <c r="I476" s="141"/>
      <c r="J476" s="141"/>
      <c r="U476" s="33"/>
    </row>
    <row r="477" spans="5:21" ht="15.75" customHeight="1">
      <c r="E477" s="104"/>
      <c r="I477" s="141"/>
      <c r="J477" s="141"/>
      <c r="U477" s="33"/>
    </row>
    <row r="478" spans="5:21" ht="15.75" customHeight="1">
      <c r="E478" s="104"/>
      <c r="I478" s="141"/>
      <c r="J478" s="141"/>
      <c r="U478" s="33"/>
    </row>
    <row r="479" spans="5:21" ht="15.75" customHeight="1">
      <c r="E479" s="104"/>
      <c r="I479" s="141"/>
      <c r="J479" s="141"/>
      <c r="U479" s="33"/>
    </row>
    <row r="480" spans="5:21" ht="15.75" customHeight="1">
      <c r="E480" s="104"/>
      <c r="I480" s="141"/>
      <c r="J480" s="141"/>
      <c r="U480" s="33"/>
    </row>
    <row r="481" spans="5:21" ht="15.75" customHeight="1">
      <c r="E481" s="104"/>
      <c r="I481" s="141"/>
      <c r="J481" s="141"/>
      <c r="U481" s="33"/>
    </row>
    <row r="482" spans="5:21" ht="15.75" customHeight="1">
      <c r="E482" s="104"/>
      <c r="I482" s="141"/>
      <c r="J482" s="141"/>
      <c r="U482" s="33"/>
    </row>
    <row r="483" spans="5:21" ht="15.75" customHeight="1">
      <c r="E483" s="104"/>
      <c r="I483" s="141"/>
      <c r="J483" s="141"/>
      <c r="U483" s="33"/>
    </row>
    <row r="484" spans="5:21" ht="15.75" customHeight="1">
      <c r="E484" s="104"/>
      <c r="I484" s="141"/>
      <c r="J484" s="141"/>
      <c r="U484" s="33"/>
    </row>
    <row r="485" spans="5:21" ht="15.75" customHeight="1">
      <c r="E485" s="104"/>
      <c r="I485" s="141"/>
      <c r="J485" s="141"/>
      <c r="U485" s="33"/>
    </row>
    <row r="486" spans="5:21" ht="15.75" customHeight="1">
      <c r="E486" s="104"/>
      <c r="I486" s="141"/>
      <c r="J486" s="141"/>
      <c r="U486" s="33"/>
    </row>
    <row r="487" spans="5:21" ht="15.75" customHeight="1">
      <c r="E487" s="104"/>
      <c r="I487" s="141"/>
      <c r="J487" s="141"/>
      <c r="U487" s="33"/>
    </row>
    <row r="488" spans="5:21" ht="15.75" customHeight="1">
      <c r="E488" s="104"/>
      <c r="I488" s="141"/>
      <c r="J488" s="141"/>
      <c r="U488" s="33"/>
    </row>
    <row r="489" spans="5:21" ht="15.75" customHeight="1">
      <c r="E489" s="104"/>
      <c r="I489" s="141"/>
      <c r="J489" s="141"/>
      <c r="U489" s="33"/>
    </row>
    <row r="490" spans="5:21" ht="15.75" customHeight="1">
      <c r="E490" s="104"/>
      <c r="I490" s="141"/>
      <c r="J490" s="141"/>
      <c r="U490" s="33"/>
    </row>
    <row r="491" spans="5:21" ht="15.75" customHeight="1">
      <c r="E491" s="104"/>
      <c r="I491" s="141"/>
      <c r="J491" s="141"/>
      <c r="U491" s="33"/>
    </row>
    <row r="492" spans="5:21" ht="15.75" customHeight="1">
      <c r="E492" s="104"/>
      <c r="I492" s="141"/>
      <c r="J492" s="141"/>
      <c r="U492" s="33"/>
    </row>
    <row r="493" spans="5:21" ht="15.75" customHeight="1">
      <c r="E493" s="104"/>
      <c r="I493" s="141"/>
      <c r="J493" s="141"/>
      <c r="U493" s="33"/>
    </row>
    <row r="494" spans="5:21" ht="15.75" customHeight="1">
      <c r="E494" s="104"/>
      <c r="I494" s="141"/>
      <c r="J494" s="141"/>
      <c r="U494" s="33"/>
    </row>
    <row r="495" spans="5:21" ht="15.75" customHeight="1">
      <c r="E495" s="104"/>
      <c r="I495" s="141"/>
      <c r="J495" s="141"/>
      <c r="U495" s="33"/>
    </row>
    <row r="496" spans="5:21" ht="15.75" customHeight="1">
      <c r="E496" s="104"/>
      <c r="I496" s="141"/>
      <c r="J496" s="141"/>
      <c r="U496" s="33"/>
    </row>
    <row r="497" spans="5:21" ht="15.75" customHeight="1">
      <c r="E497" s="104"/>
      <c r="I497" s="141"/>
      <c r="J497" s="141"/>
      <c r="U497" s="33"/>
    </row>
    <row r="498" spans="5:21" ht="15.75" customHeight="1">
      <c r="E498" s="104"/>
      <c r="I498" s="141"/>
      <c r="J498" s="141"/>
      <c r="U498" s="33"/>
    </row>
    <row r="499" spans="5:21" ht="15.75" customHeight="1">
      <c r="E499" s="104"/>
      <c r="I499" s="141"/>
      <c r="J499" s="141"/>
      <c r="U499" s="33"/>
    </row>
    <row r="500" spans="5:21" ht="15.75" customHeight="1">
      <c r="E500" s="104"/>
      <c r="I500" s="141"/>
      <c r="J500" s="141"/>
      <c r="U500" s="33"/>
    </row>
    <row r="501" spans="5:21" ht="15.75" customHeight="1">
      <c r="E501" s="104"/>
      <c r="I501" s="141"/>
      <c r="J501" s="141"/>
      <c r="U501" s="33"/>
    </row>
    <row r="502" spans="5:21" ht="15.75" customHeight="1">
      <c r="E502" s="104"/>
      <c r="I502" s="141"/>
      <c r="J502" s="141"/>
      <c r="U502" s="33"/>
    </row>
    <row r="503" spans="5:21" ht="15.75" customHeight="1">
      <c r="E503" s="104"/>
      <c r="I503" s="141"/>
      <c r="J503" s="141"/>
      <c r="U503" s="33"/>
    </row>
    <row r="504" spans="5:21" ht="15.75" customHeight="1">
      <c r="E504" s="104"/>
      <c r="I504" s="141"/>
      <c r="J504" s="141"/>
      <c r="U504" s="33"/>
    </row>
    <row r="505" spans="5:21" ht="15.75" customHeight="1">
      <c r="E505" s="104"/>
      <c r="I505" s="141"/>
      <c r="J505" s="141"/>
      <c r="U505" s="33"/>
    </row>
    <row r="506" spans="5:21" ht="15.75" customHeight="1">
      <c r="E506" s="104"/>
      <c r="I506" s="141"/>
      <c r="J506" s="141"/>
      <c r="U506" s="33"/>
    </row>
    <row r="507" spans="5:21" ht="15.75" customHeight="1">
      <c r="E507" s="104"/>
      <c r="I507" s="141"/>
      <c r="J507" s="141"/>
      <c r="U507" s="33"/>
    </row>
    <row r="508" spans="5:21" ht="15.75" customHeight="1">
      <c r="E508" s="104"/>
      <c r="I508" s="141"/>
      <c r="J508" s="141"/>
      <c r="U508" s="33"/>
    </row>
    <row r="509" spans="5:21" ht="15.75" customHeight="1">
      <c r="E509" s="104"/>
      <c r="I509" s="141"/>
      <c r="J509" s="141"/>
      <c r="U509" s="33"/>
    </row>
    <row r="510" spans="5:21" ht="15.75" customHeight="1">
      <c r="E510" s="104"/>
      <c r="I510" s="141"/>
      <c r="J510" s="141"/>
      <c r="U510" s="33"/>
    </row>
    <row r="511" spans="5:21" ht="15.75" customHeight="1">
      <c r="E511" s="104"/>
      <c r="I511" s="141"/>
      <c r="J511" s="141"/>
      <c r="U511" s="33"/>
    </row>
    <row r="512" spans="5:21" ht="15.75" customHeight="1">
      <c r="E512" s="104"/>
      <c r="I512" s="141"/>
      <c r="J512" s="141"/>
      <c r="U512" s="33"/>
    </row>
    <row r="513" spans="5:21" ht="15.75" customHeight="1">
      <c r="E513" s="104"/>
      <c r="I513" s="141"/>
      <c r="J513" s="141"/>
      <c r="U513" s="33"/>
    </row>
    <row r="514" spans="5:21" ht="15.75" customHeight="1">
      <c r="E514" s="104"/>
      <c r="I514" s="141"/>
      <c r="J514" s="141"/>
      <c r="U514" s="33"/>
    </row>
    <row r="515" spans="5:21" ht="15.75" customHeight="1">
      <c r="E515" s="104"/>
      <c r="I515" s="141"/>
      <c r="J515" s="141"/>
      <c r="U515" s="33"/>
    </row>
    <row r="516" spans="5:21" ht="15.75" customHeight="1">
      <c r="E516" s="104"/>
      <c r="I516" s="141"/>
      <c r="J516" s="141"/>
      <c r="U516" s="33"/>
    </row>
    <row r="517" spans="5:21" ht="15.75" customHeight="1">
      <c r="E517" s="104"/>
      <c r="U517" s="33"/>
    </row>
    <row r="518" spans="5:21" ht="15.75" customHeight="1">
      <c r="E518" s="104"/>
      <c r="U518" s="33"/>
    </row>
    <row r="519" spans="5:21" ht="15.75" customHeight="1">
      <c r="E519" s="104"/>
      <c r="U519" s="33"/>
    </row>
    <row r="520" spans="5:21" ht="15.75" customHeight="1">
      <c r="E520" s="104"/>
      <c r="U520" s="33"/>
    </row>
    <row r="521" spans="5:21" ht="15.75" customHeight="1">
      <c r="E521" s="104"/>
      <c r="U521" s="33"/>
    </row>
    <row r="522" spans="5:21" ht="15.75" customHeight="1">
      <c r="E522" s="104"/>
      <c r="U522" s="33"/>
    </row>
    <row r="523" spans="5:21" ht="15.75" customHeight="1">
      <c r="E523" s="104"/>
      <c r="U523" s="33"/>
    </row>
    <row r="524" spans="5:21" ht="15.75" customHeight="1">
      <c r="E524" s="104"/>
      <c r="U524" s="33"/>
    </row>
    <row r="525" spans="5:21" ht="15.75" customHeight="1">
      <c r="E525" s="104"/>
      <c r="U525" s="33"/>
    </row>
    <row r="526" spans="5:21" ht="15.75" customHeight="1">
      <c r="E526" s="104"/>
      <c r="U526" s="33"/>
    </row>
    <row r="527" spans="5:21" ht="15.75" customHeight="1">
      <c r="E527" s="104"/>
      <c r="U527" s="33"/>
    </row>
    <row r="528" spans="5:21" ht="15.75" customHeight="1">
      <c r="E528" s="104"/>
      <c r="U528" s="33"/>
    </row>
    <row r="529" spans="5:21" ht="15.75" customHeight="1">
      <c r="E529" s="104"/>
      <c r="U529" s="33"/>
    </row>
    <row r="530" spans="5:21" ht="15.75" customHeight="1">
      <c r="E530" s="104"/>
      <c r="U530" s="33"/>
    </row>
    <row r="531" spans="5:21" ht="15.75" customHeight="1">
      <c r="E531" s="104"/>
      <c r="U531" s="33"/>
    </row>
    <row r="532" spans="5:21" ht="15.75" customHeight="1">
      <c r="E532" s="104"/>
      <c r="U532" s="33"/>
    </row>
    <row r="533" spans="5:21" ht="15.75" customHeight="1">
      <c r="E533" s="104"/>
      <c r="U533" s="33"/>
    </row>
    <row r="534" spans="5:21" ht="15.75" customHeight="1">
      <c r="E534" s="104"/>
      <c r="U534" s="33"/>
    </row>
    <row r="535" spans="5:21" ht="15.75" customHeight="1">
      <c r="E535" s="104"/>
      <c r="U535" s="33"/>
    </row>
    <row r="536" spans="5:21" ht="15.75" customHeight="1">
      <c r="E536" s="104"/>
      <c r="U536" s="33"/>
    </row>
    <row r="537" spans="5:21" ht="15.75" customHeight="1">
      <c r="E537" s="104"/>
      <c r="U537" s="33"/>
    </row>
    <row r="538" spans="5:21" ht="15.75" customHeight="1">
      <c r="E538" s="104"/>
      <c r="U538" s="33"/>
    </row>
    <row r="539" spans="5:21" ht="15.75" customHeight="1">
      <c r="E539" s="104"/>
      <c r="U539" s="33"/>
    </row>
    <row r="540" spans="5:21" ht="15.75" customHeight="1">
      <c r="E540" s="104"/>
      <c r="U540" s="33"/>
    </row>
    <row r="541" spans="5:21" ht="15.75" customHeight="1">
      <c r="E541" s="104"/>
      <c r="U541" s="33"/>
    </row>
    <row r="542" spans="5:21" ht="15.75" customHeight="1">
      <c r="E542" s="104"/>
      <c r="U542" s="33"/>
    </row>
    <row r="543" spans="5:21" ht="15.75" customHeight="1">
      <c r="E543" s="104"/>
      <c r="U543" s="33"/>
    </row>
    <row r="544" spans="5:21" ht="15.75" customHeight="1">
      <c r="E544" s="104"/>
      <c r="U544" s="33"/>
    </row>
    <row r="545" spans="5:21" ht="15.75" customHeight="1">
      <c r="E545" s="104"/>
      <c r="U545" s="33"/>
    </row>
    <row r="546" spans="5:21" ht="15.75" customHeight="1">
      <c r="E546" s="104"/>
      <c r="U546" s="33"/>
    </row>
    <row r="547" spans="5:21" ht="15.75" customHeight="1">
      <c r="E547" s="104"/>
      <c r="U547" s="33"/>
    </row>
    <row r="548" spans="5:21" ht="15.75" customHeight="1">
      <c r="E548" s="104"/>
      <c r="U548" s="33"/>
    </row>
    <row r="549" spans="5:21" ht="15.75" customHeight="1">
      <c r="E549" s="104"/>
      <c r="U549" s="33"/>
    </row>
    <row r="550" spans="5:21" ht="15.75" customHeight="1">
      <c r="E550" s="104"/>
      <c r="U550" s="33"/>
    </row>
    <row r="551" spans="5:21" ht="15.75" customHeight="1">
      <c r="E551" s="104"/>
      <c r="U551" s="33"/>
    </row>
    <row r="552" spans="5:21" ht="15.75" customHeight="1">
      <c r="E552" s="104"/>
      <c r="U552" s="33"/>
    </row>
    <row r="553" spans="5:21" ht="15.75" customHeight="1">
      <c r="E553" s="104"/>
      <c r="U553" s="33"/>
    </row>
    <row r="554" spans="5:21" ht="15.75" customHeight="1">
      <c r="E554" s="104"/>
      <c r="U554" s="33"/>
    </row>
    <row r="555" spans="5:21" ht="15.75" customHeight="1">
      <c r="E555" s="104"/>
      <c r="U555" s="33"/>
    </row>
    <row r="556" spans="5:21" ht="15.75" customHeight="1">
      <c r="E556" s="104"/>
      <c r="U556" s="33"/>
    </row>
    <row r="557" spans="5:21" ht="15.75" customHeight="1">
      <c r="E557" s="104"/>
      <c r="U557" s="33"/>
    </row>
    <row r="558" spans="5:21" ht="15.75" customHeight="1">
      <c r="E558" s="104"/>
      <c r="U558" s="33"/>
    </row>
    <row r="559" spans="5:21" ht="15.75" customHeight="1">
      <c r="E559" s="104"/>
      <c r="U559" s="33"/>
    </row>
    <row r="560" spans="5:21" ht="15.75" customHeight="1">
      <c r="E560" s="104"/>
      <c r="U560" s="33"/>
    </row>
    <row r="561" spans="5:21" ht="15.75" customHeight="1">
      <c r="E561" s="104"/>
      <c r="U561" s="33"/>
    </row>
    <row r="562" spans="5:21" ht="15.75" customHeight="1">
      <c r="E562" s="104"/>
      <c r="U562" s="33"/>
    </row>
    <row r="563" spans="5:21" ht="15.75" customHeight="1">
      <c r="E563" s="104"/>
      <c r="U563" s="33"/>
    </row>
    <row r="564" spans="5:21" ht="15.75" customHeight="1">
      <c r="E564" s="104"/>
      <c r="U564" s="33"/>
    </row>
    <row r="565" spans="5:21" ht="15.75" customHeight="1">
      <c r="E565" s="104"/>
      <c r="U565" s="33"/>
    </row>
    <row r="566" spans="5:21" ht="15.75" customHeight="1">
      <c r="E566" s="104"/>
      <c r="U566" s="33"/>
    </row>
    <row r="567" spans="5:21" ht="15.75" customHeight="1">
      <c r="E567" s="104"/>
      <c r="U567" s="33"/>
    </row>
    <row r="568" spans="5:21" ht="15.75" customHeight="1">
      <c r="E568" s="104"/>
      <c r="U568" s="33"/>
    </row>
    <row r="569" spans="5:21" ht="15.75" customHeight="1">
      <c r="E569" s="104"/>
      <c r="U569" s="33"/>
    </row>
    <row r="570" spans="5:21" ht="15.75" customHeight="1">
      <c r="E570" s="104"/>
      <c r="U570" s="33"/>
    </row>
    <row r="571" spans="5:21" ht="15.75" customHeight="1">
      <c r="E571" s="104"/>
      <c r="U571" s="33"/>
    </row>
    <row r="572" spans="5:21" ht="15.75" customHeight="1">
      <c r="E572" s="104"/>
      <c r="U572" s="33"/>
    </row>
    <row r="573" spans="5:21" ht="15.75" customHeight="1">
      <c r="E573" s="104"/>
      <c r="U573" s="33"/>
    </row>
    <row r="574" spans="5:21" ht="15.75" customHeight="1">
      <c r="E574" s="104"/>
      <c r="U574" s="33"/>
    </row>
    <row r="575" spans="5:21" ht="15.75" customHeight="1">
      <c r="E575" s="104"/>
      <c r="U575" s="33"/>
    </row>
    <row r="576" spans="5:21" ht="15.75" customHeight="1">
      <c r="E576" s="104"/>
      <c r="U576" s="33"/>
    </row>
    <row r="577" spans="5:21" ht="15.75" customHeight="1">
      <c r="E577" s="104"/>
      <c r="U577" s="33"/>
    </row>
    <row r="578" spans="5:21" ht="15.75" customHeight="1">
      <c r="E578" s="104"/>
      <c r="U578" s="33"/>
    </row>
    <row r="579" spans="5:21" ht="15.75" customHeight="1">
      <c r="E579" s="104"/>
      <c r="U579" s="33"/>
    </row>
    <row r="580" spans="5:21" ht="15.75" customHeight="1">
      <c r="E580" s="104"/>
      <c r="U580" s="33"/>
    </row>
    <row r="581" spans="5:21" ht="15.75" customHeight="1">
      <c r="E581" s="104"/>
      <c r="U581" s="33"/>
    </row>
    <row r="582" spans="5:21" ht="15.75" customHeight="1">
      <c r="E582" s="104"/>
      <c r="U582" s="33"/>
    </row>
    <row r="583" spans="5:21" ht="15.75" customHeight="1">
      <c r="E583" s="104"/>
      <c r="U583" s="33"/>
    </row>
    <row r="584" spans="5:21" ht="15.75" customHeight="1">
      <c r="E584" s="104"/>
      <c r="U584" s="33"/>
    </row>
    <row r="585" spans="5:21" ht="15.75" customHeight="1">
      <c r="E585" s="104"/>
      <c r="U585" s="33"/>
    </row>
    <row r="586" spans="5:21" ht="15.75" customHeight="1">
      <c r="E586" s="104"/>
      <c r="U586" s="33"/>
    </row>
    <row r="587" spans="5:21" ht="15.75" customHeight="1">
      <c r="E587" s="104"/>
      <c r="U587" s="33"/>
    </row>
    <row r="588" spans="5:21" ht="15.75" customHeight="1">
      <c r="E588" s="104"/>
      <c r="U588" s="33"/>
    </row>
    <row r="589" spans="5:21" ht="15.75" customHeight="1">
      <c r="E589" s="104"/>
      <c r="U589" s="33"/>
    </row>
    <row r="590" spans="5:21" ht="15.75" customHeight="1">
      <c r="E590" s="104"/>
      <c r="U590" s="33"/>
    </row>
    <row r="591" spans="5:21" ht="15.75" customHeight="1">
      <c r="E591" s="104"/>
      <c r="U591" s="33"/>
    </row>
    <row r="592" spans="5:21" ht="15.75" customHeight="1">
      <c r="E592" s="104"/>
      <c r="U592" s="33"/>
    </row>
    <row r="593" spans="5:21" ht="15.75" customHeight="1">
      <c r="E593" s="104"/>
      <c r="U593" s="33"/>
    </row>
    <row r="594" spans="5:21" ht="15.75" customHeight="1">
      <c r="E594" s="104"/>
      <c r="U594" s="33"/>
    </row>
    <row r="595" spans="5:21" ht="15.75" customHeight="1">
      <c r="E595" s="104"/>
      <c r="U595" s="33"/>
    </row>
    <row r="596" spans="5:21" ht="15.75" customHeight="1">
      <c r="E596" s="104"/>
      <c r="U596" s="33"/>
    </row>
    <row r="597" spans="5:21" ht="15.75" customHeight="1">
      <c r="E597" s="104"/>
      <c r="U597" s="33"/>
    </row>
    <row r="598" spans="5:21" ht="15.75" customHeight="1">
      <c r="E598" s="104"/>
      <c r="U598" s="33"/>
    </row>
    <row r="599" spans="5:21" ht="15.75" customHeight="1">
      <c r="E599" s="104"/>
      <c r="U599" s="33"/>
    </row>
    <row r="600" spans="5:21" ht="15.75" customHeight="1">
      <c r="E600" s="104"/>
      <c r="U600" s="33"/>
    </row>
    <row r="601" spans="5:21" ht="15.75" customHeight="1">
      <c r="E601" s="104"/>
      <c r="U601" s="33"/>
    </row>
    <row r="602" spans="5:21" ht="15.75" customHeight="1">
      <c r="E602" s="104"/>
      <c r="U602" s="33"/>
    </row>
    <row r="603" spans="5:21" ht="15.75" customHeight="1">
      <c r="E603" s="104"/>
      <c r="U603" s="33"/>
    </row>
    <row r="604" spans="5:21" ht="15.75" customHeight="1">
      <c r="E604" s="104"/>
      <c r="U604" s="33"/>
    </row>
    <row r="605" spans="5:21" ht="15.75" customHeight="1">
      <c r="E605" s="104"/>
      <c r="U605" s="33"/>
    </row>
    <row r="606" spans="5:21" ht="15.75" customHeight="1">
      <c r="E606" s="104"/>
      <c r="U606" s="33"/>
    </row>
    <row r="607" spans="5:21" ht="15.75" customHeight="1">
      <c r="E607" s="104"/>
      <c r="U607" s="33"/>
    </row>
    <row r="608" spans="5:21" ht="15.75" customHeight="1">
      <c r="E608" s="104"/>
      <c r="U608" s="33"/>
    </row>
    <row r="609" spans="5:21" ht="15.75" customHeight="1">
      <c r="E609" s="104"/>
      <c r="U609" s="33"/>
    </row>
    <row r="610" spans="5:21" ht="15.75" customHeight="1">
      <c r="E610" s="104"/>
      <c r="U610" s="33"/>
    </row>
    <row r="611" spans="5:21" ht="15.75" customHeight="1">
      <c r="E611" s="104"/>
      <c r="U611" s="33"/>
    </row>
    <row r="612" spans="5:21" ht="15.75" customHeight="1">
      <c r="E612" s="104"/>
      <c r="U612" s="33"/>
    </row>
    <row r="613" spans="5:21" ht="15.75" customHeight="1">
      <c r="E613" s="104"/>
      <c r="U613" s="33"/>
    </row>
    <row r="614" spans="5:21" ht="15.75" customHeight="1">
      <c r="E614" s="104"/>
      <c r="U614" s="33"/>
    </row>
    <row r="615" spans="5:21" ht="15.75" customHeight="1">
      <c r="E615" s="104"/>
      <c r="U615" s="33"/>
    </row>
    <row r="616" spans="5:21" ht="15.75" customHeight="1">
      <c r="E616" s="104"/>
      <c r="U616" s="33"/>
    </row>
    <row r="617" spans="5:21" ht="15.75" customHeight="1">
      <c r="E617" s="104"/>
      <c r="U617" s="33"/>
    </row>
    <row r="618" spans="5:21" ht="15.75" customHeight="1">
      <c r="E618" s="104"/>
      <c r="U618" s="33"/>
    </row>
    <row r="619" spans="5:21" ht="15.75" customHeight="1">
      <c r="E619" s="104"/>
      <c r="U619" s="33"/>
    </row>
    <row r="620" spans="5:21" ht="15.75" customHeight="1">
      <c r="E620" s="104"/>
      <c r="U620" s="33"/>
    </row>
    <row r="621" spans="5:21" ht="15.75" customHeight="1">
      <c r="E621" s="104"/>
      <c r="U621" s="33"/>
    </row>
    <row r="622" spans="5:21" ht="15.75" customHeight="1">
      <c r="E622" s="104"/>
      <c r="U622" s="33"/>
    </row>
    <row r="623" spans="5:21" ht="15.75" customHeight="1">
      <c r="E623" s="104"/>
      <c r="U623" s="33"/>
    </row>
    <row r="624" spans="5:21" ht="15.75" customHeight="1">
      <c r="E624" s="104"/>
      <c r="U624" s="33"/>
    </row>
    <row r="625" spans="5:21" ht="15.75" customHeight="1">
      <c r="E625" s="104"/>
      <c r="U625" s="33"/>
    </row>
    <row r="626" spans="5:21" ht="15.75" customHeight="1">
      <c r="E626" s="104"/>
      <c r="U626" s="33"/>
    </row>
    <row r="627" spans="5:21" ht="15.75" customHeight="1">
      <c r="E627" s="104"/>
      <c r="U627" s="33"/>
    </row>
    <row r="628" spans="5:21" ht="15.75" customHeight="1">
      <c r="E628" s="104"/>
      <c r="U628" s="33"/>
    </row>
    <row r="629" spans="5:21" ht="15.75" customHeight="1">
      <c r="E629" s="104"/>
      <c r="U629" s="33"/>
    </row>
    <row r="630" spans="5:21" ht="15.75" customHeight="1">
      <c r="E630" s="104"/>
      <c r="U630" s="33"/>
    </row>
    <row r="631" spans="5:21" ht="15.75" customHeight="1">
      <c r="E631" s="104"/>
      <c r="U631" s="33"/>
    </row>
    <row r="632" spans="5:21" ht="15.75" customHeight="1">
      <c r="E632" s="104"/>
      <c r="U632" s="33"/>
    </row>
    <row r="633" spans="5:21" ht="15.75" customHeight="1">
      <c r="E633" s="104"/>
      <c r="U633" s="33"/>
    </row>
    <row r="634" spans="5:21" ht="15.75" customHeight="1">
      <c r="E634" s="104"/>
      <c r="U634" s="33"/>
    </row>
    <row r="635" spans="5:21" ht="15.75" customHeight="1">
      <c r="E635" s="104"/>
      <c r="U635" s="33"/>
    </row>
    <row r="636" spans="5:21" ht="15.75" customHeight="1">
      <c r="E636" s="104"/>
      <c r="U636" s="33"/>
    </row>
    <row r="637" spans="5:21" ht="15.75" customHeight="1">
      <c r="E637" s="104"/>
      <c r="U637" s="33"/>
    </row>
    <row r="638" spans="5:21" ht="15.75" customHeight="1">
      <c r="E638" s="104"/>
      <c r="U638" s="33"/>
    </row>
    <row r="639" spans="5:21" ht="15.75" customHeight="1">
      <c r="E639" s="104"/>
      <c r="U639" s="33"/>
    </row>
    <row r="640" spans="5:21" ht="15.75" customHeight="1">
      <c r="E640" s="104"/>
      <c r="U640" s="33"/>
    </row>
    <row r="641" spans="5:21" ht="15.75" customHeight="1">
      <c r="E641" s="104"/>
      <c r="U641" s="33"/>
    </row>
    <row r="642" spans="5:21" ht="15.75" customHeight="1">
      <c r="E642" s="104"/>
      <c r="U642" s="33"/>
    </row>
    <row r="643" spans="5:21" ht="15.75" customHeight="1">
      <c r="E643" s="104"/>
      <c r="U643" s="33"/>
    </row>
    <row r="644" spans="5:21" ht="15.75" customHeight="1">
      <c r="E644" s="104"/>
      <c r="U644" s="33"/>
    </row>
    <row r="645" spans="5:21" ht="15.75" customHeight="1">
      <c r="E645" s="104"/>
      <c r="U645" s="33"/>
    </row>
    <row r="646" spans="5:21" ht="15.75" customHeight="1">
      <c r="E646" s="104"/>
      <c r="U646" s="33"/>
    </row>
    <row r="647" spans="5:21" ht="15.75" customHeight="1">
      <c r="E647" s="104"/>
      <c r="U647" s="33"/>
    </row>
    <row r="648" spans="5:21" ht="15.75" customHeight="1">
      <c r="E648" s="104"/>
      <c r="U648" s="33"/>
    </row>
    <row r="649" spans="5:21" ht="15.75" customHeight="1">
      <c r="E649" s="104"/>
      <c r="U649" s="33"/>
    </row>
    <row r="650" spans="5:21" ht="15.75" customHeight="1">
      <c r="E650" s="104"/>
      <c r="U650" s="33"/>
    </row>
    <row r="651" spans="5:21" ht="15.75" customHeight="1">
      <c r="E651" s="104"/>
      <c r="U651" s="33"/>
    </row>
    <row r="652" spans="5:21" ht="15.75" customHeight="1">
      <c r="E652" s="104"/>
      <c r="U652" s="33"/>
    </row>
    <row r="653" spans="5:21" ht="15.75" customHeight="1">
      <c r="E653" s="104"/>
      <c r="U653" s="33"/>
    </row>
    <row r="654" spans="5:21" ht="15.75" customHeight="1">
      <c r="E654" s="104"/>
      <c r="U654" s="33"/>
    </row>
    <row r="655" spans="5:21" ht="15.75" customHeight="1">
      <c r="E655" s="104"/>
      <c r="U655" s="33"/>
    </row>
    <row r="656" spans="5:21" ht="15.75" customHeight="1">
      <c r="E656" s="104"/>
      <c r="U656" s="33"/>
    </row>
    <row r="657" spans="5:21" ht="15.75" customHeight="1">
      <c r="E657" s="104"/>
      <c r="U657" s="33"/>
    </row>
    <row r="658" spans="5:21" ht="15.75" customHeight="1">
      <c r="E658" s="104"/>
      <c r="U658" s="33"/>
    </row>
    <row r="659" spans="5:21" ht="15.75" customHeight="1">
      <c r="E659" s="104"/>
      <c r="U659" s="33"/>
    </row>
    <row r="660" spans="5:21" ht="15.75" customHeight="1">
      <c r="E660" s="104"/>
      <c r="U660" s="33"/>
    </row>
    <row r="661" spans="5:21" ht="15.75" customHeight="1">
      <c r="E661" s="104"/>
      <c r="U661" s="33"/>
    </row>
    <row r="662" spans="5:21" ht="15.75" customHeight="1">
      <c r="E662" s="104"/>
      <c r="U662" s="33"/>
    </row>
    <row r="663" spans="5:21" ht="15.75" customHeight="1">
      <c r="E663" s="104"/>
      <c r="U663" s="33"/>
    </row>
    <row r="664" spans="5:21" ht="15.75" customHeight="1">
      <c r="E664" s="104"/>
      <c r="U664" s="33"/>
    </row>
    <row r="665" spans="5:21" ht="15.75" customHeight="1">
      <c r="E665" s="104"/>
      <c r="U665" s="33"/>
    </row>
    <row r="666" spans="5:21" ht="15.75" customHeight="1">
      <c r="E666" s="104"/>
      <c r="U666" s="33"/>
    </row>
    <row r="667" spans="5:21" ht="15.75" customHeight="1">
      <c r="E667" s="104"/>
      <c r="U667" s="33"/>
    </row>
    <row r="668" spans="5:21" ht="15.75" customHeight="1">
      <c r="E668" s="104"/>
      <c r="U668" s="33"/>
    </row>
    <row r="669" spans="5:21" ht="15.75" customHeight="1">
      <c r="E669" s="104"/>
      <c r="U669" s="33"/>
    </row>
    <row r="670" spans="5:21" ht="15.75" customHeight="1">
      <c r="E670" s="104"/>
      <c r="U670" s="33"/>
    </row>
    <row r="671" spans="5:21" ht="15.75" customHeight="1">
      <c r="E671" s="104"/>
      <c r="U671" s="33"/>
    </row>
    <row r="672" spans="5:21" ht="15.75" customHeight="1">
      <c r="E672" s="104"/>
      <c r="U672" s="33"/>
    </row>
    <row r="673" spans="5:21" ht="15.75" customHeight="1">
      <c r="E673" s="104"/>
      <c r="U673" s="33"/>
    </row>
    <row r="674" spans="5:21" ht="15.75" customHeight="1">
      <c r="E674" s="104"/>
      <c r="U674" s="33"/>
    </row>
    <row r="675" spans="5:21" ht="15.75" customHeight="1">
      <c r="E675" s="104"/>
      <c r="U675" s="33"/>
    </row>
    <row r="676" spans="5:21" ht="15.75" customHeight="1">
      <c r="E676" s="104"/>
      <c r="U676" s="33"/>
    </row>
    <row r="677" spans="5:21" ht="15.75" customHeight="1">
      <c r="E677" s="104"/>
      <c r="U677" s="33"/>
    </row>
    <row r="678" spans="5:21" ht="15.75" customHeight="1">
      <c r="E678" s="104"/>
      <c r="U678" s="33"/>
    </row>
    <row r="679" spans="5:21" ht="15.75" customHeight="1">
      <c r="E679" s="104"/>
      <c r="U679" s="33"/>
    </row>
    <row r="680" spans="5:21" ht="15.75" customHeight="1">
      <c r="E680" s="104"/>
      <c r="U680" s="33"/>
    </row>
    <row r="681" spans="5:21" ht="15.75" customHeight="1">
      <c r="E681" s="104"/>
      <c r="U681" s="33"/>
    </row>
    <row r="682" spans="5:21" ht="15.75" customHeight="1">
      <c r="E682" s="104"/>
      <c r="U682" s="33"/>
    </row>
    <row r="683" spans="5:21" ht="15.75" customHeight="1">
      <c r="E683" s="104"/>
      <c r="U683" s="33"/>
    </row>
    <row r="684" spans="5:21" ht="15.75" customHeight="1">
      <c r="E684" s="104"/>
      <c r="U684" s="33"/>
    </row>
    <row r="685" spans="5:21" ht="15.75" customHeight="1">
      <c r="E685" s="104"/>
      <c r="U685" s="33"/>
    </row>
    <row r="686" spans="5:21" ht="15.75" customHeight="1">
      <c r="E686" s="104"/>
      <c r="U686" s="33"/>
    </row>
    <row r="687" spans="5:21" ht="15.75" customHeight="1">
      <c r="E687" s="104"/>
      <c r="U687" s="33"/>
    </row>
    <row r="688" spans="5:21" ht="15.75" customHeight="1">
      <c r="E688" s="104"/>
      <c r="U688" s="33"/>
    </row>
    <row r="689" spans="5:21" ht="15.75" customHeight="1">
      <c r="E689" s="104"/>
      <c r="U689" s="33"/>
    </row>
    <row r="690" spans="5:21" ht="15.75" customHeight="1">
      <c r="E690" s="104"/>
      <c r="U690" s="33"/>
    </row>
    <row r="691" spans="5:21" ht="15.75" customHeight="1">
      <c r="E691" s="104"/>
      <c r="U691" s="33"/>
    </row>
    <row r="692" spans="5:21" ht="15.75" customHeight="1">
      <c r="E692" s="104"/>
      <c r="U692" s="33"/>
    </row>
    <row r="693" spans="5:21" ht="15.75" customHeight="1">
      <c r="E693" s="104"/>
      <c r="U693" s="33"/>
    </row>
    <row r="694" spans="5:21" ht="15.75" customHeight="1">
      <c r="E694" s="104"/>
      <c r="U694" s="33"/>
    </row>
    <row r="695" spans="5:21" ht="15.75" customHeight="1">
      <c r="E695" s="104"/>
      <c r="U695" s="33"/>
    </row>
    <row r="696" spans="5:21" ht="15.75" customHeight="1">
      <c r="E696" s="104"/>
      <c r="U696" s="33"/>
    </row>
    <row r="697" spans="5:21" ht="15.75" customHeight="1">
      <c r="E697" s="104"/>
      <c r="U697" s="33"/>
    </row>
    <row r="698" spans="5:21" ht="15.75" customHeight="1">
      <c r="E698" s="104"/>
      <c r="U698" s="33"/>
    </row>
    <row r="699" spans="5:21" ht="15.75" customHeight="1">
      <c r="E699" s="104"/>
      <c r="U699" s="33"/>
    </row>
    <row r="700" spans="5:21" ht="15.75" customHeight="1">
      <c r="E700" s="104"/>
      <c r="U700" s="33"/>
    </row>
    <row r="701" spans="5:21" ht="15.75" customHeight="1">
      <c r="E701" s="104"/>
      <c r="U701" s="33"/>
    </row>
    <row r="702" spans="5:21" ht="15.75" customHeight="1">
      <c r="E702" s="104"/>
      <c r="U702" s="33"/>
    </row>
    <row r="703" spans="5:21" ht="15.75" customHeight="1">
      <c r="E703" s="104"/>
      <c r="U703" s="33"/>
    </row>
    <row r="704" spans="5:21" ht="15.75" customHeight="1">
      <c r="E704" s="104"/>
      <c r="U704" s="33"/>
    </row>
    <row r="705" spans="5:21" ht="15.75" customHeight="1">
      <c r="E705" s="104"/>
      <c r="U705" s="33"/>
    </row>
    <row r="706" spans="5:21" ht="15.75" customHeight="1">
      <c r="E706" s="104"/>
      <c r="U706" s="33"/>
    </row>
    <row r="707" spans="5:21" ht="15.75" customHeight="1">
      <c r="E707" s="104"/>
      <c r="U707" s="33"/>
    </row>
    <row r="708" spans="5:21" ht="15.75" customHeight="1">
      <c r="E708" s="104"/>
      <c r="U708" s="33"/>
    </row>
    <row r="709" spans="5:21" ht="15.75" customHeight="1">
      <c r="E709" s="104"/>
      <c r="U709" s="33"/>
    </row>
    <row r="710" spans="5:21" ht="15.75" customHeight="1">
      <c r="E710" s="104"/>
      <c r="U710" s="33"/>
    </row>
    <row r="711" spans="5:21" ht="15.75" customHeight="1">
      <c r="E711" s="104"/>
      <c r="U711" s="33"/>
    </row>
    <row r="712" spans="5:21" ht="15.75" customHeight="1">
      <c r="E712" s="104"/>
      <c r="U712" s="33"/>
    </row>
    <row r="713" spans="5:21" ht="15.75" customHeight="1">
      <c r="E713" s="104"/>
      <c r="U713" s="33"/>
    </row>
    <row r="714" spans="5:21" ht="15.75" customHeight="1">
      <c r="E714" s="104"/>
      <c r="U714" s="33"/>
    </row>
    <row r="715" spans="5:21" ht="15.75" customHeight="1">
      <c r="E715" s="104"/>
      <c r="U715" s="33"/>
    </row>
    <row r="716" spans="5:21" ht="15.75" customHeight="1">
      <c r="E716" s="104"/>
      <c r="U716" s="33"/>
    </row>
    <row r="717" spans="5:21" ht="15.75" customHeight="1">
      <c r="E717" s="104"/>
      <c r="U717" s="33"/>
    </row>
    <row r="718" spans="5:21" ht="15.75" customHeight="1">
      <c r="E718" s="104"/>
      <c r="U718" s="33"/>
    </row>
    <row r="719" spans="5:21" ht="15.75" customHeight="1">
      <c r="E719" s="104"/>
      <c r="U719" s="33"/>
    </row>
    <row r="720" spans="5:21" ht="15.75" customHeight="1">
      <c r="E720" s="104"/>
      <c r="U720" s="33"/>
    </row>
    <row r="721" spans="5:21" ht="15.75" customHeight="1">
      <c r="E721" s="104"/>
      <c r="U721" s="33"/>
    </row>
    <row r="722" spans="5:21" ht="15.75" customHeight="1">
      <c r="E722" s="104"/>
      <c r="U722" s="33"/>
    </row>
    <row r="723" spans="5:21" ht="15.75" customHeight="1">
      <c r="E723" s="104"/>
      <c r="U723" s="33"/>
    </row>
    <row r="724" spans="5:21" ht="15.75" customHeight="1">
      <c r="E724" s="104"/>
      <c r="U724" s="33"/>
    </row>
    <row r="725" spans="5:21" ht="15.75" customHeight="1">
      <c r="E725" s="104"/>
      <c r="U725" s="33"/>
    </row>
    <row r="726" spans="5:21" ht="15.75" customHeight="1">
      <c r="E726" s="104"/>
      <c r="U726" s="33"/>
    </row>
    <row r="727" spans="5:21" ht="15.75" customHeight="1">
      <c r="E727" s="104"/>
      <c r="U727" s="33"/>
    </row>
    <row r="728" spans="5:21" ht="15.75" customHeight="1">
      <c r="E728" s="104"/>
      <c r="U728" s="33"/>
    </row>
    <row r="729" spans="5:21" ht="15.75" customHeight="1">
      <c r="E729" s="104"/>
      <c r="U729" s="33"/>
    </row>
    <row r="730" spans="5:21" ht="15.75" customHeight="1">
      <c r="E730" s="104"/>
      <c r="U730" s="33"/>
    </row>
    <row r="731" spans="5:21" ht="15.75" customHeight="1">
      <c r="E731" s="104"/>
      <c r="U731" s="33"/>
    </row>
    <row r="732" spans="5:21" ht="15.75" customHeight="1">
      <c r="E732" s="104"/>
      <c r="U732" s="33"/>
    </row>
    <row r="733" spans="5:21" ht="15.75" customHeight="1">
      <c r="E733" s="104"/>
      <c r="U733" s="33"/>
    </row>
    <row r="734" spans="5:21" ht="15.75" customHeight="1">
      <c r="E734" s="104"/>
      <c r="U734" s="33"/>
    </row>
    <row r="735" spans="5:21" ht="15.75" customHeight="1">
      <c r="E735" s="104"/>
      <c r="U735" s="33"/>
    </row>
    <row r="736" spans="5:21" ht="15.75" customHeight="1">
      <c r="E736" s="104"/>
      <c r="U736" s="33"/>
    </row>
    <row r="737" spans="5:21" ht="15.75" customHeight="1">
      <c r="E737" s="104"/>
      <c r="U737" s="33"/>
    </row>
    <row r="738" spans="5:21" ht="15.75" customHeight="1">
      <c r="E738" s="104"/>
      <c r="U738" s="33"/>
    </row>
    <row r="739" spans="5:21" ht="15.75" customHeight="1">
      <c r="E739" s="104"/>
      <c r="U739" s="33"/>
    </row>
    <row r="740" spans="5:21" ht="15.75" customHeight="1">
      <c r="E740" s="104"/>
      <c r="U740" s="33"/>
    </row>
    <row r="741" spans="5:21" ht="15.75" customHeight="1">
      <c r="E741" s="104"/>
      <c r="U741" s="33"/>
    </row>
    <row r="742" spans="5:21" ht="15.75" customHeight="1">
      <c r="E742" s="104"/>
      <c r="U742" s="33"/>
    </row>
    <row r="743" spans="5:21" ht="15.75" customHeight="1">
      <c r="E743" s="104"/>
      <c r="U743" s="33"/>
    </row>
    <row r="744" spans="5:21" ht="15.75" customHeight="1">
      <c r="E744" s="104"/>
      <c r="U744" s="33"/>
    </row>
    <row r="745" spans="5:21" ht="15.75" customHeight="1">
      <c r="E745" s="104"/>
      <c r="U745" s="33"/>
    </row>
    <row r="746" spans="5:21" ht="15.75" customHeight="1">
      <c r="E746" s="104"/>
      <c r="U746" s="33"/>
    </row>
    <row r="747" spans="5:21" ht="15.75" customHeight="1">
      <c r="E747" s="104"/>
      <c r="U747" s="33"/>
    </row>
    <row r="748" spans="5:21" ht="15.75" customHeight="1">
      <c r="E748" s="104"/>
      <c r="U748" s="33"/>
    </row>
    <row r="749" spans="5:21" ht="15.75" customHeight="1">
      <c r="E749" s="104"/>
      <c r="U749" s="33"/>
    </row>
    <row r="750" spans="5:21" ht="15.75" customHeight="1">
      <c r="E750" s="104"/>
      <c r="U750" s="33"/>
    </row>
    <row r="751" spans="5:21" ht="15.75" customHeight="1">
      <c r="E751" s="104"/>
      <c r="U751" s="33"/>
    </row>
    <row r="752" spans="5:21" ht="15.75" customHeight="1">
      <c r="E752" s="104"/>
      <c r="U752" s="33"/>
    </row>
    <row r="753" spans="5:21" ht="15.75" customHeight="1">
      <c r="E753" s="104"/>
      <c r="U753" s="33"/>
    </row>
    <row r="754" spans="5:21" ht="15.75" customHeight="1">
      <c r="E754" s="104"/>
      <c r="U754" s="33"/>
    </row>
    <row r="755" spans="5:21" ht="15.75" customHeight="1">
      <c r="E755" s="104"/>
      <c r="U755" s="33"/>
    </row>
    <row r="756" spans="5:21" ht="15.75" customHeight="1">
      <c r="E756" s="104"/>
      <c r="U756" s="33"/>
    </row>
    <row r="757" spans="5:21" ht="15.75" customHeight="1">
      <c r="E757" s="104"/>
      <c r="U757" s="33"/>
    </row>
    <row r="758" spans="5:21" ht="15.75" customHeight="1">
      <c r="E758" s="104"/>
      <c r="U758" s="33"/>
    </row>
    <row r="759" spans="5:21" ht="15.75" customHeight="1">
      <c r="E759" s="104"/>
      <c r="U759" s="33"/>
    </row>
    <row r="760" spans="5:21" ht="15.75" customHeight="1">
      <c r="E760" s="104"/>
      <c r="U760" s="33"/>
    </row>
    <row r="761" spans="5:21" ht="15.75" customHeight="1">
      <c r="E761" s="104"/>
      <c r="U761" s="33"/>
    </row>
    <row r="762" spans="5:21" ht="15.75" customHeight="1">
      <c r="E762" s="104"/>
      <c r="U762" s="33"/>
    </row>
    <row r="763" spans="5:21" ht="15.75" customHeight="1">
      <c r="E763" s="104"/>
      <c r="U763" s="33"/>
    </row>
    <row r="764" spans="5:21" ht="15.75" customHeight="1">
      <c r="E764" s="104"/>
      <c r="U764" s="33"/>
    </row>
    <row r="765" spans="5:21" ht="15.75" customHeight="1">
      <c r="E765" s="104"/>
      <c r="U765" s="33"/>
    </row>
    <row r="766" spans="5:21" ht="15.75" customHeight="1">
      <c r="E766" s="104"/>
      <c r="U766" s="33"/>
    </row>
    <row r="767" spans="5:21" ht="15.75" customHeight="1">
      <c r="E767" s="104"/>
      <c r="U767" s="33"/>
    </row>
    <row r="768" spans="5:21" ht="15.75" customHeight="1">
      <c r="E768" s="104"/>
      <c r="U768" s="33"/>
    </row>
    <row r="769" spans="5:21" ht="15.75" customHeight="1">
      <c r="E769" s="104"/>
      <c r="U769" s="33"/>
    </row>
    <row r="770" spans="5:21" ht="15.75" customHeight="1">
      <c r="E770" s="104"/>
      <c r="U770" s="33"/>
    </row>
    <row r="771" spans="5:21" ht="15.75" customHeight="1">
      <c r="E771" s="104"/>
      <c r="U771" s="33"/>
    </row>
    <row r="772" spans="5:21" ht="15.75" customHeight="1">
      <c r="E772" s="104"/>
      <c r="U772" s="33"/>
    </row>
    <row r="773" spans="5:21" ht="15.75" customHeight="1">
      <c r="E773" s="104"/>
      <c r="U773" s="33"/>
    </row>
    <row r="774" spans="5:21" ht="15.75" customHeight="1">
      <c r="E774" s="104"/>
      <c r="U774" s="33"/>
    </row>
    <row r="775" spans="5:21" ht="15.75" customHeight="1">
      <c r="E775" s="104"/>
      <c r="U775" s="33"/>
    </row>
    <row r="776" spans="5:21" ht="15.75" customHeight="1">
      <c r="E776" s="104"/>
      <c r="U776" s="33"/>
    </row>
    <row r="777" spans="5:21" ht="15.75" customHeight="1">
      <c r="E777" s="104"/>
      <c r="U777" s="33"/>
    </row>
    <row r="778" spans="5:21" ht="15.75" customHeight="1">
      <c r="E778" s="104"/>
      <c r="U778" s="33"/>
    </row>
    <row r="779" spans="5:21" ht="15.75" customHeight="1">
      <c r="E779" s="104"/>
      <c r="U779" s="33"/>
    </row>
    <row r="780" spans="5:21" ht="15.75" customHeight="1">
      <c r="E780" s="104"/>
      <c r="U780" s="33"/>
    </row>
    <row r="781" spans="5:21" ht="15.75" customHeight="1">
      <c r="E781" s="104"/>
      <c r="U781" s="33"/>
    </row>
    <row r="782" spans="5:21" ht="15.75" customHeight="1">
      <c r="E782" s="104"/>
      <c r="U782" s="33"/>
    </row>
    <row r="783" spans="5:21" ht="15.75" customHeight="1">
      <c r="E783" s="104"/>
      <c r="U783" s="33"/>
    </row>
    <row r="784" spans="5:21" ht="15.75" customHeight="1">
      <c r="E784" s="104"/>
      <c r="U784" s="33"/>
    </row>
    <row r="785" spans="5:21" ht="15.75" customHeight="1">
      <c r="E785" s="104"/>
      <c r="U785" s="33"/>
    </row>
    <row r="786" spans="5:21" ht="15.75" customHeight="1">
      <c r="E786" s="104"/>
      <c r="U786" s="33"/>
    </row>
    <row r="787" spans="5:21" ht="15.75" customHeight="1">
      <c r="E787" s="104"/>
      <c r="U787" s="33"/>
    </row>
    <row r="788" spans="5:21" ht="15.75" customHeight="1">
      <c r="E788" s="104"/>
      <c r="U788" s="33"/>
    </row>
    <row r="789" spans="5:21" ht="15.75" customHeight="1">
      <c r="E789" s="104"/>
      <c r="U789" s="33"/>
    </row>
    <row r="790" spans="5:21" ht="15.75" customHeight="1">
      <c r="E790" s="104"/>
      <c r="U790" s="33"/>
    </row>
    <row r="791" spans="5:21" ht="15.75" customHeight="1">
      <c r="E791" s="104"/>
      <c r="U791" s="33"/>
    </row>
    <row r="792" spans="5:21" ht="15.75" customHeight="1">
      <c r="E792" s="104"/>
      <c r="U792" s="33"/>
    </row>
    <row r="793" spans="5:21" ht="15.75" customHeight="1">
      <c r="E793" s="104"/>
      <c r="U793" s="33"/>
    </row>
    <row r="794" spans="5:21" ht="15.75" customHeight="1">
      <c r="E794" s="104"/>
      <c r="U794" s="33"/>
    </row>
    <row r="795" spans="5:21" ht="15.75" customHeight="1">
      <c r="E795" s="104"/>
      <c r="U795" s="33"/>
    </row>
    <row r="796" spans="5:21" ht="15.75" customHeight="1">
      <c r="E796" s="104"/>
      <c r="U796" s="33"/>
    </row>
    <row r="797" spans="5:21" ht="15.75" customHeight="1">
      <c r="E797" s="104"/>
      <c r="U797" s="33"/>
    </row>
    <row r="798" spans="5:21" ht="15.75" customHeight="1">
      <c r="E798" s="104"/>
      <c r="U798" s="33"/>
    </row>
    <row r="799" spans="5:21" ht="15.75" customHeight="1">
      <c r="E799" s="104"/>
      <c r="U799" s="33"/>
    </row>
    <row r="800" spans="5:21" ht="15.75" customHeight="1">
      <c r="E800" s="104"/>
      <c r="U800" s="33"/>
    </row>
    <row r="801" spans="5:21" ht="15.75" customHeight="1">
      <c r="E801" s="104"/>
      <c r="U801" s="33"/>
    </row>
    <row r="802" spans="5:21" ht="15.75" customHeight="1">
      <c r="E802" s="104"/>
      <c r="U802" s="33"/>
    </row>
    <row r="803" spans="5:21" ht="15.75" customHeight="1">
      <c r="E803" s="104"/>
      <c r="U803" s="33"/>
    </row>
    <row r="804" spans="5:21" ht="15.75" customHeight="1">
      <c r="E804" s="104"/>
      <c r="U804" s="33"/>
    </row>
    <row r="805" spans="5:21" ht="15.75" customHeight="1">
      <c r="E805" s="104"/>
      <c r="U805" s="33"/>
    </row>
    <row r="806" spans="5:21" ht="15.75" customHeight="1">
      <c r="E806" s="104"/>
      <c r="U806" s="33"/>
    </row>
    <row r="807" spans="5:21" ht="15.75" customHeight="1">
      <c r="E807" s="104"/>
      <c r="U807" s="33"/>
    </row>
    <row r="808" spans="5:21" ht="15.75" customHeight="1">
      <c r="E808" s="104"/>
      <c r="U808" s="33"/>
    </row>
    <row r="809" spans="5:21" ht="15.75" customHeight="1">
      <c r="E809" s="104"/>
      <c r="U809" s="33"/>
    </row>
    <row r="810" spans="5:21" ht="15.75" customHeight="1">
      <c r="E810" s="104"/>
      <c r="U810" s="33"/>
    </row>
    <row r="811" spans="5:21" ht="15.75" customHeight="1">
      <c r="E811" s="104"/>
      <c r="U811" s="33"/>
    </row>
    <row r="812" spans="5:21" ht="15.75" customHeight="1">
      <c r="E812" s="104"/>
      <c r="U812" s="33"/>
    </row>
    <row r="813" spans="5:21" ht="15.75" customHeight="1">
      <c r="E813" s="104"/>
      <c r="U813" s="33"/>
    </row>
    <row r="814" spans="5:21" ht="15.75" customHeight="1">
      <c r="E814" s="104"/>
      <c r="U814" s="33"/>
    </row>
    <row r="815" spans="5:21" ht="15.75" customHeight="1">
      <c r="E815" s="104"/>
      <c r="U815" s="33"/>
    </row>
    <row r="816" spans="5:21" ht="15.75" customHeight="1">
      <c r="E816" s="104"/>
      <c r="U816" s="33"/>
    </row>
    <row r="817" spans="5:21" ht="15.75" customHeight="1">
      <c r="E817" s="104"/>
      <c r="U817" s="33"/>
    </row>
    <row r="818" spans="5:21" ht="15.75" customHeight="1">
      <c r="E818" s="104"/>
      <c r="U818" s="33"/>
    </row>
    <row r="819" spans="5:21" ht="15.75" customHeight="1">
      <c r="E819" s="104"/>
      <c r="U819" s="33"/>
    </row>
    <row r="820" spans="5:21" ht="15.75" customHeight="1">
      <c r="E820" s="104"/>
      <c r="U820" s="33"/>
    </row>
    <row r="821" spans="5:21" ht="15.75" customHeight="1">
      <c r="E821" s="104"/>
      <c r="U821" s="33"/>
    </row>
    <row r="822" spans="5:21" ht="15.75" customHeight="1">
      <c r="E822" s="104"/>
      <c r="U822" s="33"/>
    </row>
    <row r="823" spans="5:21" ht="15.75" customHeight="1">
      <c r="E823" s="104"/>
      <c r="U823" s="33"/>
    </row>
    <row r="824" spans="5:21" ht="15.75" customHeight="1">
      <c r="E824" s="104"/>
      <c r="U824" s="33"/>
    </row>
    <row r="825" spans="5:21" ht="15.75" customHeight="1">
      <c r="E825" s="104"/>
      <c r="U825" s="33"/>
    </row>
    <row r="826" spans="5:21" ht="15.75" customHeight="1">
      <c r="E826" s="104"/>
      <c r="U826" s="33"/>
    </row>
    <row r="827" spans="5:21" ht="15.75" customHeight="1">
      <c r="E827" s="104"/>
      <c r="U827" s="33"/>
    </row>
    <row r="828" spans="5:21" ht="15.75" customHeight="1">
      <c r="E828" s="104"/>
      <c r="U828" s="33"/>
    </row>
    <row r="829" spans="5:21" ht="15.75" customHeight="1">
      <c r="E829" s="104"/>
      <c r="U829" s="33"/>
    </row>
    <row r="830" spans="5:21" ht="15.75" customHeight="1">
      <c r="E830" s="104"/>
      <c r="U830" s="33"/>
    </row>
    <row r="831" spans="5:21" ht="15.75" customHeight="1">
      <c r="E831" s="104"/>
      <c r="U831" s="33"/>
    </row>
    <row r="832" spans="5:21" ht="15.75" customHeight="1">
      <c r="E832" s="104"/>
      <c r="U832" s="33"/>
    </row>
    <row r="833" spans="5:21" ht="15.75" customHeight="1">
      <c r="E833" s="104"/>
      <c r="U833" s="33"/>
    </row>
    <row r="834" spans="5:21" ht="15.75" customHeight="1">
      <c r="E834" s="104"/>
      <c r="U834" s="33"/>
    </row>
    <row r="835" spans="5:21" ht="15.75" customHeight="1">
      <c r="E835" s="104"/>
      <c r="U835" s="33"/>
    </row>
    <row r="836" spans="5:21" ht="15.75" customHeight="1">
      <c r="E836" s="104"/>
      <c r="U836" s="33"/>
    </row>
    <row r="837" spans="5:21" ht="15.75" customHeight="1">
      <c r="E837" s="104"/>
      <c r="U837" s="33"/>
    </row>
    <row r="838" spans="5:21" ht="15.75" customHeight="1">
      <c r="E838" s="104"/>
      <c r="U838" s="33"/>
    </row>
    <row r="839" spans="5:21" ht="15.75" customHeight="1">
      <c r="E839" s="104"/>
      <c r="U839" s="33"/>
    </row>
    <row r="840" spans="5:21" ht="15.75" customHeight="1">
      <c r="E840" s="104"/>
      <c r="U840" s="33"/>
    </row>
    <row r="841" spans="5:21" ht="15.75" customHeight="1">
      <c r="E841" s="104"/>
      <c r="U841" s="33"/>
    </row>
    <row r="842" spans="5:21" ht="15.75" customHeight="1">
      <c r="E842" s="104"/>
      <c r="U842" s="33"/>
    </row>
    <row r="843" spans="5:21" ht="15.75" customHeight="1">
      <c r="E843" s="104"/>
      <c r="U843" s="33"/>
    </row>
    <row r="844" spans="5:21" ht="15.75" customHeight="1">
      <c r="E844" s="104"/>
      <c r="U844" s="33"/>
    </row>
    <row r="845" spans="5:21" ht="15.75" customHeight="1">
      <c r="E845" s="104"/>
      <c r="U845" s="33"/>
    </row>
    <row r="846" spans="5:21" ht="15.75" customHeight="1">
      <c r="E846" s="104"/>
      <c r="U846" s="33"/>
    </row>
    <row r="847" spans="5:21" ht="15.75" customHeight="1">
      <c r="E847" s="104"/>
      <c r="U847" s="33"/>
    </row>
    <row r="848" spans="5:21" ht="15.75" customHeight="1">
      <c r="E848" s="104"/>
      <c r="U848" s="33"/>
    </row>
    <row r="849" spans="5:21" ht="15.75" customHeight="1">
      <c r="E849" s="104"/>
      <c r="U849" s="33"/>
    </row>
    <row r="850" spans="5:21" ht="15.75" customHeight="1">
      <c r="E850" s="104"/>
      <c r="U850" s="33"/>
    </row>
    <row r="851" spans="5:21" ht="15.75" customHeight="1">
      <c r="E851" s="104"/>
      <c r="U851" s="33"/>
    </row>
    <row r="852" spans="5:21" ht="15.75" customHeight="1">
      <c r="E852" s="104"/>
      <c r="U852" s="33"/>
    </row>
    <row r="853" spans="5:21" ht="15.75" customHeight="1">
      <c r="E853" s="104"/>
      <c r="U853" s="33"/>
    </row>
    <row r="854" spans="5:21" ht="15.75" customHeight="1">
      <c r="E854" s="104"/>
      <c r="U854" s="33"/>
    </row>
    <row r="855" spans="5:21" ht="15.75" customHeight="1">
      <c r="E855" s="104"/>
      <c r="U855" s="33"/>
    </row>
    <row r="856" spans="5:21" ht="15.75" customHeight="1">
      <c r="E856" s="104"/>
      <c r="U856" s="33"/>
    </row>
    <row r="857" spans="5:21" ht="15.75" customHeight="1">
      <c r="E857" s="104"/>
      <c r="U857" s="33"/>
    </row>
    <row r="858" spans="5:21" ht="15.75" customHeight="1">
      <c r="E858" s="104"/>
      <c r="U858" s="33"/>
    </row>
    <row r="859" spans="5:21" ht="15.75" customHeight="1">
      <c r="E859" s="104"/>
      <c r="U859" s="33"/>
    </row>
    <row r="860" spans="5:21" ht="15.75" customHeight="1">
      <c r="E860" s="104"/>
      <c r="U860" s="33"/>
    </row>
    <row r="861" spans="5:21" ht="15.75" customHeight="1">
      <c r="E861" s="104"/>
      <c r="U861" s="33"/>
    </row>
    <row r="862" spans="5:21" ht="15.75" customHeight="1">
      <c r="E862" s="104"/>
      <c r="U862" s="33"/>
    </row>
    <row r="863" spans="5:21" ht="15.75" customHeight="1">
      <c r="E863" s="104"/>
      <c r="U863" s="33"/>
    </row>
    <row r="864" spans="5:21" ht="15.75" customHeight="1">
      <c r="E864" s="104"/>
      <c r="U864" s="33"/>
    </row>
    <row r="865" spans="5:21" ht="15.75" customHeight="1">
      <c r="E865" s="104"/>
      <c r="U865" s="33"/>
    </row>
    <row r="866" spans="5:21" ht="15.75" customHeight="1">
      <c r="E866" s="104"/>
      <c r="U866" s="33"/>
    </row>
    <row r="867" spans="5:21" ht="15.75" customHeight="1">
      <c r="E867" s="104"/>
      <c r="U867" s="33"/>
    </row>
    <row r="868" spans="5:21" ht="15.75" customHeight="1">
      <c r="E868" s="104"/>
      <c r="U868" s="33"/>
    </row>
    <row r="869" spans="5:21" ht="15.75" customHeight="1">
      <c r="E869" s="104"/>
      <c r="U869" s="33"/>
    </row>
    <row r="870" spans="5:21" ht="15.75" customHeight="1">
      <c r="E870" s="104"/>
      <c r="U870" s="33"/>
    </row>
    <row r="871" spans="5:21" ht="15.75" customHeight="1">
      <c r="E871" s="104"/>
      <c r="U871" s="33"/>
    </row>
    <row r="872" spans="5:21" ht="15.75" customHeight="1">
      <c r="E872" s="104"/>
      <c r="U872" s="33"/>
    </row>
    <row r="873" spans="5:21" ht="15.75" customHeight="1">
      <c r="E873" s="104"/>
      <c r="U873" s="33"/>
    </row>
    <row r="874" spans="5:21" ht="15.75" customHeight="1">
      <c r="E874" s="104"/>
      <c r="U874" s="33"/>
    </row>
    <row r="875" spans="5:21" ht="15.75" customHeight="1">
      <c r="E875" s="104"/>
      <c r="U875" s="33"/>
    </row>
    <row r="876" spans="5:21" ht="15.75" customHeight="1">
      <c r="E876" s="104"/>
      <c r="U876" s="33"/>
    </row>
    <row r="877" spans="5:21" ht="15.75" customHeight="1">
      <c r="E877" s="104"/>
      <c r="U877" s="33"/>
    </row>
    <row r="878" spans="5:21" ht="15.75" customHeight="1">
      <c r="E878" s="104"/>
      <c r="U878" s="33"/>
    </row>
    <row r="879" spans="5:21" ht="15.75" customHeight="1">
      <c r="E879" s="104"/>
      <c r="U879" s="33"/>
    </row>
    <row r="880" spans="5:21" ht="15.75" customHeight="1">
      <c r="E880" s="104"/>
      <c r="U880" s="33"/>
    </row>
    <row r="881" spans="5:21" ht="15.75" customHeight="1">
      <c r="E881" s="104"/>
      <c r="U881" s="33"/>
    </row>
    <row r="882" spans="5:21" ht="15.75" customHeight="1">
      <c r="E882" s="104"/>
      <c r="U882" s="33"/>
    </row>
    <row r="883" spans="5:21" ht="15.75" customHeight="1">
      <c r="E883" s="104"/>
      <c r="U883" s="33"/>
    </row>
    <row r="884" spans="5:21" ht="15.75" customHeight="1">
      <c r="E884" s="104"/>
      <c r="U884" s="33"/>
    </row>
    <row r="885" spans="5:21" ht="15.75" customHeight="1">
      <c r="E885" s="104"/>
      <c r="U885" s="33"/>
    </row>
    <row r="886" spans="5:21" ht="15.75" customHeight="1">
      <c r="E886" s="104"/>
      <c r="U886" s="33"/>
    </row>
    <row r="887" spans="5:21" ht="15.75" customHeight="1">
      <c r="E887" s="104"/>
      <c r="U887" s="33"/>
    </row>
    <row r="888" spans="5:21" ht="15.75" customHeight="1">
      <c r="E888" s="104"/>
      <c r="U888" s="33"/>
    </row>
    <row r="889" spans="5:21" ht="15.75" customHeight="1">
      <c r="E889" s="104"/>
      <c r="U889" s="33"/>
    </row>
    <row r="890" spans="5:21" ht="15.75" customHeight="1">
      <c r="E890" s="104"/>
      <c r="U890" s="33"/>
    </row>
    <row r="891" spans="5:21" ht="15.75" customHeight="1">
      <c r="E891" s="104"/>
      <c r="U891" s="33"/>
    </row>
    <row r="892" spans="5:21" ht="15.75" customHeight="1">
      <c r="E892" s="104"/>
      <c r="U892" s="33"/>
    </row>
    <row r="893" spans="5:21" ht="15.75" customHeight="1">
      <c r="E893" s="104"/>
      <c r="U893" s="33"/>
    </row>
    <row r="894" spans="5:21" ht="15.75" customHeight="1">
      <c r="E894" s="104"/>
      <c r="U894" s="33"/>
    </row>
    <row r="895" spans="5:21" ht="15.75" customHeight="1">
      <c r="E895" s="104"/>
      <c r="U895" s="33"/>
    </row>
    <row r="896" spans="5:21" ht="15.75" customHeight="1">
      <c r="E896" s="104"/>
      <c r="U896" s="33"/>
    </row>
    <row r="897" spans="5:21" ht="15.75" customHeight="1">
      <c r="E897" s="104"/>
      <c r="U897" s="33"/>
    </row>
    <row r="898" spans="5:21" ht="15.75" customHeight="1">
      <c r="E898" s="104"/>
      <c r="U898" s="33"/>
    </row>
    <row r="899" spans="5:21" ht="15.75" customHeight="1">
      <c r="E899" s="104"/>
      <c r="U899" s="33"/>
    </row>
    <row r="900" spans="5:21" ht="15.75" customHeight="1">
      <c r="E900" s="104"/>
      <c r="U900" s="33"/>
    </row>
    <row r="901" spans="5:21" ht="15.75" customHeight="1">
      <c r="E901" s="104"/>
      <c r="U901" s="33"/>
    </row>
    <row r="902" spans="5:21" ht="15.75" customHeight="1">
      <c r="E902" s="104"/>
      <c r="U902" s="33"/>
    </row>
    <row r="903" spans="5:21" ht="15.75" customHeight="1">
      <c r="E903" s="104"/>
      <c r="U903" s="33"/>
    </row>
    <row r="904" spans="5:21" ht="15.75" customHeight="1">
      <c r="E904" s="104"/>
      <c r="U904" s="33"/>
    </row>
    <row r="905" spans="5:21" ht="15.75" customHeight="1">
      <c r="E905" s="104"/>
      <c r="U905" s="33"/>
    </row>
    <row r="906" spans="5:21" ht="15.75" customHeight="1">
      <c r="E906" s="104"/>
      <c r="U906" s="33"/>
    </row>
    <row r="907" spans="5:21" ht="15.75" customHeight="1">
      <c r="E907" s="104"/>
      <c r="U907" s="33"/>
    </row>
    <row r="908" spans="5:21" ht="15.75" customHeight="1">
      <c r="E908" s="104"/>
      <c r="U908" s="33"/>
    </row>
    <row r="909" spans="5:21" ht="15.75" customHeight="1">
      <c r="E909" s="104"/>
      <c r="U909" s="33"/>
    </row>
    <row r="910" spans="5:21" ht="15.75" customHeight="1">
      <c r="E910" s="104"/>
      <c r="U910" s="33"/>
    </row>
    <row r="911" spans="5:21" ht="15.75" customHeight="1">
      <c r="E911" s="104"/>
      <c r="U911" s="33"/>
    </row>
    <row r="912" spans="5:21" ht="15.75" customHeight="1">
      <c r="E912" s="104"/>
      <c r="U912" s="33"/>
    </row>
    <row r="913" spans="5:21" ht="15.75" customHeight="1">
      <c r="E913" s="104"/>
      <c r="U913" s="33"/>
    </row>
    <row r="914" spans="5:21" ht="15.75" customHeight="1">
      <c r="E914" s="104"/>
      <c r="U914" s="33"/>
    </row>
    <row r="915" spans="5:21" ht="15.75" customHeight="1">
      <c r="E915" s="104"/>
      <c r="U915" s="33"/>
    </row>
    <row r="916" spans="5:21" ht="15.75" customHeight="1">
      <c r="E916" s="104"/>
      <c r="U916" s="33"/>
    </row>
    <row r="917" spans="5:21" ht="15.75" customHeight="1">
      <c r="E917" s="104"/>
      <c r="U917" s="33"/>
    </row>
    <row r="918" spans="5:21" ht="15.75" customHeight="1">
      <c r="E918" s="104"/>
      <c r="U918" s="33"/>
    </row>
    <row r="919" spans="5:21" ht="15.75" customHeight="1">
      <c r="E919" s="104"/>
      <c r="U919" s="33"/>
    </row>
    <row r="920" spans="5:21" ht="15.75" customHeight="1">
      <c r="E920" s="104"/>
      <c r="U920" s="33"/>
    </row>
    <row r="921" spans="5:21" ht="15.75" customHeight="1">
      <c r="E921" s="104"/>
      <c r="U921" s="33"/>
    </row>
    <row r="922" spans="5:21" ht="15.75" customHeight="1">
      <c r="E922" s="104"/>
      <c r="U922" s="33"/>
    </row>
    <row r="923" spans="5:21" ht="15.75" customHeight="1">
      <c r="E923" s="104"/>
      <c r="U923" s="33"/>
    </row>
    <row r="924" spans="5:21" ht="15.75" customHeight="1">
      <c r="E924" s="104"/>
      <c r="U924" s="33"/>
    </row>
    <row r="925" spans="5:21" ht="15.75" customHeight="1">
      <c r="E925" s="104"/>
      <c r="U925" s="33"/>
    </row>
    <row r="926" spans="5:21" ht="15.75" customHeight="1">
      <c r="E926" s="104"/>
      <c r="U926" s="33"/>
    </row>
    <row r="927" spans="5:21" ht="15.75" customHeight="1">
      <c r="E927" s="104"/>
      <c r="U927" s="33"/>
    </row>
    <row r="928" spans="5:21" ht="15.75" customHeight="1">
      <c r="E928" s="104"/>
      <c r="U928" s="33"/>
    </row>
    <row r="929" spans="5:21" ht="15.75" customHeight="1">
      <c r="E929" s="104"/>
      <c r="U929" s="33"/>
    </row>
    <row r="930" spans="5:21" ht="15.75" customHeight="1">
      <c r="E930" s="104"/>
      <c r="U930" s="33"/>
    </row>
    <row r="931" spans="5:21" ht="15.75" customHeight="1">
      <c r="E931" s="104"/>
      <c r="U931" s="33"/>
    </row>
    <row r="932" spans="5:21" ht="15.75" customHeight="1">
      <c r="E932" s="104"/>
      <c r="U932" s="33"/>
    </row>
    <row r="933" spans="5:21" ht="15.75" customHeight="1">
      <c r="E933" s="104"/>
      <c r="U933" s="33"/>
    </row>
    <row r="934" spans="5:21" ht="15.75" customHeight="1">
      <c r="E934" s="104"/>
      <c r="U934" s="33"/>
    </row>
    <row r="935" spans="5:21" ht="15.75" customHeight="1">
      <c r="E935" s="104"/>
      <c r="U935" s="33"/>
    </row>
    <row r="936" spans="5:21" ht="15.75" customHeight="1">
      <c r="E936" s="104"/>
      <c r="U936" s="33"/>
    </row>
    <row r="937" spans="5:21" ht="15.75" customHeight="1">
      <c r="E937" s="104"/>
      <c r="U937" s="33"/>
    </row>
    <row r="938" spans="5:21" ht="15.75" customHeight="1">
      <c r="E938" s="104"/>
      <c r="U938" s="33"/>
    </row>
    <row r="939" spans="5:21" ht="15.75" customHeight="1">
      <c r="E939" s="104"/>
      <c r="U939" s="33"/>
    </row>
    <row r="940" spans="5:21" ht="15.75" customHeight="1">
      <c r="E940" s="104"/>
      <c r="U940" s="33"/>
    </row>
    <row r="941" spans="5:21" ht="15.75" customHeight="1">
      <c r="E941" s="104"/>
      <c r="U941" s="33"/>
    </row>
    <row r="942" spans="5:21" ht="15.75" customHeight="1">
      <c r="E942" s="104"/>
      <c r="U942" s="33"/>
    </row>
    <row r="943" spans="5:21" ht="15.75" customHeight="1">
      <c r="E943" s="104"/>
      <c r="U943" s="33"/>
    </row>
    <row r="944" spans="5:21" ht="15.75" customHeight="1">
      <c r="E944" s="104"/>
      <c r="U944" s="33"/>
    </row>
    <row r="945" spans="5:21" ht="15.75" customHeight="1">
      <c r="E945" s="104"/>
      <c r="U945" s="33"/>
    </row>
    <row r="946" spans="5:21" ht="15.75" customHeight="1">
      <c r="E946" s="104"/>
      <c r="U946" s="33"/>
    </row>
    <row r="947" spans="5:21" ht="15.75" customHeight="1">
      <c r="E947" s="104"/>
      <c r="U947" s="33"/>
    </row>
    <row r="948" spans="5:21" ht="15.75" customHeight="1">
      <c r="E948" s="104"/>
      <c r="U948" s="33"/>
    </row>
    <row r="949" spans="5:21" ht="15.75" customHeight="1">
      <c r="E949" s="104"/>
      <c r="U949" s="33"/>
    </row>
    <row r="950" spans="5:21" ht="15.75" customHeight="1">
      <c r="E950" s="104"/>
      <c r="U950" s="33"/>
    </row>
    <row r="951" spans="5:21" ht="15.75" customHeight="1">
      <c r="E951" s="104"/>
      <c r="U951" s="33"/>
    </row>
    <row r="952" spans="5:21" ht="15.75" customHeight="1">
      <c r="E952" s="104"/>
      <c r="U952" s="33"/>
    </row>
    <row r="953" spans="5:21" ht="15.75" customHeight="1">
      <c r="E953" s="104"/>
      <c r="U953" s="33"/>
    </row>
    <row r="954" spans="5:21" ht="15.75" customHeight="1">
      <c r="E954" s="104"/>
      <c r="U954" s="33"/>
    </row>
    <row r="955" spans="5:21" ht="15.75" customHeight="1">
      <c r="E955" s="104"/>
      <c r="U955" s="33"/>
    </row>
    <row r="956" spans="5:21" ht="15.75" customHeight="1">
      <c r="E956" s="104"/>
      <c r="U956" s="33"/>
    </row>
    <row r="957" spans="5:21" ht="15.75" customHeight="1">
      <c r="E957" s="104"/>
      <c r="U957" s="33"/>
    </row>
    <row r="958" spans="5:21" ht="15.75" customHeight="1">
      <c r="E958" s="104"/>
      <c r="U958" s="33"/>
    </row>
    <row r="959" spans="5:21" ht="15.75" customHeight="1">
      <c r="E959" s="104"/>
      <c r="U959" s="33"/>
    </row>
    <row r="960" spans="5:21" ht="15.75" customHeight="1">
      <c r="E960" s="104"/>
      <c r="U960" s="33"/>
    </row>
    <row r="961" spans="5:21" ht="15.75" customHeight="1">
      <c r="E961" s="104"/>
      <c r="U961" s="33"/>
    </row>
    <row r="962" spans="5:21" ht="15.75" customHeight="1">
      <c r="E962" s="104"/>
      <c r="U962" s="33"/>
    </row>
    <row r="963" spans="5:21" ht="15.75" customHeight="1">
      <c r="E963" s="104"/>
      <c r="U963" s="33"/>
    </row>
    <row r="964" spans="5:21" ht="15.75" customHeight="1">
      <c r="E964" s="104"/>
      <c r="U964" s="33"/>
    </row>
    <row r="965" spans="5:21" ht="15.75" customHeight="1">
      <c r="E965" s="104"/>
      <c r="U965" s="33"/>
    </row>
    <row r="966" spans="5:21" ht="15.75" customHeight="1">
      <c r="E966" s="104"/>
      <c r="U966" s="33"/>
    </row>
    <row r="967" spans="5:21" ht="15.75" customHeight="1">
      <c r="E967" s="104"/>
      <c r="U967" s="33"/>
    </row>
    <row r="968" spans="5:21" ht="15.75" customHeight="1">
      <c r="E968" s="104"/>
      <c r="U968" s="33"/>
    </row>
    <row r="969" spans="5:21" ht="15.75" customHeight="1">
      <c r="E969" s="104"/>
      <c r="U969" s="33"/>
    </row>
    <row r="970" spans="5:21" ht="15.75" customHeight="1">
      <c r="E970" s="104"/>
      <c r="U970" s="33"/>
    </row>
    <row r="971" spans="5:21" ht="15.75" customHeight="1">
      <c r="E971" s="104"/>
      <c r="U971" s="33"/>
    </row>
    <row r="972" spans="5:21" ht="15.75" customHeight="1">
      <c r="E972" s="104"/>
      <c r="U972" s="33"/>
    </row>
    <row r="973" spans="5:21" ht="15.75" customHeight="1">
      <c r="E973" s="104"/>
      <c r="U973" s="33"/>
    </row>
    <row r="974" spans="5:21" ht="15.75" customHeight="1">
      <c r="E974" s="104"/>
      <c r="U974" s="33"/>
    </row>
    <row r="975" spans="5:21" ht="15.75" customHeight="1">
      <c r="E975" s="104"/>
      <c r="U975" s="33"/>
    </row>
    <row r="976" spans="5:21" ht="15.75" customHeight="1">
      <c r="E976" s="104"/>
      <c r="U976" s="33"/>
    </row>
    <row r="977" spans="5:21" ht="15.75" customHeight="1">
      <c r="E977" s="104"/>
      <c r="U977" s="33"/>
    </row>
    <row r="978" spans="5:21" ht="15.75" customHeight="1">
      <c r="E978" s="104"/>
      <c r="U978" s="33"/>
    </row>
    <row r="979" spans="5:21" ht="15.75" customHeight="1">
      <c r="E979" s="104"/>
      <c r="U979" s="33"/>
    </row>
    <row r="980" spans="5:21" ht="15.75" customHeight="1">
      <c r="E980" s="104"/>
      <c r="U980" s="33"/>
    </row>
    <row r="981" spans="5:21" ht="15.75" customHeight="1">
      <c r="E981" s="104"/>
      <c r="U981" s="33"/>
    </row>
    <row r="982" spans="5:21" ht="15.75" customHeight="1">
      <c r="E982" s="104"/>
      <c r="U982" s="33"/>
    </row>
    <row r="983" spans="5:21" ht="15.75" customHeight="1">
      <c r="E983" s="104"/>
      <c r="U983" s="33"/>
    </row>
    <row r="984" spans="5:21" ht="15.75" customHeight="1">
      <c r="E984" s="104"/>
      <c r="U984" s="33"/>
    </row>
    <row r="985" spans="5:21" ht="15.75" customHeight="1">
      <c r="E985" s="104"/>
      <c r="U985" s="33"/>
    </row>
    <row r="986" spans="5:21" ht="15.75" customHeight="1">
      <c r="E986" s="104"/>
      <c r="U986" s="33"/>
    </row>
    <row r="987" spans="5:21" ht="15.75" customHeight="1">
      <c r="E987" s="104"/>
      <c r="U987" s="33"/>
    </row>
    <row r="988" spans="5:21" ht="15.75" customHeight="1">
      <c r="E988" s="104"/>
      <c r="U988" s="33"/>
    </row>
    <row r="989" spans="5:21" ht="15.75" customHeight="1">
      <c r="E989" s="104"/>
      <c r="U989" s="33"/>
    </row>
    <row r="990" spans="5:21" ht="15.75" customHeight="1">
      <c r="E990" s="104"/>
      <c r="U990" s="33"/>
    </row>
    <row r="991" spans="5:21" ht="15.75" customHeight="1">
      <c r="E991" s="104"/>
      <c r="U991" s="33"/>
    </row>
    <row r="992" spans="5:21" ht="15.75" customHeight="1">
      <c r="E992" s="104"/>
      <c r="U992" s="33"/>
    </row>
    <row r="993" spans="5:21" ht="15.75" customHeight="1">
      <c r="E993" s="104"/>
      <c r="U993" s="33"/>
    </row>
    <row r="994" spans="5:21" ht="15.75" customHeight="1">
      <c r="E994" s="104"/>
      <c r="U994" s="33"/>
    </row>
    <row r="995" spans="5:21" ht="15.75" customHeight="1">
      <c r="E995" s="104"/>
      <c r="U995" s="33"/>
    </row>
    <row r="996" spans="5:21" ht="15.75" customHeight="1">
      <c r="E996" s="104"/>
      <c r="U996" s="33"/>
    </row>
    <row r="997" spans="5:21" ht="15.75" customHeight="1">
      <c r="E997" s="104"/>
      <c r="U997" s="33"/>
    </row>
    <row r="998" spans="5:21" ht="15.75" customHeight="1">
      <c r="E998" s="104"/>
      <c r="U998" s="33"/>
    </row>
    <row r="999" spans="5:21" ht="15.75" customHeight="1">
      <c r="E999" s="104"/>
      <c r="U999" s="33"/>
    </row>
    <row r="1000" spans="5:21" ht="15.75" customHeight="1">
      <c r="E1000" s="104"/>
      <c r="U1000" s="33"/>
    </row>
    <row r="1001" spans="5:21" ht="15.75" customHeight="1">
      <c r="E1001" s="104"/>
      <c r="U1001" s="33"/>
    </row>
    <row r="1002" spans="5:21" ht="15.75" customHeight="1">
      <c r="E1002" s="104"/>
      <c r="U1002" s="33"/>
    </row>
    <row r="1003" spans="5:21" ht="15.75" customHeight="1">
      <c r="E1003" s="104"/>
      <c r="U1003" s="33"/>
    </row>
    <row r="1004" spans="5:21" ht="15.75" customHeight="1">
      <c r="E1004" s="104"/>
      <c r="U1004" s="33"/>
    </row>
    <row r="1005" spans="5:21" ht="15.75" customHeight="1">
      <c r="E1005" s="104"/>
      <c r="U1005" s="33"/>
    </row>
    <row r="1006" spans="5:21" ht="15.75" customHeight="1">
      <c r="E1006" s="104"/>
      <c r="U1006" s="33"/>
    </row>
    <row r="1007" spans="5:21" ht="15.75" customHeight="1">
      <c r="E1007" s="104"/>
      <c r="U1007" s="33"/>
    </row>
    <row r="1008" spans="5:21" ht="15.75" customHeight="1">
      <c r="E1008" s="104"/>
      <c r="U1008" s="33"/>
    </row>
    <row r="1009" spans="5:21" ht="15.75" customHeight="1">
      <c r="E1009" s="104"/>
      <c r="U1009" s="33"/>
    </row>
    <row r="1010" spans="5:21" ht="15.75" customHeight="1">
      <c r="E1010" s="104"/>
      <c r="U1010" s="33"/>
    </row>
    <row r="1011" spans="5:21" ht="15.75" customHeight="1">
      <c r="E1011" s="104"/>
      <c r="U1011" s="33"/>
    </row>
    <row r="1012" spans="5:21" ht="15.75" customHeight="1">
      <c r="E1012" s="104"/>
      <c r="U1012" s="33"/>
    </row>
    <row r="1013" spans="5:21" ht="15.75" customHeight="1">
      <c r="E1013" s="104"/>
      <c r="U1013" s="33"/>
    </row>
    <row r="1014" spans="5:21" ht="15.75" customHeight="1">
      <c r="E1014" s="104"/>
      <c r="U1014" s="33"/>
    </row>
    <row r="1015" spans="5:21" ht="15.75" customHeight="1">
      <c r="E1015" s="104"/>
      <c r="U1015" s="33"/>
    </row>
    <row r="1016" spans="5:21" ht="15.75" customHeight="1">
      <c r="E1016" s="104"/>
      <c r="U1016" s="33"/>
    </row>
    <row r="1017" spans="5:21" ht="15.75" customHeight="1">
      <c r="E1017" s="104"/>
      <c r="U1017" s="33"/>
    </row>
    <row r="1018" spans="5:21" ht="15.75" customHeight="1">
      <c r="E1018" s="104"/>
      <c r="U1018" s="33"/>
    </row>
    <row r="1019" spans="5:21" ht="15.75" customHeight="1">
      <c r="E1019" s="104"/>
      <c r="U1019" s="33"/>
    </row>
    <row r="1020" spans="5:21" ht="15.75" customHeight="1">
      <c r="E1020" s="104"/>
      <c r="U1020" s="33"/>
    </row>
    <row r="1021" spans="5:21" ht="15.75" customHeight="1">
      <c r="E1021" s="104"/>
      <c r="U1021" s="33"/>
    </row>
    <row r="1022" spans="5:21" ht="15.75" customHeight="1">
      <c r="E1022" s="104"/>
      <c r="U1022" s="33"/>
    </row>
    <row r="1023" spans="5:21" ht="15.75" customHeight="1">
      <c r="E1023" s="104"/>
      <c r="U1023" s="33"/>
    </row>
    <row r="1024" spans="5:21" ht="15.75" customHeight="1">
      <c r="E1024" s="104"/>
      <c r="U1024" s="33"/>
    </row>
    <row r="1025" spans="5:21" ht="15.75" customHeight="1">
      <c r="E1025" s="104"/>
      <c r="U1025" s="33"/>
    </row>
    <row r="1026" spans="5:21" ht="15.75" customHeight="1">
      <c r="E1026" s="104"/>
      <c r="U1026" s="33"/>
    </row>
    <row r="1027" spans="5:21" ht="15.75" customHeight="1">
      <c r="E1027" s="104"/>
      <c r="U1027" s="33"/>
    </row>
    <row r="1028" spans="5:21" ht="15.75" customHeight="1">
      <c r="E1028" s="104"/>
      <c r="U1028" s="33"/>
    </row>
    <row r="1029" spans="5:21" ht="15.75" customHeight="1">
      <c r="E1029" s="104"/>
      <c r="U1029" s="33"/>
    </row>
    <row r="1030" spans="5:21" ht="15.75" customHeight="1">
      <c r="E1030" s="104"/>
      <c r="U1030" s="33"/>
    </row>
    <row r="1031" spans="5:21" ht="15.75" customHeight="1">
      <c r="E1031" s="104"/>
      <c r="U1031" s="33"/>
    </row>
    <row r="1032" spans="5:21" ht="15.75" customHeight="1">
      <c r="E1032" s="104"/>
      <c r="U1032" s="33"/>
    </row>
    <row r="1033" spans="5:21" ht="15.75" customHeight="1">
      <c r="E1033" s="104"/>
      <c r="U1033" s="33"/>
    </row>
    <row r="1034" spans="5:21" ht="15.75" customHeight="1">
      <c r="E1034" s="104"/>
      <c r="U1034" s="33"/>
    </row>
    <row r="1035" spans="5:21" ht="15.75" customHeight="1">
      <c r="E1035" s="104"/>
      <c r="U1035" s="33"/>
    </row>
    <row r="1036" spans="5:21" ht="15.75" customHeight="1">
      <c r="E1036" s="104"/>
      <c r="U1036" s="33"/>
    </row>
    <row r="1037" spans="5:21" ht="15.75" customHeight="1">
      <c r="E1037" s="104"/>
      <c r="U1037" s="33"/>
    </row>
    <row r="1038" spans="5:21" ht="15.75" customHeight="1">
      <c r="E1038" s="104"/>
      <c r="U1038" s="33"/>
    </row>
    <row r="1039" spans="5:21" ht="15.75" customHeight="1">
      <c r="E1039" s="104"/>
      <c r="U1039" s="33"/>
    </row>
    <row r="1040" spans="5:21" ht="15.75" customHeight="1">
      <c r="E1040" s="104"/>
      <c r="U1040" s="33"/>
    </row>
    <row r="1041" spans="5:21" ht="15.75" customHeight="1">
      <c r="E1041" s="104"/>
      <c r="U1041" s="33"/>
    </row>
    <row r="1042" spans="5:21" ht="15.75" customHeight="1">
      <c r="E1042" s="104"/>
      <c r="U1042" s="33"/>
    </row>
    <row r="1043" spans="5:21" ht="15.75" customHeight="1">
      <c r="E1043" s="104"/>
      <c r="U1043" s="33"/>
    </row>
    <row r="1044" spans="5:21" ht="15.75" customHeight="1">
      <c r="E1044" s="104"/>
      <c r="U1044" s="33"/>
    </row>
    <row r="1045" spans="5:21" ht="15.75" customHeight="1">
      <c r="E1045" s="104"/>
      <c r="U1045" s="33"/>
    </row>
    <row r="1046" spans="5:21" ht="15.75" customHeight="1">
      <c r="E1046" s="104"/>
      <c r="U1046" s="33"/>
    </row>
    <row r="1047" spans="5:21" ht="15.75" customHeight="1">
      <c r="E1047" s="104"/>
      <c r="U1047" s="33"/>
    </row>
    <row r="1048" spans="5:21" ht="15.75" customHeight="1">
      <c r="E1048" s="104"/>
      <c r="U1048" s="33"/>
    </row>
    <row r="1049" spans="5:21" ht="15.75" customHeight="1">
      <c r="E1049" s="104"/>
      <c r="U1049" s="33"/>
    </row>
    <row r="1050" spans="5:21" ht="15.75" customHeight="1">
      <c r="E1050" s="104"/>
      <c r="U1050" s="33"/>
    </row>
    <row r="1051" spans="5:21" ht="15.75" customHeight="1">
      <c r="E1051" s="104"/>
      <c r="U1051" s="33"/>
    </row>
    <row r="1052" spans="5:21" ht="15.75" customHeight="1">
      <c r="E1052" s="104"/>
      <c r="U1052" s="33"/>
    </row>
    <row r="1053" spans="5:21" ht="15.75" customHeight="1">
      <c r="E1053" s="104"/>
      <c r="U1053" s="33"/>
    </row>
    <row r="1054" spans="5:21" ht="15.75" customHeight="1">
      <c r="E1054" s="104"/>
      <c r="U1054" s="33"/>
    </row>
    <row r="1055" spans="5:21" ht="15.75" customHeight="1">
      <c r="E1055" s="104"/>
      <c r="U1055" s="33"/>
    </row>
    <row r="1056" spans="5:21" ht="15.75" customHeight="1">
      <c r="E1056" s="104"/>
      <c r="U1056" s="33"/>
    </row>
    <row r="1057" spans="5:21" ht="15.75" customHeight="1">
      <c r="E1057" s="104"/>
      <c r="U1057" s="33"/>
    </row>
    <row r="1058" spans="5:21" ht="15.75" customHeight="1">
      <c r="E1058" s="104"/>
      <c r="U1058" s="33"/>
    </row>
    <row r="1059" spans="5:21" ht="15.75" customHeight="1">
      <c r="E1059" s="104"/>
      <c r="U1059" s="33"/>
    </row>
    <row r="1060" spans="5:21" ht="15.75" customHeight="1">
      <c r="E1060" s="104"/>
      <c r="U1060" s="33"/>
    </row>
    <row r="1061" spans="5:21" ht="15.75" customHeight="1">
      <c r="E1061" s="104"/>
      <c r="U1061" s="33"/>
    </row>
    <row r="1062" spans="5:21" ht="15.75" customHeight="1">
      <c r="E1062" s="104"/>
      <c r="U1062" s="33"/>
    </row>
    <row r="1063" spans="5:21" ht="15.75" customHeight="1">
      <c r="E1063" s="104"/>
      <c r="U1063" s="33"/>
    </row>
    <row r="1064" spans="5:21" ht="15.75" customHeight="1">
      <c r="E1064" s="104"/>
      <c r="U1064" s="33"/>
    </row>
    <row r="1065" spans="5:21" ht="15.75" customHeight="1">
      <c r="E1065" s="104"/>
      <c r="U1065" s="33"/>
    </row>
    <row r="1066" spans="5:21" ht="15.75" customHeight="1">
      <c r="E1066" s="104"/>
      <c r="U1066" s="33"/>
    </row>
    <row r="1067" spans="5:21" ht="15.75" customHeight="1">
      <c r="E1067" s="104"/>
      <c r="U1067" s="33"/>
    </row>
    <row r="1068" spans="5:21" ht="15.75" customHeight="1">
      <c r="E1068" s="104"/>
      <c r="U1068" s="33"/>
    </row>
    <row r="1069" spans="5:21" ht="15.75" customHeight="1">
      <c r="E1069" s="104"/>
      <c r="U1069" s="33"/>
    </row>
    <row r="1070" spans="5:21" ht="15.75" customHeight="1">
      <c r="E1070" s="104"/>
      <c r="U1070" s="33"/>
    </row>
    <row r="1071" spans="5:21" ht="15.75" customHeight="1">
      <c r="E1071" s="104"/>
      <c r="U1071" s="33"/>
    </row>
    <row r="1072" spans="5:21" ht="15.75" customHeight="1">
      <c r="E1072" s="104"/>
      <c r="U1072" s="33"/>
    </row>
    <row r="1073" spans="5:21" ht="15.75" customHeight="1">
      <c r="E1073" s="104"/>
      <c r="U1073" s="33"/>
    </row>
    <row r="1074" spans="5:21" ht="15.75" customHeight="1">
      <c r="E1074" s="104"/>
      <c r="U1074" s="33"/>
    </row>
    <row r="1075" spans="5:21" ht="15.75" customHeight="1">
      <c r="E1075" s="104"/>
      <c r="U1075" s="33"/>
    </row>
    <row r="1076" spans="5:21" ht="15.75" customHeight="1">
      <c r="E1076" s="104"/>
      <c r="U1076" s="33"/>
    </row>
    <row r="1077" spans="5:21" ht="15.75" customHeight="1">
      <c r="E1077" s="104"/>
      <c r="U1077" s="33"/>
    </row>
    <row r="1078" spans="5:21" ht="15.75" customHeight="1">
      <c r="E1078" s="104"/>
      <c r="U1078" s="33"/>
    </row>
    <row r="1079" spans="5:21" ht="15.75" customHeight="1">
      <c r="E1079" s="104"/>
      <c r="U1079" s="33"/>
    </row>
    <row r="1080" spans="5:21" ht="15.75" customHeight="1">
      <c r="E1080" s="104"/>
      <c r="U1080" s="33"/>
    </row>
    <row r="1081" spans="5:21" ht="15.75" customHeight="1">
      <c r="E1081" s="104"/>
      <c r="U1081" s="33"/>
    </row>
    <row r="1082" spans="5:21" ht="15.75" customHeight="1">
      <c r="E1082" s="104"/>
      <c r="U1082" s="33"/>
    </row>
    <row r="1083" spans="5:21" ht="15.75" customHeight="1">
      <c r="E1083" s="104"/>
      <c r="U1083" s="33"/>
    </row>
    <row r="1084" spans="5:21" ht="15.75" customHeight="1">
      <c r="E1084" s="104"/>
      <c r="U1084" s="33"/>
    </row>
    <row r="1085" spans="5:21" ht="15.75" customHeight="1">
      <c r="E1085" s="104"/>
      <c r="U1085" s="33"/>
    </row>
    <row r="1086" spans="5:21" ht="15.75" customHeight="1">
      <c r="E1086" s="104"/>
      <c r="U1086" s="33"/>
    </row>
    <row r="1087" spans="5:21" ht="15.75" customHeight="1">
      <c r="E1087" s="104"/>
      <c r="U1087" s="33"/>
    </row>
    <row r="1088" spans="5:21" ht="15.75" customHeight="1">
      <c r="E1088" s="104"/>
      <c r="U1088" s="33"/>
    </row>
    <row r="1089" spans="5:21" ht="15.75" customHeight="1">
      <c r="E1089" s="104"/>
      <c r="U1089" s="33"/>
    </row>
    <row r="1090" spans="5:21" ht="15.75" customHeight="1">
      <c r="E1090" s="104"/>
      <c r="U1090" s="33"/>
    </row>
    <row r="1091" spans="5:21" ht="15.75" customHeight="1">
      <c r="E1091" s="104"/>
      <c r="U1091" s="33"/>
    </row>
    <row r="1092" spans="5:21" ht="15.75" customHeight="1">
      <c r="E1092" s="104"/>
      <c r="U1092" s="33"/>
    </row>
    <row r="1093" spans="5:21" ht="15.75" customHeight="1">
      <c r="E1093" s="104"/>
      <c r="U1093" s="33"/>
    </row>
    <row r="1094" spans="5:21" ht="15.75" customHeight="1">
      <c r="E1094" s="104"/>
      <c r="U1094" s="33"/>
    </row>
    <row r="1095" spans="5:21" ht="15.75" customHeight="1">
      <c r="E1095" s="104"/>
      <c r="U1095" s="33"/>
    </row>
    <row r="1096" spans="5:21" ht="15.75" customHeight="1">
      <c r="E1096" s="104"/>
      <c r="U1096" s="33"/>
    </row>
    <row r="1097" spans="5:21" ht="15.75" customHeight="1">
      <c r="E1097" s="104"/>
      <c r="U1097" s="33"/>
    </row>
    <row r="1098" spans="5:21" ht="15.75" customHeight="1">
      <c r="E1098" s="104"/>
      <c r="U1098" s="33"/>
    </row>
    <row r="1099" spans="5:21" ht="15.75" customHeight="1">
      <c r="E1099" s="104"/>
      <c r="U1099" s="33"/>
    </row>
    <row r="1100" spans="5:21" ht="15.75" customHeight="1">
      <c r="E1100" s="104"/>
      <c r="U1100" s="33"/>
    </row>
    <row r="1101" spans="5:21" ht="15.75" customHeight="1">
      <c r="E1101" s="104"/>
      <c r="U1101" s="33"/>
    </row>
    <row r="1102" spans="5:21" ht="15.75" customHeight="1">
      <c r="E1102" s="104"/>
      <c r="U1102" s="33"/>
    </row>
    <row r="1103" spans="5:21" ht="15.75" customHeight="1">
      <c r="E1103" s="104"/>
      <c r="U1103" s="33"/>
    </row>
    <row r="1104" spans="5:21" ht="15.75" customHeight="1">
      <c r="E1104" s="104"/>
      <c r="U1104" s="33"/>
    </row>
    <row r="1105" spans="5:21" ht="15.75" customHeight="1">
      <c r="E1105" s="104"/>
      <c r="U1105" s="33"/>
    </row>
    <row r="1106" spans="5:21" ht="15.75" customHeight="1">
      <c r="E1106" s="104"/>
      <c r="U1106" s="33"/>
    </row>
    <row r="1107" spans="5:21" ht="15.75" customHeight="1">
      <c r="E1107" s="104"/>
      <c r="U1107" s="33"/>
    </row>
    <row r="1108" spans="5:21" ht="15.75" customHeight="1">
      <c r="E1108" s="104"/>
      <c r="U1108" s="33"/>
    </row>
    <row r="1109" spans="5:21" ht="15.75" customHeight="1">
      <c r="E1109" s="104"/>
      <c r="U1109" s="33"/>
    </row>
    <row r="1110" spans="5:21" ht="15.75" customHeight="1">
      <c r="E1110" s="104"/>
      <c r="U1110" s="33"/>
    </row>
    <row r="1111" spans="5:21" ht="15.75" customHeight="1">
      <c r="E1111" s="104"/>
      <c r="U1111" s="33"/>
    </row>
    <row r="1112" spans="5:21" ht="15.75" customHeight="1">
      <c r="E1112" s="104"/>
      <c r="U1112" s="33"/>
    </row>
    <row r="1113" spans="5:21" ht="15.75" customHeight="1">
      <c r="E1113" s="104"/>
      <c r="U1113" s="33"/>
    </row>
    <row r="1114" spans="5:21" ht="15.75" customHeight="1">
      <c r="E1114" s="104"/>
      <c r="U1114" s="33"/>
    </row>
    <row r="1115" spans="5:21" ht="15.75" customHeight="1">
      <c r="E1115" s="104"/>
      <c r="U1115" s="33"/>
    </row>
    <row r="1116" spans="5:21" ht="15.75" customHeight="1">
      <c r="E1116" s="104"/>
      <c r="U1116" s="33"/>
    </row>
    <row r="1117" spans="5:21" ht="15.75" customHeight="1">
      <c r="E1117" s="104"/>
      <c r="U1117" s="33"/>
    </row>
    <row r="1118" spans="5:21" ht="15.75" customHeight="1">
      <c r="E1118" s="104"/>
      <c r="U1118" s="33"/>
    </row>
    <row r="1119" spans="5:21" ht="15.75" customHeight="1">
      <c r="E1119" s="104"/>
      <c r="U1119" s="33"/>
    </row>
    <row r="1120" spans="5:21" ht="15.75" customHeight="1">
      <c r="E1120" s="104"/>
      <c r="U1120" s="33"/>
    </row>
    <row r="1121" spans="5:21" ht="15.75" customHeight="1">
      <c r="E1121" s="104"/>
      <c r="U1121" s="33"/>
    </row>
    <row r="1122" spans="5:21" ht="15.75" customHeight="1">
      <c r="E1122" s="104"/>
      <c r="U1122" s="33"/>
    </row>
    <row r="1123" spans="5:21" ht="15.75" customHeight="1">
      <c r="E1123" s="104"/>
      <c r="U1123" s="33"/>
    </row>
    <row r="1124" spans="5:21" ht="15.75" customHeight="1">
      <c r="E1124" s="104"/>
      <c r="U1124" s="33"/>
    </row>
    <row r="1125" spans="5:21" ht="15.75" customHeight="1">
      <c r="E1125" s="104"/>
      <c r="U1125" s="33"/>
    </row>
    <row r="1126" spans="5:21" ht="15.75" customHeight="1">
      <c r="E1126" s="104"/>
      <c r="U1126" s="33"/>
    </row>
    <row r="1127" spans="5:21" ht="15.75" customHeight="1">
      <c r="E1127" s="104"/>
      <c r="U1127" s="33"/>
    </row>
    <row r="1128" spans="5:21" ht="15.75" customHeight="1">
      <c r="E1128" s="104"/>
      <c r="U1128" s="33"/>
    </row>
    <row r="1129" spans="5:21" ht="15.75" customHeight="1">
      <c r="E1129" s="104"/>
      <c r="U1129" s="33"/>
    </row>
    <row r="1130" spans="5:21" ht="15.75" customHeight="1">
      <c r="E1130" s="104"/>
      <c r="U1130" s="33"/>
    </row>
    <row r="1131" spans="5:21" ht="15.75" customHeight="1">
      <c r="E1131" s="104"/>
      <c r="U1131" s="33"/>
    </row>
    <row r="1132" spans="5:21" ht="15.75" customHeight="1">
      <c r="E1132" s="104"/>
      <c r="U1132" s="33"/>
    </row>
    <row r="1133" spans="5:21" ht="15.75" customHeight="1">
      <c r="E1133" s="104"/>
      <c r="U1133" s="33"/>
    </row>
    <row r="1134" spans="5:21" ht="15.75" customHeight="1">
      <c r="E1134" s="104"/>
      <c r="U1134" s="33"/>
    </row>
    <row r="1135" spans="5:21" ht="15.75" customHeight="1">
      <c r="E1135" s="104"/>
      <c r="U1135" s="33"/>
    </row>
    <row r="1138" spans="3:3" ht="15" customHeight="1">
      <c r="C1138" s="192"/>
    </row>
  </sheetData>
  <autoFilter ref="A1:X1135"/>
  <mergeCells count="45">
    <mergeCell ref="P287:T287"/>
    <mergeCell ref="P277:Q277"/>
    <mergeCell ref="C279:D279"/>
    <mergeCell ref="F279:I279"/>
    <mergeCell ref="C281:D281"/>
    <mergeCell ref="C282:D282"/>
    <mergeCell ref="N284:O284"/>
    <mergeCell ref="C283:D283"/>
    <mergeCell ref="C284:D284"/>
    <mergeCell ref="C286:D286"/>
    <mergeCell ref="F286:I286"/>
    <mergeCell ref="C287:D287"/>
    <mergeCell ref="I277:J277"/>
    <mergeCell ref="C280:D280"/>
    <mergeCell ref="I282:J282"/>
    <mergeCell ref="C290:D290"/>
    <mergeCell ref="C291:D291"/>
    <mergeCell ref="C288:D288"/>
    <mergeCell ref="F287:I287"/>
    <mergeCell ref="H288:I288"/>
    <mergeCell ref="C289:D289"/>
    <mergeCell ref="I313:K313"/>
    <mergeCell ref="I314:K314"/>
    <mergeCell ref="I315:K315"/>
    <mergeCell ref="H304:K304"/>
    <mergeCell ref="H307:K307"/>
    <mergeCell ref="H308:K308"/>
    <mergeCell ref="I311:K311"/>
    <mergeCell ref="I312:K312"/>
    <mergeCell ref="H305:K305"/>
    <mergeCell ref="H295:I299"/>
    <mergeCell ref="H300:K300"/>
    <mergeCell ref="Y289:Y293"/>
    <mergeCell ref="Y295:Y299"/>
    <mergeCell ref="J289:K289"/>
    <mergeCell ref="J290:K290"/>
    <mergeCell ref="J291:K291"/>
    <mergeCell ref="J292:K292"/>
    <mergeCell ref="J293:K293"/>
    <mergeCell ref="J295:K295"/>
    <mergeCell ref="J296:K296"/>
    <mergeCell ref="J297:K297"/>
    <mergeCell ref="J298:K298"/>
    <mergeCell ref="J299:K299"/>
    <mergeCell ref="H289:I293"/>
  </mergeCells>
  <conditionalFormatting sqref="N191 D2:S171 B132:C171 B252:S274 B237:C250 D237:S251 B192:N219 O191:S219 B220:S236 B172:S190">
    <cfRule type="expression" dxfId="5" priority="8">
      <formula>$I2&lt;&gt;""</formula>
    </cfRule>
  </conditionalFormatting>
  <conditionalFormatting sqref="J275:J276">
    <cfRule type="expression" dxfId="4" priority="9">
      <formula>$I275&lt;&gt;""</formula>
    </cfRule>
  </conditionalFormatting>
  <conditionalFormatting sqref="D191:M191">
    <cfRule type="expression" dxfId="3" priority="10">
      <formula>$I191&lt;&gt;""</formula>
    </cfRule>
  </conditionalFormatting>
  <conditionalFormatting sqref="B2:C95 B131 B97:C130 B251">
    <cfRule type="expression" dxfId="2" priority="1">
      <formula>$I2&lt;&gt;""</formula>
    </cfRule>
  </conditionalFormatting>
  <conditionalFormatting sqref="B191:C191">
    <cfRule type="expression" dxfId="1" priority="2">
      <formula>$I191&lt;&gt;""</formula>
    </cfRule>
  </conditionalFormatting>
  <conditionalFormatting sqref="B96:C96">
    <cfRule type="expression" dxfId="0" priority="3">
      <formula>$J96&lt;&gt;""</formula>
    </cfRule>
  </conditionalFormatting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Feuil1!$B$3:$B$4</xm:f>
          </x14:formula1>
          <xm:sqref>V2:V7 V9:V173 V175:V219 V220:V274</xm:sqref>
        </x14:dataValidation>
        <x14:dataValidation type="list" allowBlank="1" showErrorMessage="1">
          <x14:formula1>
            <xm:f>Feuil1!$A$3:$A$5</xm:f>
          </x14:formula1>
          <xm:sqref>S2:S219 S220:S274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00"/>
  <sheetViews>
    <sheetView workbookViewId="0">
      <selection activeCell="I16" sqref="I16"/>
    </sheetView>
  </sheetViews>
  <sheetFormatPr baseColWidth="10" defaultColWidth="14.42578125" defaultRowHeight="15" customHeight="1"/>
  <cols>
    <col min="1" max="6" width="10.7109375" customWidth="1"/>
  </cols>
  <sheetData>
    <row r="3" spans="1:5">
      <c r="A3" s="6" t="s">
        <v>16</v>
      </c>
      <c r="B3" s="6" t="s">
        <v>94</v>
      </c>
    </row>
    <row r="4" spans="1:5">
      <c r="A4" s="6" t="s">
        <v>19</v>
      </c>
      <c r="B4" s="6" t="s">
        <v>95</v>
      </c>
    </row>
    <row r="5" spans="1:5" ht="15" customHeight="1">
      <c r="A5" s="6" t="s">
        <v>96</v>
      </c>
    </row>
    <row r="11" spans="1:5" ht="15" customHeight="1">
      <c r="E11" s="20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T59"/>
  <sheetViews>
    <sheetView topLeftCell="B1" workbookViewId="0">
      <selection activeCell="C2" sqref="C2"/>
    </sheetView>
  </sheetViews>
  <sheetFormatPr baseColWidth="10" defaultRowHeight="15"/>
  <cols>
    <col min="3" max="3" width="42" customWidth="1"/>
    <col min="7" max="7" width="25.42578125" customWidth="1"/>
    <col min="8" max="8" width="11.42578125" customWidth="1"/>
  </cols>
  <sheetData>
    <row r="2" spans="3:20">
      <c r="G2" s="348"/>
      <c r="H2" s="81" t="s">
        <v>58</v>
      </c>
      <c r="I2" s="81" t="s">
        <v>59</v>
      </c>
      <c r="J2" s="81" t="s">
        <v>60</v>
      </c>
      <c r="K2" s="81" t="s">
        <v>61</v>
      </c>
      <c r="L2" s="81" t="s">
        <v>62</v>
      </c>
      <c r="M2" s="81" t="s">
        <v>63</v>
      </c>
      <c r="N2" s="81" t="s">
        <v>64</v>
      </c>
      <c r="O2" s="81" t="s">
        <v>65</v>
      </c>
      <c r="P2" s="81" t="s">
        <v>66</v>
      </c>
      <c r="Q2" s="81" t="s">
        <v>67</v>
      </c>
      <c r="R2" s="81" t="s">
        <v>68</v>
      </c>
      <c r="S2" s="81" t="s">
        <v>69</v>
      </c>
      <c r="T2" s="330" t="s">
        <v>41</v>
      </c>
    </row>
    <row r="3" spans="3:20">
      <c r="G3" s="349" t="s">
        <v>133</v>
      </c>
      <c r="H3" s="309">
        <f>'2023'!M263</f>
        <v>0</v>
      </c>
      <c r="I3" s="309">
        <f>'2023'!N263</f>
        <v>0</v>
      </c>
      <c r="J3" s="309">
        <f>'2023'!O263</f>
        <v>68.8</v>
      </c>
      <c r="K3" s="309">
        <f>'2023'!P263</f>
        <v>109</v>
      </c>
      <c r="L3" s="309">
        <f>'2023'!Q263</f>
        <v>393.61</v>
      </c>
      <c r="M3" s="309">
        <f>'2023'!R263</f>
        <v>591.82999999999993</v>
      </c>
      <c r="N3" s="309">
        <f>'2023'!S263</f>
        <v>256.14999999999998</v>
      </c>
      <c r="O3" s="309">
        <f>'2023'!T263</f>
        <v>505.05999999999995</v>
      </c>
      <c r="P3" s="309">
        <f>'2023'!U263</f>
        <v>521.8900000000001</v>
      </c>
      <c r="Q3" s="309">
        <f>'2023'!V263</f>
        <v>985.96999999999969</v>
      </c>
      <c r="R3" s="309">
        <f>'2023'!W263</f>
        <v>310.80999999999995</v>
      </c>
      <c r="S3" s="309">
        <f>'2023'!X263</f>
        <v>790.64</v>
      </c>
      <c r="T3" s="309">
        <f>SUM(H3:S3)</f>
        <v>4533.76</v>
      </c>
    </row>
    <row r="4" spans="3:20">
      <c r="D4" s="368"/>
      <c r="G4" s="349" t="s">
        <v>134</v>
      </c>
      <c r="H4" s="309">
        <f>'2023'!M269</f>
        <v>36</v>
      </c>
      <c r="I4" s="309">
        <f>'2023'!N269</f>
        <v>0</v>
      </c>
      <c r="J4" s="309">
        <f>'2023'!O269</f>
        <v>15</v>
      </c>
      <c r="K4" s="309">
        <f>'2023'!P269</f>
        <v>90</v>
      </c>
      <c r="L4" s="309">
        <f>'2023'!Q269</f>
        <v>344.5</v>
      </c>
      <c r="M4" s="309">
        <f>'2023'!R269</f>
        <v>459.5</v>
      </c>
      <c r="N4" s="309">
        <f>'2023'!S269</f>
        <v>327.5</v>
      </c>
      <c r="O4" s="309">
        <f>'2023'!T269</f>
        <v>225.6</v>
      </c>
      <c r="P4" s="309">
        <f>'2023'!U269</f>
        <v>528</v>
      </c>
      <c r="Q4" s="309">
        <f>'2023'!V269</f>
        <v>235</v>
      </c>
      <c r="R4" s="309">
        <f>'2023'!W269</f>
        <v>383.05</v>
      </c>
      <c r="S4" s="309">
        <f>'2023'!X269</f>
        <v>220</v>
      </c>
      <c r="T4" s="309">
        <f>SUM(H4:S4)</f>
        <v>2864.15</v>
      </c>
    </row>
    <row r="5" spans="3:20">
      <c r="G5" s="350" t="s">
        <v>135</v>
      </c>
      <c r="H5" s="294">
        <f>SUM(H3:H4)</f>
        <v>36</v>
      </c>
      <c r="I5" s="294">
        <f t="shared" ref="I5:S5" si="0">SUM(I3:I4)</f>
        <v>0</v>
      </c>
      <c r="J5" s="294">
        <f t="shared" si="0"/>
        <v>83.8</v>
      </c>
      <c r="K5" s="294">
        <f t="shared" si="0"/>
        <v>199</v>
      </c>
      <c r="L5" s="294">
        <f t="shared" si="0"/>
        <v>738.11</v>
      </c>
      <c r="M5" s="294">
        <f t="shared" si="0"/>
        <v>1051.33</v>
      </c>
      <c r="N5" s="294">
        <f t="shared" si="0"/>
        <v>583.65</v>
      </c>
      <c r="O5" s="294">
        <f t="shared" si="0"/>
        <v>730.66</v>
      </c>
      <c r="P5" s="294">
        <f t="shared" si="0"/>
        <v>1049.8900000000001</v>
      </c>
      <c r="Q5" s="294">
        <f t="shared" si="0"/>
        <v>1220.9699999999998</v>
      </c>
      <c r="R5" s="294">
        <f t="shared" si="0"/>
        <v>693.8599999999999</v>
      </c>
      <c r="S5" s="294">
        <f t="shared" si="0"/>
        <v>1010.64</v>
      </c>
      <c r="T5" s="294">
        <f>SUM(T3:T4)</f>
        <v>7397.91</v>
      </c>
    </row>
    <row r="6" spans="3:20">
      <c r="G6" s="349" t="s">
        <v>136</v>
      </c>
      <c r="H6" s="96">
        <f>'2024'!L293</f>
        <v>194.18</v>
      </c>
      <c r="I6" s="96">
        <f>'2024'!M293</f>
        <v>314.65000000000003</v>
      </c>
      <c r="J6" s="96">
        <f>'2024'!N293</f>
        <v>790.13000000000011</v>
      </c>
      <c r="K6" s="96">
        <f>'2024'!O293</f>
        <v>680.33</v>
      </c>
      <c r="L6" s="96">
        <f>'2024'!P293</f>
        <v>575.63</v>
      </c>
      <c r="M6" s="96">
        <f>'2024'!Q293</f>
        <v>698.40999999999985</v>
      </c>
      <c r="N6" s="96">
        <f>'2024'!R293</f>
        <v>599.05999999999995</v>
      </c>
      <c r="O6" s="96">
        <f>'2024'!S293</f>
        <v>847.49</v>
      </c>
      <c r="P6" s="96">
        <f>'2024'!T293</f>
        <v>847.51</v>
      </c>
      <c r="Q6" s="96">
        <f>'2024'!U293</f>
        <v>268</v>
      </c>
      <c r="R6" s="96">
        <f>'2024'!V293</f>
        <v>662.39</v>
      </c>
      <c r="S6" s="96">
        <f>'2024'!W293</f>
        <v>231.16900000000001</v>
      </c>
      <c r="T6" s="96">
        <f>SUM(H6:S6)</f>
        <v>6708.9490000000005</v>
      </c>
    </row>
    <row r="7" spans="3:20">
      <c r="G7" s="349" t="s">
        <v>137</v>
      </c>
      <c r="H7" s="96">
        <f>'2024'!L299</f>
        <v>80</v>
      </c>
      <c r="I7" s="96">
        <f>'2024'!M299</f>
        <v>72</v>
      </c>
      <c r="J7" s="96">
        <f>'2024'!N299</f>
        <v>0</v>
      </c>
      <c r="K7" s="96">
        <f>'2024'!O299</f>
        <v>461</v>
      </c>
      <c r="L7" s="96">
        <f>'2024'!P299</f>
        <v>375</v>
      </c>
      <c r="M7" s="96">
        <f>'2024'!Q299</f>
        <v>377.65</v>
      </c>
      <c r="N7" s="96">
        <f>'2024'!R299</f>
        <v>0</v>
      </c>
      <c r="O7" s="96">
        <f>'2024'!S299</f>
        <v>450</v>
      </c>
      <c r="P7" s="96">
        <f>'2024'!T299</f>
        <v>395</v>
      </c>
      <c r="Q7" s="96">
        <f>'2024'!U299</f>
        <v>100</v>
      </c>
      <c r="R7" s="96">
        <f>'2024'!V299</f>
        <v>232.25</v>
      </c>
      <c r="S7" s="96">
        <f>'2024'!W299</f>
        <v>20</v>
      </c>
      <c r="T7" s="96">
        <f>SUM(H7:S7)</f>
        <v>2562.9</v>
      </c>
    </row>
    <row r="8" spans="3:20">
      <c r="G8" s="350" t="s">
        <v>138</v>
      </c>
      <c r="H8" s="351">
        <f>SUM(H6:H7)</f>
        <v>274.18</v>
      </c>
      <c r="I8" s="351">
        <f>SUM(I6:I7)</f>
        <v>386.65000000000003</v>
      </c>
      <c r="J8" s="351">
        <f t="shared" ref="J8:T8" si="1">SUM(J6:J7)</f>
        <v>790.13000000000011</v>
      </c>
      <c r="K8" s="351">
        <f t="shared" si="1"/>
        <v>1141.33</v>
      </c>
      <c r="L8" s="351">
        <f t="shared" si="1"/>
        <v>950.63</v>
      </c>
      <c r="M8" s="351">
        <f t="shared" si="1"/>
        <v>1076.06</v>
      </c>
      <c r="N8" s="351">
        <f t="shared" si="1"/>
        <v>599.05999999999995</v>
      </c>
      <c r="O8" s="351">
        <f t="shared" si="1"/>
        <v>1297.49</v>
      </c>
      <c r="P8" s="351">
        <f t="shared" si="1"/>
        <v>1242.51</v>
      </c>
      <c r="Q8" s="351">
        <f t="shared" si="1"/>
        <v>368</v>
      </c>
      <c r="R8" s="351">
        <f t="shared" si="1"/>
        <v>894.64</v>
      </c>
      <c r="S8" s="351">
        <f t="shared" si="1"/>
        <v>251.16900000000001</v>
      </c>
      <c r="T8" s="351">
        <f t="shared" si="1"/>
        <v>9271.8490000000002</v>
      </c>
    </row>
    <row r="9" spans="3:20" s="375" customFormat="1">
      <c r="G9" s="376" t="s">
        <v>158</v>
      </c>
      <c r="H9" s="377">
        <f>SUM(H8-H5)</f>
        <v>238.18</v>
      </c>
      <c r="I9" s="377">
        <f t="shared" ref="I9:T9" si="2">SUM(I8-I5)</f>
        <v>386.65000000000003</v>
      </c>
      <c r="J9" s="377">
        <f t="shared" si="2"/>
        <v>706.33000000000015</v>
      </c>
      <c r="K9" s="377">
        <f t="shared" si="2"/>
        <v>942.32999999999993</v>
      </c>
      <c r="L9" s="377">
        <f t="shared" si="2"/>
        <v>212.51999999999998</v>
      </c>
      <c r="M9" s="377">
        <f t="shared" si="2"/>
        <v>24.730000000000018</v>
      </c>
      <c r="N9" s="377">
        <f t="shared" si="2"/>
        <v>15.409999999999968</v>
      </c>
      <c r="O9" s="377">
        <f t="shared" si="2"/>
        <v>566.83000000000004</v>
      </c>
      <c r="P9" s="377">
        <f t="shared" si="2"/>
        <v>192.61999999999989</v>
      </c>
      <c r="Q9" s="377">
        <f t="shared" si="2"/>
        <v>-852.9699999999998</v>
      </c>
      <c r="R9" s="377">
        <f t="shared" si="2"/>
        <v>200.78000000000009</v>
      </c>
      <c r="S9" s="377">
        <f t="shared" si="2"/>
        <v>-759.471</v>
      </c>
      <c r="T9" s="377">
        <f t="shared" si="2"/>
        <v>1873.9390000000003</v>
      </c>
    </row>
    <row r="10" spans="3:20" ht="18.75">
      <c r="C10" s="346" t="s">
        <v>140</v>
      </c>
      <c r="D10" s="346"/>
      <c r="E10" s="347">
        <f>T8/T5-1</f>
        <v>0.25330654198280333</v>
      </c>
      <c r="H10" s="489" t="s">
        <v>139</v>
      </c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  <c r="T10" s="489"/>
    </row>
    <row r="11" spans="3:20" s="239" customFormat="1" ht="18.75">
      <c r="C11" s="346"/>
      <c r="D11" s="346"/>
      <c r="E11" s="347"/>
      <c r="H11" s="81" t="s">
        <v>58</v>
      </c>
      <c r="I11" s="81" t="s">
        <v>59</v>
      </c>
      <c r="J11" s="81" t="s">
        <v>60</v>
      </c>
      <c r="K11" s="81" t="s">
        <v>61</v>
      </c>
      <c r="L11" s="81" t="s">
        <v>62</v>
      </c>
      <c r="M11" s="81" t="s">
        <v>63</v>
      </c>
      <c r="N11" s="81" t="s">
        <v>64</v>
      </c>
      <c r="O11" s="81" t="s">
        <v>65</v>
      </c>
      <c r="P11" s="81" t="s">
        <v>66</v>
      </c>
      <c r="Q11" s="81" t="s">
        <v>67</v>
      </c>
      <c r="R11" s="81" t="s">
        <v>68</v>
      </c>
      <c r="S11" s="81" t="s">
        <v>69</v>
      </c>
      <c r="T11" s="330" t="s">
        <v>41</v>
      </c>
    </row>
    <row r="12" spans="3:20" ht="17.25">
      <c r="G12" s="352" t="s">
        <v>16</v>
      </c>
      <c r="H12" s="353" t="str">
        <f>IFERROR(H6/H3-1,"")</f>
        <v/>
      </c>
      <c r="I12" s="353" t="str">
        <f t="shared" ref="I12:T12" si="3">IFERROR(I6/I3-1,"")</f>
        <v/>
      </c>
      <c r="J12" s="353">
        <f t="shared" si="3"/>
        <v>10.484447674418607</v>
      </c>
      <c r="K12" s="353">
        <f t="shared" si="3"/>
        <v>5.2415596330275234</v>
      </c>
      <c r="L12" s="353">
        <f t="shared" si="3"/>
        <v>0.46243743807321969</v>
      </c>
      <c r="M12" s="353">
        <f t="shared" si="3"/>
        <v>0.18008549752462688</v>
      </c>
      <c r="N12" s="353">
        <f t="shared" si="3"/>
        <v>1.3387077884052312</v>
      </c>
      <c r="O12" s="353">
        <f t="shared" si="3"/>
        <v>0.67799865362531198</v>
      </c>
      <c r="P12" s="353">
        <f t="shared" si="3"/>
        <v>0.62392458180842669</v>
      </c>
      <c r="Q12" s="353">
        <f t="shared" si="3"/>
        <v>-0.72818645597736231</v>
      </c>
      <c r="R12" s="353">
        <f t="shared" si="3"/>
        <v>1.1311733856697019</v>
      </c>
      <c r="S12" s="353">
        <f t="shared" si="3"/>
        <v>-0.70761787918648178</v>
      </c>
      <c r="T12" s="369">
        <f t="shared" si="3"/>
        <v>0.47977594755787689</v>
      </c>
    </row>
    <row r="13" spans="3:20" ht="17.25">
      <c r="G13" s="352" t="s">
        <v>100</v>
      </c>
      <c r="H13" s="353">
        <f t="shared" ref="H13:T14" si="4">IFERROR(H7/H4-1,"")</f>
        <v>1.2222222222222223</v>
      </c>
      <c r="I13" s="353" t="str">
        <f t="shared" si="4"/>
        <v/>
      </c>
      <c r="J13" s="353">
        <f t="shared" si="4"/>
        <v>-1</v>
      </c>
      <c r="K13" s="353">
        <f t="shared" si="4"/>
        <v>4.1222222222222218</v>
      </c>
      <c r="L13" s="353">
        <f t="shared" si="4"/>
        <v>8.8534107402031825E-2</v>
      </c>
      <c r="M13" s="353">
        <f t="shared" si="4"/>
        <v>-0.1781284004352558</v>
      </c>
      <c r="N13" s="353">
        <f t="shared" si="4"/>
        <v>-1</v>
      </c>
      <c r="O13" s="353">
        <f t="shared" si="4"/>
        <v>0.99468085106382986</v>
      </c>
      <c r="P13" s="353">
        <f t="shared" si="4"/>
        <v>-0.25189393939393945</v>
      </c>
      <c r="Q13" s="353">
        <f t="shared" si="4"/>
        <v>-0.57446808510638303</v>
      </c>
      <c r="R13" s="353">
        <f t="shared" si="4"/>
        <v>-0.39368228690771445</v>
      </c>
      <c r="S13" s="353">
        <f t="shared" si="4"/>
        <v>-0.90909090909090906</v>
      </c>
      <c r="T13" s="369">
        <f t="shared" si="4"/>
        <v>-0.10517954716058864</v>
      </c>
    </row>
    <row r="14" spans="3:20" ht="17.25">
      <c r="G14" s="352" t="s">
        <v>41</v>
      </c>
      <c r="H14" s="353">
        <f t="shared" si="4"/>
        <v>6.6161111111111115</v>
      </c>
      <c r="I14" s="353" t="str">
        <f t="shared" si="4"/>
        <v/>
      </c>
      <c r="J14" s="353">
        <f t="shared" si="4"/>
        <v>8.4287589498806703</v>
      </c>
      <c r="K14" s="353">
        <f t="shared" si="4"/>
        <v>4.7353266331658288</v>
      </c>
      <c r="L14" s="353">
        <f t="shared" si="4"/>
        <v>0.28792456408936329</v>
      </c>
      <c r="M14" s="353">
        <f t="shared" si="4"/>
        <v>2.35225856771899E-2</v>
      </c>
      <c r="N14" s="353">
        <f t="shared" si="4"/>
        <v>2.6402809903195434E-2</v>
      </c>
      <c r="O14" s="353">
        <f t="shared" si="4"/>
        <v>0.77577806366846414</v>
      </c>
      <c r="P14" s="353">
        <f t="shared" si="4"/>
        <v>0.18346683938317332</v>
      </c>
      <c r="Q14" s="353">
        <f t="shared" si="4"/>
        <v>-0.69860029320949724</v>
      </c>
      <c r="R14" s="353">
        <f t="shared" si="4"/>
        <v>0.28936673104084409</v>
      </c>
      <c r="S14" s="353">
        <f t="shared" si="4"/>
        <v>-0.75147530277843744</v>
      </c>
      <c r="T14" s="369">
        <f t="shared" si="4"/>
        <v>0.25330654198280333</v>
      </c>
    </row>
    <row r="53" spans="3:20">
      <c r="H53" s="81" t="s">
        <v>58</v>
      </c>
      <c r="I53" s="81" t="s">
        <v>59</v>
      </c>
      <c r="J53" s="81" t="s">
        <v>60</v>
      </c>
      <c r="K53" s="81" t="s">
        <v>61</v>
      </c>
      <c r="L53" s="81" t="s">
        <v>62</v>
      </c>
      <c r="M53" s="81" t="s">
        <v>63</v>
      </c>
      <c r="N53" s="81" t="s">
        <v>64</v>
      </c>
      <c r="O53" s="81" t="s">
        <v>65</v>
      </c>
      <c r="P53" s="81" t="s">
        <v>66</v>
      </c>
      <c r="Q53" s="81" t="s">
        <v>67</v>
      </c>
      <c r="R53" s="81" t="s">
        <v>68</v>
      </c>
      <c r="S53" s="81" t="s">
        <v>69</v>
      </c>
      <c r="T53" s="330" t="s">
        <v>41</v>
      </c>
    </row>
    <row r="54" spans="3:20" ht="18.75">
      <c r="C54" s="346" t="s">
        <v>151</v>
      </c>
      <c r="D54" s="346"/>
      <c r="E54" s="347">
        <f>T59/T56-1</f>
        <v>0.32044226170079737</v>
      </c>
      <c r="G54" s="361" t="s">
        <v>141</v>
      </c>
      <c r="H54" s="359">
        <f>'2023'!M260</f>
        <v>0</v>
      </c>
      <c r="I54" s="359">
        <f>'2023'!N260</f>
        <v>0</v>
      </c>
      <c r="J54" s="359">
        <f>'2023'!O260</f>
        <v>93.8</v>
      </c>
      <c r="K54" s="359">
        <f>'2023'!P260</f>
        <v>139</v>
      </c>
      <c r="L54" s="359">
        <f>'2023'!Q260</f>
        <v>516.04999999999995</v>
      </c>
      <c r="M54" s="359">
        <f>'2023'!R260</f>
        <v>844.29999999999984</v>
      </c>
      <c r="N54" s="359">
        <f>'2023'!S260</f>
        <v>407.55</v>
      </c>
      <c r="O54" s="359">
        <f>'2023'!T260</f>
        <v>835.14999999999986</v>
      </c>
      <c r="P54" s="359">
        <f>'2023'!U260</f>
        <v>758.54999999999984</v>
      </c>
      <c r="Q54" s="359">
        <f>'2023'!V260</f>
        <v>1540.3000000000004</v>
      </c>
      <c r="R54" s="359">
        <f>'2023'!W260</f>
        <v>564.50999999999988</v>
      </c>
      <c r="S54" s="359">
        <f>'2023'!X260</f>
        <v>1275.95</v>
      </c>
      <c r="T54" s="359">
        <f>SUM(H54:S54)</f>
        <v>6975.16</v>
      </c>
    </row>
    <row r="55" spans="3:20">
      <c r="E55" s="358"/>
      <c r="F55" s="358"/>
      <c r="G55" s="362" t="s">
        <v>146</v>
      </c>
      <c r="H55" s="360">
        <f>'2023'!M265+'2023'!M267</f>
        <v>60</v>
      </c>
      <c r="I55" s="360">
        <f>'2023'!N265+'2023'!N267</f>
        <v>0</v>
      </c>
      <c r="J55" s="360">
        <f>'2023'!O265+'2023'!O267</f>
        <v>40</v>
      </c>
      <c r="K55" s="360">
        <f>'2023'!P265+'2023'!P267</f>
        <v>120</v>
      </c>
      <c r="L55" s="360">
        <f>'2023'!Q265+'2023'!Q267</f>
        <v>435</v>
      </c>
      <c r="M55" s="360">
        <f>'2023'!R265+'2023'!R267</f>
        <v>575</v>
      </c>
      <c r="N55" s="360">
        <f>'2023'!S265+'2023'!S267</f>
        <v>430</v>
      </c>
      <c r="O55" s="360">
        <f>'2023'!T265+'2023'!T267</f>
        <v>395</v>
      </c>
      <c r="P55" s="360">
        <f>'2023'!U265+'2023'!U267</f>
        <v>755</v>
      </c>
      <c r="Q55" s="360">
        <f>'2023'!V265+'2023'!V267</f>
        <v>408</v>
      </c>
      <c r="R55" s="360">
        <f>'2023'!W265+'2023'!W267</f>
        <v>610</v>
      </c>
      <c r="S55" s="360">
        <f>'2023'!X265+'2023'!X267</f>
        <v>520</v>
      </c>
      <c r="T55" s="360">
        <f>SUM(H55:S55)</f>
        <v>4348</v>
      </c>
    </row>
    <row r="56" spans="3:20">
      <c r="G56" s="363" t="s">
        <v>150</v>
      </c>
      <c r="H56" s="364">
        <f>SUM(H54:H55)</f>
        <v>60</v>
      </c>
      <c r="I56" s="364">
        <f t="shared" ref="I56:T56" si="5">SUM(I54:I55)</f>
        <v>0</v>
      </c>
      <c r="J56" s="364">
        <f t="shared" si="5"/>
        <v>133.80000000000001</v>
      </c>
      <c r="K56" s="364">
        <f t="shared" si="5"/>
        <v>259</v>
      </c>
      <c r="L56" s="364">
        <f t="shared" si="5"/>
        <v>951.05</v>
      </c>
      <c r="M56" s="364">
        <f t="shared" si="5"/>
        <v>1419.2999999999997</v>
      </c>
      <c r="N56" s="364">
        <f t="shared" si="5"/>
        <v>837.55</v>
      </c>
      <c r="O56" s="364">
        <f t="shared" si="5"/>
        <v>1230.1499999999999</v>
      </c>
      <c r="P56" s="364">
        <f t="shared" si="5"/>
        <v>1513.5499999999997</v>
      </c>
      <c r="Q56" s="364">
        <f t="shared" si="5"/>
        <v>1948.3000000000004</v>
      </c>
      <c r="R56" s="364">
        <f t="shared" si="5"/>
        <v>1174.5099999999998</v>
      </c>
      <c r="S56" s="364">
        <f t="shared" si="5"/>
        <v>1795.95</v>
      </c>
      <c r="T56" s="364">
        <f t="shared" si="5"/>
        <v>11323.16</v>
      </c>
    </row>
    <row r="57" spans="3:20">
      <c r="G57" s="365" t="s">
        <v>147</v>
      </c>
      <c r="H57" s="366">
        <f>'2024'!L290</f>
        <v>307.75</v>
      </c>
      <c r="I57" s="366">
        <f>'2024'!M290</f>
        <v>692.19999999999993</v>
      </c>
      <c r="J57" s="366">
        <f>'2024'!N290</f>
        <v>1164.6200000000001</v>
      </c>
      <c r="K57" s="366">
        <f>'2024'!O290</f>
        <v>1228.7900000000002</v>
      </c>
      <c r="L57" s="366">
        <f>'2024'!P290</f>
        <v>1015.53</v>
      </c>
      <c r="M57" s="366">
        <f>'2024'!Q290</f>
        <v>1271.81</v>
      </c>
      <c r="N57" s="366">
        <f>'2024'!R290</f>
        <v>986.53</v>
      </c>
      <c r="O57" s="366">
        <f>'2024'!S290</f>
        <v>1539.46</v>
      </c>
      <c r="P57" s="366">
        <f>'2024'!T290</f>
        <v>1510.68</v>
      </c>
      <c r="Q57" s="366">
        <f>'2024'!U290</f>
        <v>397.21999999999997</v>
      </c>
      <c r="R57" s="366">
        <f>'2024'!V290</f>
        <v>1097.3299999999997</v>
      </c>
      <c r="S57" s="366">
        <f>'2024'!W290</f>
        <v>379.65900000000005</v>
      </c>
      <c r="T57" s="366">
        <f>SUM(H57:S57)</f>
        <v>11591.579</v>
      </c>
    </row>
    <row r="58" spans="3:20">
      <c r="G58" s="365" t="s">
        <v>148</v>
      </c>
      <c r="H58" s="366">
        <f>'2024'!L297+'2024'!L295</f>
        <v>145</v>
      </c>
      <c r="I58" s="366">
        <f>'2024'!M297+'2024'!M295</f>
        <v>90</v>
      </c>
      <c r="J58" s="366">
        <f>'2024'!N297+'2024'!N295</f>
        <v>0</v>
      </c>
      <c r="K58" s="366">
        <f>'2024'!O297+'2024'!O295</f>
        <v>567</v>
      </c>
      <c r="L58" s="366">
        <f>'2024'!P297+'2024'!P295</f>
        <v>420</v>
      </c>
      <c r="M58" s="366">
        <f>'2024'!Q297+'2024'!Q295</f>
        <v>518</v>
      </c>
      <c r="N58" s="366">
        <f>'2024'!R297+'2024'!R295</f>
        <v>0</v>
      </c>
      <c r="O58" s="366">
        <f>'2024'!S297+'2024'!S295</f>
        <v>580</v>
      </c>
      <c r="P58" s="366">
        <f>'2024'!T297+'2024'!T295</f>
        <v>430</v>
      </c>
      <c r="Q58" s="366">
        <f>'2024'!U297+'2024'!U295</f>
        <v>140</v>
      </c>
      <c r="R58" s="366">
        <f>'2024'!V297+'2024'!V295</f>
        <v>450</v>
      </c>
      <c r="S58" s="366">
        <f>'2024'!W297+'2024'!W295</f>
        <v>20</v>
      </c>
      <c r="T58" s="366">
        <f>SUM(H58:S58)</f>
        <v>3360</v>
      </c>
    </row>
    <row r="59" spans="3:20">
      <c r="G59" s="363" t="s">
        <v>149</v>
      </c>
      <c r="H59" s="364">
        <f>SUM(H57:H58)</f>
        <v>452.75</v>
      </c>
      <c r="I59" s="364">
        <f t="shared" ref="I59:T59" si="6">SUM(I57:I58)</f>
        <v>782.19999999999993</v>
      </c>
      <c r="J59" s="364">
        <f t="shared" si="6"/>
        <v>1164.6200000000001</v>
      </c>
      <c r="K59" s="364">
        <f t="shared" si="6"/>
        <v>1795.7900000000002</v>
      </c>
      <c r="L59" s="364">
        <f t="shared" si="6"/>
        <v>1435.53</v>
      </c>
      <c r="M59" s="364">
        <f t="shared" si="6"/>
        <v>1789.81</v>
      </c>
      <c r="N59" s="364">
        <f t="shared" si="6"/>
        <v>986.53</v>
      </c>
      <c r="O59" s="364">
        <f t="shared" si="6"/>
        <v>2119.46</v>
      </c>
      <c r="P59" s="364">
        <f t="shared" si="6"/>
        <v>1940.68</v>
      </c>
      <c r="Q59" s="364">
        <f t="shared" si="6"/>
        <v>537.22</v>
      </c>
      <c r="R59" s="364">
        <f t="shared" si="6"/>
        <v>1547.3299999999997</v>
      </c>
      <c r="S59" s="364">
        <f t="shared" si="6"/>
        <v>399.65900000000005</v>
      </c>
      <c r="T59" s="364">
        <f t="shared" si="6"/>
        <v>14951.579</v>
      </c>
    </row>
  </sheetData>
  <mergeCells count="1">
    <mergeCell ref="H10:T1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P25" sqref="P25"/>
    </sheetView>
  </sheetViews>
  <sheetFormatPr baseColWidth="10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2023</vt:lpstr>
      <vt:lpstr>2024</vt:lpstr>
      <vt:lpstr>Feuil1</vt:lpstr>
      <vt:lpstr>STATS</vt:lpstr>
      <vt:lpstr>GRAPHIQUES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BLAIS Eric</cp:lastModifiedBy>
  <dcterms:created xsi:type="dcterms:W3CDTF">2023-07-29T11:52:43Z</dcterms:created>
  <dcterms:modified xsi:type="dcterms:W3CDTF">2024-12-06T09:44:58Z</dcterms:modified>
</cp:coreProperties>
</file>