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drawings/drawing3.xml" ContentType="application/vnd.openxmlformats-officedocument.drawing+xml"/>
  <Override PartName="/xl/tables/table7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webextensions/taskpanes.xml" ContentType="application/vnd.ms-office.webextensiontaskpanes+xml"/>
  <Override PartName="/xl/webextensions/webextension1.xml" ContentType="application/vnd.ms-office.webextension+xml"/>
  <Override PartName="/xl/webextensions/webextension2.xml" ContentType="application/vnd.ms-office.webextension+xml"/>
  <Override PartName="/xl/webextensions/webextension3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0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dcola\Downloads\"/>
    </mc:Choice>
  </mc:AlternateContent>
  <xr:revisionPtr revIDLastSave="0" documentId="13_ncr:1_{FC80EC04-27ED-4610-88F3-BF8E2B3F2E64}" xr6:coauthVersionLast="47" xr6:coauthVersionMax="47" xr10:uidLastSave="{00000000-0000-0000-0000-000000000000}"/>
  <bookViews>
    <workbookView xWindow="4320" yWindow="4320" windowWidth="28800" windowHeight="15345" activeTab="2" xr2:uid="{00000000-000D-0000-FFFF-FFFF00000000}"/>
  </bookViews>
  <sheets>
    <sheet name="Agenda" sheetId="1" r:id="rId1"/>
    <sheet name="Paramètres" sheetId="2" r:id="rId2"/>
    <sheet name="Agenda (2)" sheetId="3" r:id="rId3"/>
  </sheets>
  <externalReferences>
    <externalReference r:id="rId4"/>
  </externalReferences>
  <definedNames>
    <definedName name="_xlnm._FilterDatabase" localSheetId="0" hidden="1">Agenda!$A$16:$B$16</definedName>
    <definedName name="_xlnm._FilterDatabase" localSheetId="2" hidden="1">'Agenda (2)'!$A$16:$B$16</definedName>
    <definedName name="AnneeEnCours">Paramètres!$A$2</definedName>
    <definedName name="DateTest">[1]Param!$G$1</definedName>
    <definedName name="DebEte">[1]Param!$F$7</definedName>
    <definedName name="DebHiver">[1]Param!$F$5</definedName>
    <definedName name="DebNoel">[1]Param!$F$9</definedName>
    <definedName name="DebNoelPrec">[1]Param!$F$4</definedName>
    <definedName name="DebPrintps">[1]Param!$F$6</definedName>
    <definedName name="DebToussaint">[1]Param!$F$8</definedName>
    <definedName name="FinEte">[1]Param!$G$7</definedName>
    <definedName name="FinHiver">[1]Param!$G$5</definedName>
    <definedName name="FinNoel">[1]Param!$G$9</definedName>
    <definedName name="FinNoelPrec">[1]Param!$G$4</definedName>
    <definedName name="FinPrintps">[1]Param!$G$6</definedName>
    <definedName name="FinToussaint">[1]Param!$G$8</definedName>
    <definedName name="JFeriesAnnee" localSheetId="2">JoursFeries[Date]</definedName>
    <definedName name="JFeriesAnnee">JoursFeries[Date]</definedName>
    <definedName name="Paques">Paramètres!$C$5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U7" i="3" l="1" a="1"/>
  <c r="AU7" i="3" s="1"/>
  <c r="AU54" i="3" a="1"/>
  <c r="AU54" i="3" s="1"/>
  <c r="OH51" i="3"/>
  <c r="OG51" i="3"/>
  <c r="OF51" i="3"/>
  <c r="OE51" i="3"/>
  <c r="OD51" i="3"/>
  <c r="OC51" i="3"/>
  <c r="OB51" i="3"/>
  <c r="OA51" i="3"/>
  <c r="NZ51" i="3"/>
  <c r="NY51" i="3"/>
  <c r="NX51" i="3"/>
  <c r="NW51" i="3"/>
  <c r="NV51" i="3"/>
  <c r="NU51" i="3"/>
  <c r="NT51" i="3"/>
  <c r="NS51" i="3"/>
  <c r="NR51" i="3"/>
  <c r="NQ51" i="3"/>
  <c r="NP51" i="3"/>
  <c r="NO51" i="3"/>
  <c r="NN51" i="3"/>
  <c r="NM51" i="3"/>
  <c r="NL51" i="3"/>
  <c r="NK51" i="3"/>
  <c r="NJ51" i="3"/>
  <c r="NI51" i="3"/>
  <c r="NH51" i="3"/>
  <c r="NG51" i="3"/>
  <c r="NF51" i="3"/>
  <c r="NE51" i="3"/>
  <c r="ND51" i="3"/>
  <c r="NC51" i="3"/>
  <c r="NB51" i="3"/>
  <c r="NA51" i="3"/>
  <c r="MZ51" i="3"/>
  <c r="MY51" i="3"/>
  <c r="MX51" i="3"/>
  <c r="MW51" i="3"/>
  <c r="MV51" i="3"/>
  <c r="MU51" i="3"/>
  <c r="MT51" i="3"/>
  <c r="MS51" i="3"/>
  <c r="MR51" i="3"/>
  <c r="MQ51" i="3"/>
  <c r="MP51" i="3"/>
  <c r="MO51" i="3"/>
  <c r="MN51" i="3"/>
  <c r="MM51" i="3"/>
  <c r="ML51" i="3"/>
  <c r="MK51" i="3"/>
  <c r="MJ51" i="3"/>
  <c r="MI51" i="3"/>
  <c r="MH51" i="3"/>
  <c r="MG51" i="3"/>
  <c r="MF51" i="3"/>
  <c r="ME51" i="3"/>
  <c r="MD51" i="3"/>
  <c r="MC51" i="3"/>
  <c r="MB51" i="3"/>
  <c r="MA51" i="3"/>
  <c r="LZ51" i="3"/>
  <c r="LY51" i="3"/>
  <c r="LX51" i="3"/>
  <c r="LW51" i="3"/>
  <c r="LV51" i="3"/>
  <c r="LU51" i="3"/>
  <c r="LT51" i="3"/>
  <c r="LS51" i="3"/>
  <c r="LR51" i="3"/>
  <c r="LQ51" i="3"/>
  <c r="LP51" i="3"/>
  <c r="LO51" i="3"/>
  <c r="LN51" i="3"/>
  <c r="LM51" i="3"/>
  <c r="LL51" i="3"/>
  <c r="LK51" i="3"/>
  <c r="LJ51" i="3"/>
  <c r="LI51" i="3"/>
  <c r="LH51" i="3"/>
  <c r="LG51" i="3"/>
  <c r="LF51" i="3"/>
  <c r="LE51" i="3"/>
  <c r="LD51" i="3"/>
  <c r="LC51" i="3"/>
  <c r="LB51" i="3"/>
  <c r="LA51" i="3"/>
  <c r="KZ51" i="3"/>
  <c r="KY51" i="3"/>
  <c r="KX51" i="3"/>
  <c r="KW51" i="3"/>
  <c r="KV51" i="3"/>
  <c r="KU51" i="3"/>
  <c r="KT51" i="3"/>
  <c r="KS51" i="3"/>
  <c r="KR51" i="3"/>
  <c r="KQ51" i="3"/>
  <c r="KP51" i="3"/>
  <c r="KO51" i="3"/>
  <c r="KN51" i="3"/>
  <c r="KM51" i="3"/>
  <c r="KL51" i="3"/>
  <c r="KK51" i="3"/>
  <c r="KJ51" i="3"/>
  <c r="KI51" i="3"/>
  <c r="KH51" i="3"/>
  <c r="KG51" i="3"/>
  <c r="KF51" i="3"/>
  <c r="KE51" i="3"/>
  <c r="KD51" i="3"/>
  <c r="KC51" i="3"/>
  <c r="KB51" i="3"/>
  <c r="KA51" i="3"/>
  <c r="JZ51" i="3"/>
  <c r="JY51" i="3"/>
  <c r="JX51" i="3"/>
  <c r="JW51" i="3"/>
  <c r="JV51" i="3"/>
  <c r="JU51" i="3"/>
  <c r="JT51" i="3"/>
  <c r="JS51" i="3"/>
  <c r="JR51" i="3"/>
  <c r="JQ51" i="3"/>
  <c r="JP51" i="3"/>
  <c r="JO51" i="3"/>
  <c r="JN51" i="3"/>
  <c r="JM51" i="3"/>
  <c r="JL51" i="3"/>
  <c r="JK51" i="3"/>
  <c r="JJ51" i="3"/>
  <c r="JI51" i="3"/>
  <c r="JH51" i="3"/>
  <c r="JG51" i="3"/>
  <c r="JF51" i="3"/>
  <c r="JE51" i="3"/>
  <c r="JD51" i="3"/>
  <c r="JC51" i="3"/>
  <c r="JB51" i="3"/>
  <c r="JA51" i="3"/>
  <c r="IZ51" i="3"/>
  <c r="IY51" i="3"/>
  <c r="IX51" i="3"/>
  <c r="IW51" i="3"/>
  <c r="IV51" i="3"/>
  <c r="IU51" i="3"/>
  <c r="IT51" i="3"/>
  <c r="IS51" i="3"/>
  <c r="IR51" i="3"/>
  <c r="IQ51" i="3"/>
  <c r="IP51" i="3"/>
  <c r="IO51" i="3"/>
  <c r="IN51" i="3"/>
  <c r="IM51" i="3"/>
  <c r="IL51" i="3"/>
  <c r="IK51" i="3"/>
  <c r="IJ51" i="3"/>
  <c r="II51" i="3"/>
  <c r="IH51" i="3"/>
  <c r="IG51" i="3"/>
  <c r="IF51" i="3"/>
  <c r="IE51" i="3"/>
  <c r="ID51" i="3"/>
  <c r="IC51" i="3"/>
  <c r="IB51" i="3"/>
  <c r="IA51" i="3"/>
  <c r="HZ51" i="3"/>
  <c r="HY51" i="3"/>
  <c r="HX51" i="3"/>
  <c r="HW51" i="3"/>
  <c r="HV51" i="3"/>
  <c r="HU51" i="3"/>
  <c r="HT51" i="3"/>
  <c r="HS51" i="3"/>
  <c r="HR51" i="3"/>
  <c r="HQ51" i="3"/>
  <c r="HP51" i="3"/>
  <c r="HO51" i="3"/>
  <c r="HN51" i="3"/>
  <c r="HM51" i="3"/>
  <c r="HL51" i="3"/>
  <c r="HK51" i="3"/>
  <c r="HJ51" i="3"/>
  <c r="HI51" i="3"/>
  <c r="HH51" i="3"/>
  <c r="HG51" i="3"/>
  <c r="HF51" i="3"/>
  <c r="HE51" i="3"/>
  <c r="HD51" i="3"/>
  <c r="HC51" i="3"/>
  <c r="HB51" i="3"/>
  <c r="HA51" i="3"/>
  <c r="GZ51" i="3"/>
  <c r="GY51" i="3"/>
  <c r="GX51" i="3"/>
  <c r="GW51" i="3"/>
  <c r="GV51" i="3"/>
  <c r="GU51" i="3"/>
  <c r="GT51" i="3"/>
  <c r="GS51" i="3"/>
  <c r="GR51" i="3"/>
  <c r="GQ51" i="3"/>
  <c r="GP51" i="3"/>
  <c r="GO51" i="3"/>
  <c r="GN51" i="3"/>
  <c r="GM51" i="3"/>
  <c r="GL51" i="3"/>
  <c r="GK51" i="3"/>
  <c r="GJ51" i="3"/>
  <c r="GI51" i="3"/>
  <c r="GH51" i="3"/>
  <c r="GG51" i="3"/>
  <c r="GF51" i="3"/>
  <c r="GE51" i="3"/>
  <c r="GD51" i="3"/>
  <c r="GC51" i="3"/>
  <c r="GB51" i="3"/>
  <c r="GA51" i="3"/>
  <c r="FZ51" i="3"/>
  <c r="FY51" i="3"/>
  <c r="FX51" i="3"/>
  <c r="FW51" i="3"/>
  <c r="FV51" i="3"/>
  <c r="FU51" i="3"/>
  <c r="FT51" i="3"/>
  <c r="FS51" i="3"/>
  <c r="FR51" i="3"/>
  <c r="FQ51" i="3"/>
  <c r="FP51" i="3"/>
  <c r="FO51" i="3"/>
  <c r="FN51" i="3"/>
  <c r="FM51" i="3"/>
  <c r="FL51" i="3"/>
  <c r="FK51" i="3"/>
  <c r="FJ51" i="3"/>
  <c r="FI51" i="3"/>
  <c r="FH51" i="3"/>
  <c r="FG51" i="3"/>
  <c r="FF51" i="3"/>
  <c r="FE51" i="3"/>
  <c r="FD51" i="3"/>
  <c r="FC51" i="3"/>
  <c r="FB51" i="3"/>
  <c r="FA51" i="3"/>
  <c r="EZ51" i="3"/>
  <c r="EY51" i="3"/>
  <c r="EX51" i="3"/>
  <c r="EW51" i="3"/>
  <c r="EV51" i="3"/>
  <c r="EU51" i="3"/>
  <c r="ET51" i="3"/>
  <c r="ES51" i="3"/>
  <c r="ER51" i="3"/>
  <c r="EQ51" i="3"/>
  <c r="EP51" i="3"/>
  <c r="EO51" i="3"/>
  <c r="EN51" i="3"/>
  <c r="EM51" i="3"/>
  <c r="EL51" i="3"/>
  <c r="EK51" i="3"/>
  <c r="EJ51" i="3"/>
  <c r="EI51" i="3"/>
  <c r="EH51" i="3"/>
  <c r="EG51" i="3"/>
  <c r="EF51" i="3"/>
  <c r="EE51" i="3"/>
  <c r="ED51" i="3"/>
  <c r="EC51" i="3"/>
  <c r="EB51" i="3"/>
  <c r="EA51" i="3"/>
  <c r="DZ51" i="3"/>
  <c r="DY51" i="3"/>
  <c r="DX51" i="3"/>
  <c r="DW51" i="3"/>
  <c r="DV51" i="3"/>
  <c r="DU51" i="3"/>
  <c r="DT51" i="3"/>
  <c r="DS51" i="3"/>
  <c r="DR51" i="3"/>
  <c r="DQ51" i="3"/>
  <c r="DP51" i="3"/>
  <c r="DO51" i="3"/>
  <c r="DN51" i="3"/>
  <c r="DM51" i="3"/>
  <c r="DL51" i="3"/>
  <c r="DK51" i="3"/>
  <c r="DJ51" i="3"/>
  <c r="DI51" i="3"/>
  <c r="DH51" i="3"/>
  <c r="DG51" i="3"/>
  <c r="DF51" i="3"/>
  <c r="DE51" i="3"/>
  <c r="DD51" i="3"/>
  <c r="DC51" i="3"/>
  <c r="DB51" i="3"/>
  <c r="DA51" i="3"/>
  <c r="CZ51" i="3"/>
  <c r="CY51" i="3"/>
  <c r="CX51" i="3"/>
  <c r="CW51" i="3"/>
  <c r="CV51" i="3"/>
  <c r="CU51" i="3"/>
  <c r="CT51" i="3"/>
  <c r="CS51" i="3"/>
  <c r="CR51" i="3"/>
  <c r="CQ51" i="3"/>
  <c r="CP51" i="3"/>
  <c r="CO51" i="3"/>
  <c r="CN51" i="3"/>
  <c r="CM51" i="3"/>
  <c r="CL51" i="3"/>
  <c r="CK51" i="3"/>
  <c r="CJ51" i="3"/>
  <c r="CI51" i="3"/>
  <c r="CH51" i="3"/>
  <c r="CG51" i="3"/>
  <c r="CF51" i="3"/>
  <c r="CE51" i="3"/>
  <c r="CD51" i="3"/>
  <c r="CC51" i="3"/>
  <c r="CB51" i="3"/>
  <c r="CA51" i="3"/>
  <c r="BZ51" i="3"/>
  <c r="BY51" i="3"/>
  <c r="BX51" i="3"/>
  <c r="BW51" i="3"/>
  <c r="BV51" i="3"/>
  <c r="BU51" i="3"/>
  <c r="BT51" i="3"/>
  <c r="BS51" i="3"/>
  <c r="BR51" i="3"/>
  <c r="BQ51" i="3"/>
  <c r="BP51" i="3"/>
  <c r="BO51" i="3"/>
  <c r="BN51" i="3"/>
  <c r="BM51" i="3"/>
  <c r="BL51" i="3"/>
  <c r="BK51" i="3"/>
  <c r="BJ51" i="3"/>
  <c r="BI51" i="3"/>
  <c r="BH51" i="3"/>
  <c r="BG51" i="3"/>
  <c r="BF51" i="3"/>
  <c r="BE51" i="3"/>
  <c r="BD51" i="3"/>
  <c r="BC51" i="3"/>
  <c r="BB51" i="3"/>
  <c r="BA51" i="3"/>
  <c r="AZ51" i="3"/>
  <c r="AY51" i="3"/>
  <c r="AX51" i="3"/>
  <c r="AW51" i="3"/>
  <c r="AV51" i="3"/>
  <c r="AU51" i="3"/>
  <c r="AT51" i="3"/>
  <c r="AS51" i="3"/>
  <c r="AR51" i="3"/>
  <c r="AQ51" i="3"/>
  <c r="AP51" i="3"/>
  <c r="AO51" i="3"/>
  <c r="AN51" i="3"/>
  <c r="AM51" i="3"/>
  <c r="AL51" i="3"/>
  <c r="AK51" i="3"/>
  <c r="AJ51" i="3"/>
  <c r="AI51" i="3"/>
  <c r="AH51" i="3"/>
  <c r="AG51" i="3"/>
  <c r="AF51" i="3"/>
  <c r="AE51" i="3"/>
  <c r="AD51" i="3"/>
  <c r="AC51" i="3"/>
  <c r="AB51" i="3"/>
  <c r="AA51" i="3"/>
  <c r="Z51" i="3"/>
  <c r="Y51" i="3"/>
  <c r="X51" i="3"/>
  <c r="W51" i="3"/>
  <c r="V51" i="3"/>
  <c r="U51" i="3"/>
  <c r="T51" i="3"/>
  <c r="S51" i="3"/>
  <c r="R51" i="3"/>
  <c r="Q51" i="3"/>
  <c r="P51" i="3"/>
  <c r="O51" i="3"/>
  <c r="N51" i="3"/>
  <c r="M51" i="3"/>
  <c r="L51" i="3"/>
  <c r="K51" i="3"/>
  <c r="J51" i="3"/>
  <c r="I51" i="3"/>
  <c r="H51" i="3"/>
  <c r="G51" i="3"/>
  <c r="F51" i="3"/>
  <c r="E51" i="3"/>
  <c r="D51" i="3"/>
  <c r="C51" i="3"/>
  <c r="B51" i="3"/>
  <c r="OB15" i="3"/>
  <c r="NS15" i="3"/>
  <c r="MX15" i="3"/>
  <c r="MO15" i="3"/>
  <c r="LS15" i="3"/>
  <c r="LJ15" i="3"/>
  <c r="KO15" i="3"/>
  <c r="KF15" i="3"/>
  <c r="JJ15" i="3"/>
  <c r="JA15" i="3"/>
  <c r="IE15" i="3"/>
  <c r="HV15" i="3"/>
  <c r="HA15" i="3"/>
  <c r="GR15" i="3" s="1"/>
  <c r="FV15" i="3"/>
  <c r="FM15" i="3"/>
  <c r="ER15" i="3"/>
  <c r="EI15" i="3" s="1"/>
  <c r="E4" i="3" s="1"/>
  <c r="DM15" i="3"/>
  <c r="DD15" i="3" s="1"/>
  <c r="CK15" i="3"/>
  <c r="CB15" i="3" s="1"/>
  <c r="BF15" i="3"/>
  <c r="AW15" i="3" s="1"/>
  <c r="E3" i="3" s="1"/>
  <c r="E2" i="3" s="1"/>
  <c r="OH10" i="3"/>
  <c r="OG10" i="3"/>
  <c r="OF10" i="3"/>
  <c r="OE10" i="3"/>
  <c r="OD10" i="3"/>
  <c r="OC10" i="3"/>
  <c r="OB10" i="3"/>
  <c r="OA10" i="3"/>
  <c r="NZ10" i="3"/>
  <c r="NY10" i="3"/>
  <c r="NX10" i="3"/>
  <c r="NW10" i="3"/>
  <c r="NV10" i="3"/>
  <c r="NU10" i="3"/>
  <c r="NT10" i="3"/>
  <c r="NS10" i="3"/>
  <c r="NR10" i="3"/>
  <c r="NQ10" i="3"/>
  <c r="NP10" i="3"/>
  <c r="NO10" i="3"/>
  <c r="NN10" i="3"/>
  <c r="NM10" i="3"/>
  <c r="NL10" i="3"/>
  <c r="NK10" i="3"/>
  <c r="NJ10" i="3"/>
  <c r="NI10" i="3"/>
  <c r="NH10" i="3"/>
  <c r="NG10" i="3"/>
  <c r="NF10" i="3"/>
  <c r="NE10" i="3"/>
  <c r="ND10" i="3"/>
  <c r="NC10" i="3"/>
  <c r="NB10" i="3"/>
  <c r="NA10" i="3"/>
  <c r="MZ10" i="3"/>
  <c r="MY10" i="3"/>
  <c r="MX10" i="3"/>
  <c r="MW10" i="3"/>
  <c r="MV10" i="3"/>
  <c r="MU10" i="3"/>
  <c r="MT10" i="3"/>
  <c r="MS10" i="3"/>
  <c r="MR10" i="3"/>
  <c r="MQ10" i="3"/>
  <c r="MP10" i="3"/>
  <c r="MO10" i="3"/>
  <c r="MN10" i="3"/>
  <c r="MM10" i="3"/>
  <c r="ML10" i="3"/>
  <c r="MK10" i="3"/>
  <c r="MJ10" i="3"/>
  <c r="MI10" i="3"/>
  <c r="MH10" i="3"/>
  <c r="MG10" i="3"/>
  <c r="MF10" i="3"/>
  <c r="ME10" i="3"/>
  <c r="MD10" i="3"/>
  <c r="MC10" i="3"/>
  <c r="MB10" i="3"/>
  <c r="MA10" i="3"/>
  <c r="LZ10" i="3"/>
  <c r="LY10" i="3"/>
  <c r="LX10" i="3"/>
  <c r="LW10" i="3"/>
  <c r="LV10" i="3"/>
  <c r="LU10" i="3"/>
  <c r="LT10" i="3"/>
  <c r="LS10" i="3"/>
  <c r="LR10" i="3"/>
  <c r="LQ10" i="3"/>
  <c r="LP10" i="3"/>
  <c r="LO10" i="3"/>
  <c r="LN10" i="3"/>
  <c r="LM10" i="3"/>
  <c r="LL10" i="3"/>
  <c r="LK10" i="3"/>
  <c r="LJ10" i="3"/>
  <c r="LI10" i="3"/>
  <c r="LH10" i="3"/>
  <c r="LG10" i="3"/>
  <c r="LF10" i="3"/>
  <c r="LE10" i="3"/>
  <c r="LD10" i="3"/>
  <c r="LC10" i="3"/>
  <c r="LB10" i="3"/>
  <c r="LA10" i="3"/>
  <c r="KZ10" i="3"/>
  <c r="KY10" i="3"/>
  <c r="KX10" i="3"/>
  <c r="KW10" i="3"/>
  <c r="KV10" i="3"/>
  <c r="KU10" i="3"/>
  <c r="KT10" i="3"/>
  <c r="KS10" i="3"/>
  <c r="KR10" i="3"/>
  <c r="KQ10" i="3"/>
  <c r="KP10" i="3"/>
  <c r="KO10" i="3"/>
  <c r="KN10" i="3"/>
  <c r="KM10" i="3"/>
  <c r="KL10" i="3"/>
  <c r="KK10" i="3"/>
  <c r="KJ10" i="3"/>
  <c r="KI10" i="3"/>
  <c r="KH10" i="3"/>
  <c r="KG10" i="3"/>
  <c r="KF10" i="3"/>
  <c r="KE10" i="3"/>
  <c r="KD10" i="3"/>
  <c r="KC10" i="3"/>
  <c r="KB10" i="3"/>
  <c r="KA10" i="3"/>
  <c r="JZ10" i="3"/>
  <c r="JY10" i="3"/>
  <c r="JX10" i="3"/>
  <c r="JW10" i="3"/>
  <c r="JV10" i="3"/>
  <c r="JU10" i="3"/>
  <c r="JT10" i="3"/>
  <c r="JS10" i="3"/>
  <c r="JR10" i="3"/>
  <c r="JQ10" i="3"/>
  <c r="JP10" i="3"/>
  <c r="JO10" i="3"/>
  <c r="JN10" i="3"/>
  <c r="JM10" i="3"/>
  <c r="JL10" i="3"/>
  <c r="JK10" i="3"/>
  <c r="JJ10" i="3"/>
  <c r="JI10" i="3"/>
  <c r="JH10" i="3"/>
  <c r="JG10" i="3"/>
  <c r="JF10" i="3"/>
  <c r="JE10" i="3"/>
  <c r="JD10" i="3"/>
  <c r="JC10" i="3"/>
  <c r="JB10" i="3"/>
  <c r="JA10" i="3"/>
  <c r="IZ10" i="3"/>
  <c r="IY10" i="3"/>
  <c r="IX10" i="3"/>
  <c r="IW10" i="3"/>
  <c r="IV10" i="3"/>
  <c r="IU10" i="3"/>
  <c r="IT10" i="3"/>
  <c r="IS10" i="3"/>
  <c r="IR10" i="3"/>
  <c r="IQ10" i="3"/>
  <c r="IP10" i="3"/>
  <c r="IO10" i="3"/>
  <c r="IN10" i="3"/>
  <c r="IM10" i="3"/>
  <c r="IL10" i="3"/>
  <c r="IK10" i="3"/>
  <c r="IJ10" i="3"/>
  <c r="II10" i="3"/>
  <c r="IH10" i="3"/>
  <c r="IG10" i="3"/>
  <c r="IF10" i="3"/>
  <c r="IE10" i="3"/>
  <c r="ID10" i="3"/>
  <c r="IC10" i="3"/>
  <c r="IB10" i="3"/>
  <c r="IA10" i="3"/>
  <c r="HZ10" i="3"/>
  <c r="HY10" i="3"/>
  <c r="HX10" i="3"/>
  <c r="HW10" i="3"/>
  <c r="HV10" i="3"/>
  <c r="HU10" i="3"/>
  <c r="HT10" i="3"/>
  <c r="HS10" i="3"/>
  <c r="HR10" i="3"/>
  <c r="HQ10" i="3"/>
  <c r="HP10" i="3"/>
  <c r="HO10" i="3"/>
  <c r="HN10" i="3"/>
  <c r="HM10" i="3"/>
  <c r="HL10" i="3"/>
  <c r="HK10" i="3"/>
  <c r="HJ10" i="3"/>
  <c r="HI10" i="3"/>
  <c r="HH10" i="3"/>
  <c r="HG10" i="3"/>
  <c r="HF10" i="3"/>
  <c r="HE10" i="3"/>
  <c r="HD10" i="3"/>
  <c r="HC10" i="3"/>
  <c r="HB10" i="3"/>
  <c r="HA10" i="3"/>
  <c r="GZ10" i="3"/>
  <c r="GY10" i="3"/>
  <c r="GX10" i="3"/>
  <c r="GW10" i="3"/>
  <c r="GV10" i="3"/>
  <c r="GU10" i="3"/>
  <c r="GT10" i="3"/>
  <c r="GS10" i="3"/>
  <c r="GR10" i="3"/>
  <c r="GQ10" i="3"/>
  <c r="GP10" i="3"/>
  <c r="GO10" i="3"/>
  <c r="GN10" i="3"/>
  <c r="GM10" i="3"/>
  <c r="GL10" i="3"/>
  <c r="GK10" i="3"/>
  <c r="GJ10" i="3"/>
  <c r="GI10" i="3"/>
  <c r="GH10" i="3"/>
  <c r="GG10" i="3"/>
  <c r="GF10" i="3"/>
  <c r="GE10" i="3"/>
  <c r="GD10" i="3"/>
  <c r="GC10" i="3"/>
  <c r="GB10" i="3"/>
  <c r="GA10" i="3"/>
  <c r="FZ10" i="3"/>
  <c r="FY10" i="3"/>
  <c r="FX10" i="3"/>
  <c r="FW10" i="3"/>
  <c r="FV10" i="3"/>
  <c r="FU10" i="3"/>
  <c r="FT10" i="3"/>
  <c r="FS10" i="3"/>
  <c r="FR10" i="3"/>
  <c r="FQ10" i="3"/>
  <c r="FP10" i="3"/>
  <c r="FO10" i="3"/>
  <c r="FN10" i="3"/>
  <c r="FM10" i="3"/>
  <c r="FL10" i="3"/>
  <c r="FK10" i="3"/>
  <c r="FJ10" i="3"/>
  <c r="FI10" i="3"/>
  <c r="FH10" i="3"/>
  <c r="FG10" i="3"/>
  <c r="FF10" i="3"/>
  <c r="FE10" i="3"/>
  <c r="FD10" i="3"/>
  <c r="FC10" i="3"/>
  <c r="FB10" i="3"/>
  <c r="FA10" i="3"/>
  <c r="EZ10" i="3"/>
  <c r="EY10" i="3"/>
  <c r="EX10" i="3"/>
  <c r="EW10" i="3"/>
  <c r="EV10" i="3"/>
  <c r="EU10" i="3"/>
  <c r="ET10" i="3"/>
  <c r="ES10" i="3"/>
  <c r="ER10" i="3"/>
  <c r="EQ10" i="3"/>
  <c r="EP10" i="3"/>
  <c r="EO10" i="3"/>
  <c r="EN10" i="3"/>
  <c r="EM10" i="3"/>
  <c r="EL10" i="3"/>
  <c r="EK10" i="3"/>
  <c r="EJ10" i="3"/>
  <c r="EI10" i="3"/>
  <c r="EH10" i="3"/>
  <c r="EG10" i="3"/>
  <c r="EF10" i="3"/>
  <c r="EE10" i="3"/>
  <c r="ED10" i="3"/>
  <c r="EC10" i="3"/>
  <c r="EB10" i="3"/>
  <c r="EA10" i="3"/>
  <c r="DZ10" i="3"/>
  <c r="DY10" i="3"/>
  <c r="DX10" i="3"/>
  <c r="DW10" i="3"/>
  <c r="DV10" i="3"/>
  <c r="DU10" i="3"/>
  <c r="DT10" i="3"/>
  <c r="DS10" i="3"/>
  <c r="DR10" i="3"/>
  <c r="DQ10" i="3"/>
  <c r="DP10" i="3"/>
  <c r="DO10" i="3"/>
  <c r="DN10" i="3"/>
  <c r="DM10" i="3"/>
  <c r="DL10" i="3"/>
  <c r="DK10" i="3"/>
  <c r="DJ10" i="3"/>
  <c r="DI10" i="3"/>
  <c r="DH10" i="3"/>
  <c r="DG10" i="3"/>
  <c r="DF10" i="3"/>
  <c r="DE10" i="3"/>
  <c r="DD10" i="3"/>
  <c r="DC10" i="3"/>
  <c r="DB10" i="3"/>
  <c r="DA10" i="3"/>
  <c r="CZ10" i="3"/>
  <c r="CY10" i="3"/>
  <c r="CX10" i="3"/>
  <c r="CW10" i="3"/>
  <c r="CV10" i="3"/>
  <c r="CU10" i="3"/>
  <c r="CT10" i="3"/>
  <c r="CS10" i="3"/>
  <c r="CR10" i="3"/>
  <c r="CQ10" i="3"/>
  <c r="CP10" i="3"/>
  <c r="CO10" i="3"/>
  <c r="CN10" i="3"/>
  <c r="CM10" i="3"/>
  <c r="CL10" i="3"/>
  <c r="CK10" i="3"/>
  <c r="CJ10" i="3"/>
  <c r="CI10" i="3"/>
  <c r="CH10" i="3"/>
  <c r="CG10" i="3"/>
  <c r="CF10" i="3"/>
  <c r="CE10" i="3"/>
  <c r="CD10" i="3"/>
  <c r="CC10" i="3"/>
  <c r="CB10" i="3"/>
  <c r="CA10" i="3"/>
  <c r="BZ10" i="3"/>
  <c r="BY10" i="3"/>
  <c r="BX10" i="3"/>
  <c r="BW10" i="3"/>
  <c r="BV10" i="3"/>
  <c r="BU10" i="3"/>
  <c r="BT10" i="3"/>
  <c r="BS10" i="3"/>
  <c r="BR10" i="3"/>
  <c r="BQ10" i="3"/>
  <c r="BP10" i="3"/>
  <c r="BO10" i="3"/>
  <c r="BN10" i="3"/>
  <c r="BM10" i="3"/>
  <c r="BL10" i="3"/>
  <c r="BK10" i="3"/>
  <c r="BJ10" i="3"/>
  <c r="BI10" i="3"/>
  <c r="BH10" i="3"/>
  <c r="BG10" i="3"/>
  <c r="BF10" i="3"/>
  <c r="BE10" i="3"/>
  <c r="BD10" i="3"/>
  <c r="BC10" i="3"/>
  <c r="BB10" i="3"/>
  <c r="BA10" i="3"/>
  <c r="AZ10" i="3"/>
  <c r="AY10" i="3"/>
  <c r="AX10" i="3"/>
  <c r="AW10" i="3"/>
  <c r="AV10" i="3"/>
  <c r="AU10" i="3"/>
  <c r="AT10" i="3"/>
  <c r="AS10" i="3"/>
  <c r="AR10" i="3"/>
  <c r="AQ10" i="3"/>
  <c r="AP10" i="3"/>
  <c r="AO10" i="3"/>
  <c r="AN10" i="3"/>
  <c r="AM10" i="3"/>
  <c r="AL10" i="3"/>
  <c r="AK10" i="3"/>
  <c r="AJ10" i="3"/>
  <c r="AI10" i="3"/>
  <c r="AH10" i="3"/>
  <c r="AG10" i="3"/>
  <c r="AF10" i="3"/>
  <c r="AE10" i="3"/>
  <c r="AD10" i="3"/>
  <c r="AC10" i="3"/>
  <c r="AB10" i="3"/>
  <c r="AA10" i="3"/>
  <c r="Z10" i="3"/>
  <c r="Y10" i="3"/>
  <c r="X10" i="3"/>
  <c r="W10" i="3"/>
  <c r="V10" i="3"/>
  <c r="U10" i="3"/>
  <c r="T10" i="3"/>
  <c r="S10" i="3"/>
  <c r="R10" i="3"/>
  <c r="Q10" i="3"/>
  <c r="P10" i="3"/>
  <c r="O10" i="3"/>
  <c r="N10" i="3"/>
  <c r="M10" i="3"/>
  <c r="L10" i="3"/>
  <c r="K10" i="3"/>
  <c r="J10" i="3"/>
  <c r="I10" i="3"/>
  <c r="H10" i="3"/>
  <c r="G10" i="3"/>
  <c r="F10" i="3"/>
  <c r="E10" i="3"/>
  <c r="D10" i="3"/>
  <c r="C10" i="3"/>
  <c r="OE7" i="3" a="1"/>
  <c r="OE7" i="3" s="1"/>
  <c r="OD7" i="3" a="1"/>
  <c r="OD7" i="3" s="1"/>
  <c r="NX7" i="3" a="1"/>
  <c r="NX7" i="3" s="1"/>
  <c r="NW7" i="3" a="1"/>
  <c r="NW7" i="3" s="1"/>
  <c r="NQ7" i="3" a="1"/>
  <c r="NQ7" i="3" s="1"/>
  <c r="NP7" i="3" a="1"/>
  <c r="NP7" i="3" s="1"/>
  <c r="NJ7" i="3" a="1"/>
  <c r="NJ7" i="3" s="1"/>
  <c r="NI7" i="3" a="1"/>
  <c r="NI7" i="3" s="1"/>
  <c r="NC7" i="3" a="1"/>
  <c r="NC7" i="3" s="1"/>
  <c r="NB7" i="3" a="1"/>
  <c r="NB7" i="3" s="1"/>
  <c r="MV7" i="3" a="1"/>
  <c r="MV7" i="3" s="1"/>
  <c r="MU7" i="3" a="1"/>
  <c r="MU7" i="3" s="1"/>
  <c r="MO7" i="3" a="1"/>
  <c r="MO7" i="3" s="1"/>
  <c r="MN7" i="3" a="1"/>
  <c r="MN7" i="3" s="1"/>
  <c r="MH7" i="3" a="1"/>
  <c r="MH7" i="3" s="1"/>
  <c r="MG7" i="3" a="1"/>
  <c r="MG7" i="3" s="1"/>
  <c r="MA7" i="3" a="1"/>
  <c r="MA7" i="3" s="1"/>
  <c r="LZ7" i="3" a="1"/>
  <c r="LZ7" i="3" s="1"/>
  <c r="LT7" i="3" a="1"/>
  <c r="LT7" i="3" s="1"/>
  <c r="LS7" i="3" a="1"/>
  <c r="LS7" i="3" s="1"/>
  <c r="LM7" i="3" a="1"/>
  <c r="LM7" i="3" s="1"/>
  <c r="LL7" i="3" a="1"/>
  <c r="LL7" i="3" s="1"/>
  <c r="LF7" i="3" a="1"/>
  <c r="LF7" i="3" s="1"/>
  <c r="LE7" i="3" a="1"/>
  <c r="LE7" i="3" s="1"/>
  <c r="KY7" i="3" a="1"/>
  <c r="KY7" i="3" s="1"/>
  <c r="KX7" i="3" a="1"/>
  <c r="KX7" i="3" s="1"/>
  <c r="KR7" i="3" a="1"/>
  <c r="KR7" i="3" s="1"/>
  <c r="KQ7" i="3" a="1"/>
  <c r="KQ7" i="3" s="1"/>
  <c r="KK7" i="3" a="1"/>
  <c r="KK7" i="3" s="1"/>
  <c r="KJ7" i="3" a="1"/>
  <c r="KJ7" i="3" s="1"/>
  <c r="KD7" i="3" a="1"/>
  <c r="KD7" i="3" s="1"/>
  <c r="KC7" i="3" a="1"/>
  <c r="KC7" i="3" s="1"/>
  <c r="JW7" i="3" a="1"/>
  <c r="JW7" i="3" s="1"/>
  <c r="JV7" i="3" a="1"/>
  <c r="JV7" i="3" s="1"/>
  <c r="JP7" i="3" a="1"/>
  <c r="JP7" i="3" s="1"/>
  <c r="JO7" i="3" a="1"/>
  <c r="JO7" i="3" s="1"/>
  <c r="JI7" i="3" a="1"/>
  <c r="JI7" i="3" s="1"/>
  <c r="JH7" i="3" a="1"/>
  <c r="JH7" i="3" s="1"/>
  <c r="JB7" i="3" a="1"/>
  <c r="JB7" i="3" s="1"/>
  <c r="JA7" i="3" a="1"/>
  <c r="JA7" i="3" s="1"/>
  <c r="IU7" i="3" a="1"/>
  <c r="IU7" i="3" s="1"/>
  <c r="IT7" i="3" a="1"/>
  <c r="IT7" i="3" s="1"/>
  <c r="IN7" i="3" a="1"/>
  <c r="IN7" i="3" s="1"/>
  <c r="IM7" i="3" a="1"/>
  <c r="IM7" i="3" s="1"/>
  <c r="IG7" i="3" a="1"/>
  <c r="IG7" i="3" s="1"/>
  <c r="IF7" i="3" a="1"/>
  <c r="IF7" i="3" s="1"/>
  <c r="HZ7" i="3" a="1"/>
  <c r="HZ7" i="3" s="1"/>
  <c r="HY7" i="3" a="1"/>
  <c r="HY7" i="3" s="1"/>
  <c r="HS7" i="3" a="1"/>
  <c r="HS7" i="3" s="1"/>
  <c r="HR7" i="3" a="1"/>
  <c r="HR7" i="3" s="1"/>
  <c r="HL7" i="3" a="1"/>
  <c r="HL7" i="3" s="1"/>
  <c r="HK7" i="3" a="1"/>
  <c r="HK7" i="3" s="1"/>
  <c r="HE7" i="3" a="1"/>
  <c r="HE7" i="3" s="1"/>
  <c r="HD7" i="3" a="1"/>
  <c r="HD7" i="3" s="1"/>
  <c r="GX7" i="3" a="1"/>
  <c r="GX7" i="3" s="1"/>
  <c r="GW7" i="3" a="1"/>
  <c r="GW7" i="3" s="1"/>
  <c r="GQ7" i="3" a="1"/>
  <c r="GQ7" i="3" s="1"/>
  <c r="GP7" i="3" a="1"/>
  <c r="GP7" i="3" s="1"/>
  <c r="GJ7" i="3" a="1"/>
  <c r="GJ7" i="3" s="1"/>
  <c r="GI7" i="3" a="1"/>
  <c r="GI7" i="3" s="1"/>
  <c r="GC7" i="3" a="1"/>
  <c r="GC7" i="3" s="1"/>
  <c r="GB7" i="3" a="1"/>
  <c r="GB7" i="3" s="1"/>
  <c r="FV7" i="3" a="1"/>
  <c r="FV7" i="3" s="1"/>
  <c r="FU7" i="3" a="1"/>
  <c r="FU7" i="3" s="1"/>
  <c r="FO7" i="3" a="1"/>
  <c r="FO7" i="3" s="1"/>
  <c r="FN7" i="3" a="1"/>
  <c r="FN7" i="3" s="1"/>
  <c r="FH7" i="3" a="1"/>
  <c r="FH7" i="3" s="1"/>
  <c r="FG7" i="3" a="1"/>
  <c r="FG7" i="3" s="1"/>
  <c r="FA7" i="3" a="1"/>
  <c r="FA7" i="3" s="1"/>
  <c r="EZ7" i="3" a="1"/>
  <c r="EZ7" i="3" s="1"/>
  <c r="ET7" i="3" a="1"/>
  <c r="ET7" i="3" s="1"/>
  <c r="ES7" i="3" a="1"/>
  <c r="ES7" i="3" s="1"/>
  <c r="EM7" i="3" a="1"/>
  <c r="EM7" i="3" s="1"/>
  <c r="EL7" i="3" a="1"/>
  <c r="EL7" i="3" s="1"/>
  <c r="EF7" i="3" a="1"/>
  <c r="EF7" i="3" s="1"/>
  <c r="EE7" i="3" a="1"/>
  <c r="EE7" i="3" s="1"/>
  <c r="DY7" i="3" a="1"/>
  <c r="DY7" i="3" s="1"/>
  <c r="DX7" i="3" a="1"/>
  <c r="DX7" i="3" s="1"/>
  <c r="DR7" i="3" a="1"/>
  <c r="DR7" i="3" s="1"/>
  <c r="DQ7" i="3" a="1"/>
  <c r="DQ7" i="3" s="1"/>
  <c r="DK7" i="3" a="1"/>
  <c r="DK7" i="3" s="1"/>
  <c r="DJ7" i="3" a="1"/>
  <c r="DJ7" i="3" s="1"/>
  <c r="DD7" i="3" a="1"/>
  <c r="DD7" i="3" s="1"/>
  <c r="DC7" i="3" a="1"/>
  <c r="DC7" i="3" s="1"/>
  <c r="CW7" i="3" a="1"/>
  <c r="CW7" i="3" s="1"/>
  <c r="CV7" i="3" a="1"/>
  <c r="CV7" i="3" s="1"/>
  <c r="CP7" i="3" a="1"/>
  <c r="CP7" i="3" s="1"/>
  <c r="CO7" i="3" a="1"/>
  <c r="CO7" i="3" s="1"/>
  <c r="CI7" i="3" a="1"/>
  <c r="CI7" i="3" s="1"/>
  <c r="CH7" i="3" a="1"/>
  <c r="CH7" i="3" s="1"/>
  <c r="CB7" i="3" a="1"/>
  <c r="CB7" i="3" s="1"/>
  <c r="CA7" i="3" a="1"/>
  <c r="CA7" i="3" s="1"/>
  <c r="BU7" i="3" a="1"/>
  <c r="BU7" i="3" s="1"/>
  <c r="BT7" i="3" a="1"/>
  <c r="BT7" i="3" s="1"/>
  <c r="BN7" i="3" a="1"/>
  <c r="BN7" i="3" s="1"/>
  <c r="BM7" i="3" a="1"/>
  <c r="BM7" i="3" s="1"/>
  <c r="BG7" i="3" a="1"/>
  <c r="BG7" i="3" s="1"/>
  <c r="BF7" i="3" a="1"/>
  <c r="BF7" i="3" s="1"/>
  <c r="AZ7" i="3" a="1"/>
  <c r="AZ7" i="3" s="1"/>
  <c r="AY7" i="3" a="1"/>
  <c r="AY7" i="3" s="1"/>
  <c r="AS7" i="3" a="1"/>
  <c r="AS7" i="3" s="1"/>
  <c r="AR7" i="3" a="1"/>
  <c r="AR7" i="3" s="1"/>
  <c r="AL7" i="3" a="1"/>
  <c r="AL7" i="3" s="1"/>
  <c r="AK7" i="3" a="1"/>
  <c r="AK7" i="3" s="1"/>
  <c r="AE7" i="3" a="1"/>
  <c r="AE7" i="3" s="1"/>
  <c r="AD7" i="3" a="1"/>
  <c r="AD7" i="3" s="1"/>
  <c r="X7" i="3" a="1"/>
  <c r="X7" i="3" s="1"/>
  <c r="W7" i="3" a="1"/>
  <c r="W7" i="3" s="1"/>
  <c r="Q7" i="3" a="1"/>
  <c r="Q7" i="3" s="1"/>
  <c r="P7" i="3" a="1"/>
  <c r="P7" i="3" s="1"/>
  <c r="J7" i="3" a="1"/>
  <c r="J7" i="3" s="1"/>
  <c r="I7" i="3" a="1"/>
  <c r="I7" i="3" s="1"/>
  <c r="C7" i="3" a="1"/>
  <c r="C7" i="3" s="1"/>
  <c r="E6" i="3"/>
  <c r="D6" i="3"/>
  <c r="C6" i="3"/>
  <c r="E5" i="3"/>
  <c r="D5" i="3"/>
  <c r="C5" i="3"/>
  <c r="D4" i="3"/>
  <c r="C4" i="3"/>
  <c r="D3" i="3"/>
  <c r="C3" i="3"/>
  <c r="D2" i="3"/>
  <c r="C2" i="3"/>
  <c r="OE7" i="1" a="1"/>
  <c r="OE7" i="1" s="1"/>
  <c r="OD7" i="1" a="1"/>
  <c r="OD7" i="1" s="1"/>
  <c r="NX7" i="1" a="1"/>
  <c r="NX7" i="1" s="1"/>
  <c r="NW7" i="1" a="1"/>
  <c r="NW7" i="1" s="1"/>
  <c r="NQ7" i="1" a="1"/>
  <c r="NQ7" i="1" s="1"/>
  <c r="NP7" i="1" a="1"/>
  <c r="NP7" i="1" s="1"/>
  <c r="NJ7" i="1" a="1"/>
  <c r="NJ7" i="1" s="1"/>
  <c r="NI7" i="1" a="1"/>
  <c r="NI7" i="1" s="1"/>
  <c r="NC7" i="1" a="1"/>
  <c r="NC7" i="1" s="1"/>
  <c r="NB7" i="1" a="1"/>
  <c r="NB7" i="1" s="1"/>
  <c r="MV7" i="1" a="1"/>
  <c r="MV7" i="1" s="1"/>
  <c r="MU7" i="1" a="1"/>
  <c r="MU7" i="1" s="1"/>
  <c r="MO7" i="1" a="1"/>
  <c r="MO7" i="1" s="1"/>
  <c r="MN7" i="1" a="1"/>
  <c r="MN7" i="1" s="1"/>
  <c r="MH7" i="1" a="1"/>
  <c r="MH7" i="1" s="1"/>
  <c r="MG7" i="1" a="1"/>
  <c r="MG7" i="1" s="1"/>
  <c r="MA7" i="1" a="1"/>
  <c r="MA7" i="1" s="1"/>
  <c r="LZ7" i="1" a="1"/>
  <c r="LZ7" i="1" s="1"/>
  <c r="LT7" i="1" a="1"/>
  <c r="LT7" i="1" s="1"/>
  <c r="LS7" i="1" a="1"/>
  <c r="LS7" i="1" s="1"/>
  <c r="LM7" i="1" a="1"/>
  <c r="LM7" i="1" s="1"/>
  <c r="LL7" i="1" a="1"/>
  <c r="LL7" i="1" s="1"/>
  <c r="LF7" i="1" a="1"/>
  <c r="LF7" i="1" s="1"/>
  <c r="LE7" i="1" a="1"/>
  <c r="LE7" i="1" s="1"/>
  <c r="KY7" i="1" a="1"/>
  <c r="KY7" i="1" s="1"/>
  <c r="KX7" i="1" a="1"/>
  <c r="KX7" i="1" s="1"/>
  <c r="KR7" i="1" a="1"/>
  <c r="KR7" i="1" s="1"/>
  <c r="KQ7" i="1" a="1"/>
  <c r="KQ7" i="1" s="1"/>
  <c r="KK7" i="1" a="1"/>
  <c r="KK7" i="1" s="1"/>
  <c r="KJ7" i="1" a="1"/>
  <c r="KJ7" i="1" s="1"/>
  <c r="KD7" i="1" a="1"/>
  <c r="KD7" i="1" s="1"/>
  <c r="KC7" i="1" a="1"/>
  <c r="KC7" i="1" s="1"/>
  <c r="JW7" i="1" a="1"/>
  <c r="JW7" i="1" s="1"/>
  <c r="JV7" i="1" a="1"/>
  <c r="JV7" i="1" s="1"/>
  <c r="JP7" i="1" a="1"/>
  <c r="JP7" i="1" s="1"/>
  <c r="JO7" i="1" a="1"/>
  <c r="JO7" i="1" s="1"/>
  <c r="JI7" i="1" a="1"/>
  <c r="JI7" i="1" s="1"/>
  <c r="JH7" i="1" a="1"/>
  <c r="JH7" i="1" s="1"/>
  <c r="JB7" i="1" a="1"/>
  <c r="JB7" i="1" s="1"/>
  <c r="JA7" i="1" a="1"/>
  <c r="JA7" i="1" s="1"/>
  <c r="IU7" i="1" a="1"/>
  <c r="IU7" i="1" s="1"/>
  <c r="IT7" i="1" a="1"/>
  <c r="IT7" i="1" s="1"/>
  <c r="IN7" i="1" a="1"/>
  <c r="IN7" i="1" s="1"/>
  <c r="IM7" i="1" a="1"/>
  <c r="IM7" i="1" s="1"/>
  <c r="IG7" i="1" a="1"/>
  <c r="IG7" i="1" s="1"/>
  <c r="IF7" i="1" a="1"/>
  <c r="IF7" i="1" s="1"/>
  <c r="HZ7" i="1" a="1"/>
  <c r="HZ7" i="1" s="1"/>
  <c r="HY7" i="1" a="1"/>
  <c r="HY7" i="1" s="1"/>
  <c r="HS7" i="1" a="1"/>
  <c r="HS7" i="1" s="1"/>
  <c r="HR7" i="1" a="1"/>
  <c r="HR7" i="1" s="1"/>
  <c r="HL7" i="1" a="1"/>
  <c r="HL7" i="1" s="1"/>
  <c r="HK7" i="1" a="1"/>
  <c r="HK7" i="1" s="1"/>
  <c r="HE7" i="1" a="1"/>
  <c r="HE7" i="1" s="1"/>
  <c r="HD7" i="1" a="1"/>
  <c r="HD7" i="1" s="1"/>
  <c r="GX7" i="1" a="1"/>
  <c r="GX7" i="1" s="1"/>
  <c r="GW7" i="1" a="1"/>
  <c r="GW7" i="1" s="1"/>
  <c r="GQ7" i="1" a="1"/>
  <c r="GQ7" i="1" s="1"/>
  <c r="GP7" i="1" a="1"/>
  <c r="GP7" i="1" s="1"/>
  <c r="GJ7" i="1" a="1"/>
  <c r="GJ7" i="1" s="1"/>
  <c r="GI7" i="1" a="1"/>
  <c r="GI7" i="1" s="1"/>
  <c r="GC7" i="1" a="1"/>
  <c r="GC7" i="1" s="1"/>
  <c r="GB7" i="1" a="1"/>
  <c r="GB7" i="1" s="1"/>
  <c r="FV7" i="1" a="1"/>
  <c r="FV7" i="1" s="1"/>
  <c r="FU7" i="1" a="1"/>
  <c r="FU7" i="1" s="1"/>
  <c r="FO7" i="1" a="1"/>
  <c r="FO7" i="1" s="1"/>
  <c r="FN7" i="1" a="1"/>
  <c r="FN7" i="1" s="1"/>
  <c r="FH7" i="1" a="1"/>
  <c r="FH7" i="1" s="1"/>
  <c r="FG7" i="1" a="1"/>
  <c r="FG7" i="1" s="1"/>
  <c r="FA7" i="1" a="1"/>
  <c r="FA7" i="1" s="1"/>
  <c r="EZ7" i="1" a="1"/>
  <c r="EZ7" i="1" s="1"/>
  <c r="ET7" i="1" a="1"/>
  <c r="ET7" i="1" s="1"/>
  <c r="ES7" i="1" a="1"/>
  <c r="ES7" i="1" s="1"/>
  <c r="EM7" i="1" a="1"/>
  <c r="EM7" i="1" s="1"/>
  <c r="EL7" i="1" a="1"/>
  <c r="EL7" i="1" s="1"/>
  <c r="EF7" i="1" a="1"/>
  <c r="EF7" i="1" s="1"/>
  <c r="EE7" i="1" a="1"/>
  <c r="EE7" i="1" s="1"/>
  <c r="DY7" i="1" a="1"/>
  <c r="DY7" i="1" s="1"/>
  <c r="DX7" i="1" a="1"/>
  <c r="DX7" i="1" s="1"/>
  <c r="DR7" i="1" a="1"/>
  <c r="DR7" i="1" s="1"/>
  <c r="DQ7" i="1" a="1"/>
  <c r="DQ7" i="1" s="1"/>
  <c r="DK7" i="1" a="1"/>
  <c r="DK7" i="1" s="1"/>
  <c r="DJ7" i="1" a="1"/>
  <c r="DJ7" i="1" s="1"/>
  <c r="DD7" i="1" a="1"/>
  <c r="DD7" i="1" s="1"/>
  <c r="DC7" i="1" a="1"/>
  <c r="DC7" i="1" s="1"/>
  <c r="CW7" i="1" a="1"/>
  <c r="CW7" i="1" s="1"/>
  <c r="CV7" i="1" a="1"/>
  <c r="CV7" i="1" s="1"/>
  <c r="CP7" i="1" a="1"/>
  <c r="CP7" i="1" s="1"/>
  <c r="CO7" i="1" a="1"/>
  <c r="CO7" i="1" s="1"/>
  <c r="CI7" i="1" a="1"/>
  <c r="CI7" i="1" s="1"/>
  <c r="CH7" i="1" a="1"/>
  <c r="CH7" i="1" s="1"/>
  <c r="CB7" i="1" a="1"/>
  <c r="CB7" i="1" s="1"/>
  <c r="CA7" i="1" a="1"/>
  <c r="CA7" i="1" s="1"/>
  <c r="BU7" i="1" a="1"/>
  <c r="BU7" i="1" s="1"/>
  <c r="BT7" i="1" a="1"/>
  <c r="BT7" i="1" s="1"/>
  <c r="BN7" i="1" a="1"/>
  <c r="BN7" i="1" s="1"/>
  <c r="BM7" i="1" a="1"/>
  <c r="BM7" i="1" s="1"/>
  <c r="BG7" i="1" a="1"/>
  <c r="BG7" i="1" s="1"/>
  <c r="BF7" i="1" a="1"/>
  <c r="BF7" i="1" s="1"/>
  <c r="AZ7" i="1" a="1"/>
  <c r="AZ7" i="1" s="1"/>
  <c r="AY7" i="1" a="1"/>
  <c r="AY7" i="1" s="1"/>
  <c r="AS7" i="1" a="1"/>
  <c r="AS7" i="1" s="1"/>
  <c r="AR7" i="1" a="1"/>
  <c r="AR7" i="1" s="1"/>
  <c r="AL7" i="1" a="1"/>
  <c r="AL7" i="1" s="1"/>
  <c r="AK7" i="1" a="1"/>
  <c r="AK7" i="1" s="1"/>
  <c r="AE7" i="1" a="1"/>
  <c r="AE7" i="1" s="1"/>
  <c r="AD7" i="1" a="1"/>
  <c r="AD7" i="1" s="1"/>
  <c r="X7" i="1" a="1"/>
  <c r="X7" i="1" s="1"/>
  <c r="W7" i="1" a="1"/>
  <c r="W7" i="1" s="1"/>
  <c r="Q7" i="1" a="1"/>
  <c r="Q7" i="1" s="1"/>
  <c r="P7" i="1" a="1"/>
  <c r="P7" i="1" s="1"/>
  <c r="J7" i="1" a="1"/>
  <c r="J7" i="1" s="1"/>
  <c r="I7" i="1" a="1"/>
  <c r="I7" i="1" s="1"/>
  <c r="C7" i="1" a="1"/>
  <c r="C7" i="1" s="1"/>
  <c r="Z17" i="2" a="1"/>
  <c r="Z17" i="2" s="1"/>
  <c r="V16" i="2" a="1"/>
  <c r="V16" i="2" s="1"/>
  <c r="Q25" i="2" a="1"/>
  <c r="Q25" i="2" s="1"/>
  <c r="B12" i="2" l="1"/>
  <c r="C12" i="2" s="1"/>
  <c r="B16" i="2"/>
  <c r="B15" i="2"/>
  <c r="B14" i="2"/>
  <c r="C14" i="2" s="1"/>
  <c r="B13" i="2"/>
  <c r="C13" i="2" s="1"/>
  <c r="B11" i="2"/>
  <c r="C11" i="2" s="1"/>
  <c r="B10" i="2"/>
  <c r="B8" i="2"/>
  <c r="C8" i="2" s="1"/>
  <c r="B7" i="2"/>
  <c r="C7" i="2" s="1"/>
  <c r="B4" i="2"/>
  <c r="C4" i="2" s="1"/>
  <c r="B3" i="2"/>
  <c r="C3" i="2" s="1"/>
  <c r="S3" i="2"/>
  <c r="S4" i="2"/>
  <c r="S5" i="2"/>
  <c r="S6" i="2"/>
  <c r="S7" i="2"/>
  <c r="S8" i="2"/>
  <c r="T8" i="2" s="1"/>
  <c r="S9" i="2"/>
  <c r="S10" i="2"/>
  <c r="S11" i="2"/>
  <c r="T11" i="2" s="1"/>
  <c r="S12" i="2"/>
  <c r="S13" i="2"/>
  <c r="S14" i="2"/>
  <c r="T14" i="2" s="1"/>
  <c r="S15" i="2"/>
  <c r="S16" i="2"/>
  <c r="S17" i="2"/>
  <c r="S18" i="2"/>
  <c r="S19" i="2"/>
  <c r="S20" i="2"/>
  <c r="S21" i="2"/>
  <c r="T3" i="2"/>
  <c r="T4" i="2"/>
  <c r="C5" i="2"/>
  <c r="T5" i="2"/>
  <c r="C6" i="2"/>
  <c r="T6" i="2"/>
  <c r="T7" i="2"/>
  <c r="C9" i="2"/>
  <c r="T9" i="2"/>
  <c r="T10" i="2"/>
  <c r="T12" i="2"/>
  <c r="T13" i="2"/>
  <c r="C3" i="1"/>
  <c r="B51" i="1"/>
  <c r="GK7" i="3" l="1" a="1"/>
  <c r="GK7" i="3" s="1"/>
  <c r="IZ7" i="3" a="1"/>
  <c r="IZ7" i="3" s="1"/>
  <c r="HT7" i="3" a="1"/>
  <c r="HT7" i="3" s="1"/>
  <c r="EN7" i="3" a="1"/>
  <c r="EN7" i="3" s="1"/>
  <c r="AH7" i="3" a="1"/>
  <c r="AH7" i="3" s="1"/>
  <c r="GK7" i="1" a="1"/>
  <c r="GK7" i="1" s="1"/>
  <c r="AA7" i="3" a="1"/>
  <c r="AA7" i="3" s="1"/>
  <c r="FZ7" i="1" a="1"/>
  <c r="FZ7" i="1" s="1"/>
  <c r="FE7" i="1" a="1"/>
  <c r="FE7" i="1" s="1"/>
  <c r="FZ7" i="3" a="1"/>
  <c r="FZ7" i="3" s="1"/>
  <c r="FE7" i="3" a="1"/>
  <c r="FE7" i="3" s="1"/>
  <c r="EX7" i="3" a="1"/>
  <c r="EX7" i="3" s="1"/>
  <c r="HT7" i="1" a="1"/>
  <c r="HT7" i="1" s="1"/>
  <c r="IZ7" i="1" a="1"/>
  <c r="IZ7" i="1" s="1"/>
  <c r="EX7" i="1" a="1"/>
  <c r="EX7" i="1" s="1"/>
  <c r="EN7" i="1" a="1"/>
  <c r="EN7" i="1" s="1"/>
  <c r="AH7" i="1" a="1"/>
  <c r="AH7" i="1" s="1"/>
  <c r="AA7" i="1" a="1"/>
  <c r="AA7" i="1" s="1"/>
  <c r="C10" i="2"/>
  <c r="T21" i="2"/>
  <c r="JJ15" i="1"/>
  <c r="KO15" i="1"/>
  <c r="IE15" i="1"/>
  <c r="BF15" i="1"/>
  <c r="D51" i="1"/>
  <c r="E51" i="1"/>
  <c r="F51" i="1"/>
  <c r="G51" i="1"/>
  <c r="H51" i="1"/>
  <c r="I51" i="1"/>
  <c r="J51" i="1"/>
  <c r="K51" i="1"/>
  <c r="L51" i="1"/>
  <c r="M51" i="1"/>
  <c r="N51" i="1"/>
  <c r="O51" i="1"/>
  <c r="P51" i="1"/>
  <c r="Q51" i="1"/>
  <c r="R51" i="1"/>
  <c r="S51" i="1"/>
  <c r="T51" i="1"/>
  <c r="U51" i="1"/>
  <c r="V51" i="1"/>
  <c r="W51" i="1"/>
  <c r="X51" i="1"/>
  <c r="Y51" i="1"/>
  <c r="Z51" i="1"/>
  <c r="AA51" i="1"/>
  <c r="AB51" i="1"/>
  <c r="AC51" i="1"/>
  <c r="AD51" i="1"/>
  <c r="AE51" i="1"/>
  <c r="AF51" i="1"/>
  <c r="AG51" i="1"/>
  <c r="AH51" i="1"/>
  <c r="AI51" i="1"/>
  <c r="AJ51" i="1"/>
  <c r="AK51" i="1"/>
  <c r="AL51" i="1"/>
  <c r="AM51" i="1"/>
  <c r="AN51" i="1"/>
  <c r="AO51" i="1"/>
  <c r="AP51" i="1"/>
  <c r="AQ51" i="1"/>
  <c r="AR51" i="1"/>
  <c r="AS51" i="1"/>
  <c r="AT51" i="1"/>
  <c r="AU51" i="1"/>
  <c r="AV51" i="1"/>
  <c r="AW51" i="1"/>
  <c r="AX51" i="1"/>
  <c r="AY51" i="1"/>
  <c r="AZ51" i="1"/>
  <c r="BA51" i="1"/>
  <c r="BB51" i="1"/>
  <c r="BC51" i="1"/>
  <c r="BD51" i="1"/>
  <c r="BE51" i="1"/>
  <c r="BF51" i="1"/>
  <c r="BG51" i="1"/>
  <c r="BH51" i="1"/>
  <c r="BI51" i="1"/>
  <c r="BJ51" i="1"/>
  <c r="BK51" i="1"/>
  <c r="BL51" i="1"/>
  <c r="BM51" i="1"/>
  <c r="BN51" i="1"/>
  <c r="BO51" i="1"/>
  <c r="BP51" i="1"/>
  <c r="BQ51" i="1"/>
  <c r="BR51" i="1"/>
  <c r="BS51" i="1"/>
  <c r="BT51" i="1"/>
  <c r="BU51" i="1"/>
  <c r="BV51" i="1"/>
  <c r="BW51" i="1"/>
  <c r="BX51" i="1"/>
  <c r="BY51" i="1"/>
  <c r="BZ51" i="1"/>
  <c r="CA51" i="1"/>
  <c r="CB51" i="1"/>
  <c r="CC51" i="1"/>
  <c r="CD51" i="1"/>
  <c r="CE51" i="1"/>
  <c r="CF51" i="1"/>
  <c r="CG51" i="1"/>
  <c r="CH51" i="1"/>
  <c r="CI51" i="1"/>
  <c r="CJ51" i="1"/>
  <c r="CK51" i="1"/>
  <c r="CL51" i="1"/>
  <c r="CM51" i="1"/>
  <c r="CN51" i="1"/>
  <c r="CO51" i="1"/>
  <c r="CP51" i="1"/>
  <c r="CQ51" i="1"/>
  <c r="CR51" i="1"/>
  <c r="CS51" i="1"/>
  <c r="CT51" i="1"/>
  <c r="CU51" i="1"/>
  <c r="CV51" i="1"/>
  <c r="CW51" i="1"/>
  <c r="CX51" i="1"/>
  <c r="CY51" i="1"/>
  <c r="CZ51" i="1"/>
  <c r="DA51" i="1"/>
  <c r="DB51" i="1"/>
  <c r="DC51" i="1"/>
  <c r="DD51" i="1"/>
  <c r="DE51" i="1"/>
  <c r="DF51" i="1"/>
  <c r="DG51" i="1"/>
  <c r="DH51" i="1"/>
  <c r="DI51" i="1"/>
  <c r="DJ51" i="1"/>
  <c r="DK51" i="1"/>
  <c r="DL51" i="1"/>
  <c r="DM51" i="1"/>
  <c r="DN51" i="1"/>
  <c r="DO51" i="1"/>
  <c r="DP51" i="1"/>
  <c r="DQ51" i="1"/>
  <c r="DR51" i="1"/>
  <c r="DS51" i="1"/>
  <c r="DT51" i="1"/>
  <c r="DU51" i="1"/>
  <c r="DV51" i="1"/>
  <c r="DW51" i="1"/>
  <c r="DX51" i="1"/>
  <c r="DY51" i="1"/>
  <c r="DZ51" i="1"/>
  <c r="EA51" i="1"/>
  <c r="EB51" i="1"/>
  <c r="EC51" i="1"/>
  <c r="ED51" i="1"/>
  <c r="EE51" i="1"/>
  <c r="EF51" i="1"/>
  <c r="EG51" i="1"/>
  <c r="EH51" i="1"/>
  <c r="EI51" i="1"/>
  <c r="EJ51" i="1"/>
  <c r="EK51" i="1"/>
  <c r="EL51" i="1"/>
  <c r="EM51" i="1"/>
  <c r="EN51" i="1"/>
  <c r="EO51" i="1"/>
  <c r="EP51" i="1"/>
  <c r="EQ51" i="1"/>
  <c r="ER51" i="1"/>
  <c r="ES51" i="1"/>
  <c r="ET51" i="1"/>
  <c r="EU51" i="1"/>
  <c r="EV51" i="1"/>
  <c r="EW51" i="1"/>
  <c r="EX51" i="1"/>
  <c r="EY51" i="1"/>
  <c r="EZ51" i="1"/>
  <c r="FA51" i="1"/>
  <c r="FB51" i="1"/>
  <c r="FC51" i="1"/>
  <c r="FD51" i="1"/>
  <c r="FE51" i="1"/>
  <c r="FF51" i="1"/>
  <c r="FG51" i="1"/>
  <c r="FH51" i="1"/>
  <c r="FI51" i="1"/>
  <c r="FJ51" i="1"/>
  <c r="FK51" i="1"/>
  <c r="FL51" i="1"/>
  <c r="FM51" i="1"/>
  <c r="FN51" i="1"/>
  <c r="FO51" i="1"/>
  <c r="FP51" i="1"/>
  <c r="FQ51" i="1"/>
  <c r="FR51" i="1"/>
  <c r="FS51" i="1"/>
  <c r="FT51" i="1"/>
  <c r="FU51" i="1"/>
  <c r="FV51" i="1"/>
  <c r="FW51" i="1"/>
  <c r="FX51" i="1"/>
  <c r="FY51" i="1"/>
  <c r="FZ51" i="1"/>
  <c r="GA51" i="1"/>
  <c r="GB51" i="1"/>
  <c r="GC51" i="1"/>
  <c r="GD51" i="1"/>
  <c r="GE51" i="1"/>
  <c r="GF51" i="1"/>
  <c r="GG51" i="1"/>
  <c r="GH51" i="1"/>
  <c r="GI51" i="1"/>
  <c r="GJ51" i="1"/>
  <c r="GK51" i="1"/>
  <c r="GL51" i="1"/>
  <c r="GM51" i="1"/>
  <c r="GN51" i="1"/>
  <c r="GO51" i="1"/>
  <c r="GP51" i="1"/>
  <c r="GQ51" i="1"/>
  <c r="GR51" i="1"/>
  <c r="GS51" i="1"/>
  <c r="GT51" i="1"/>
  <c r="GU51" i="1"/>
  <c r="GV51" i="1"/>
  <c r="GW51" i="1"/>
  <c r="GX51" i="1"/>
  <c r="GY51" i="1"/>
  <c r="GZ51" i="1"/>
  <c r="HA51" i="1"/>
  <c r="HB51" i="1"/>
  <c r="HC51" i="1"/>
  <c r="HD51" i="1"/>
  <c r="HE51" i="1"/>
  <c r="HF51" i="1"/>
  <c r="HG51" i="1"/>
  <c r="HH51" i="1"/>
  <c r="HI51" i="1"/>
  <c r="HJ51" i="1"/>
  <c r="HK51" i="1"/>
  <c r="HL51" i="1"/>
  <c r="HM51" i="1"/>
  <c r="HN51" i="1"/>
  <c r="HO51" i="1"/>
  <c r="HP51" i="1"/>
  <c r="HQ51" i="1"/>
  <c r="HR51" i="1"/>
  <c r="HS51" i="1"/>
  <c r="HT51" i="1"/>
  <c r="HU51" i="1"/>
  <c r="HV51" i="1"/>
  <c r="HW51" i="1"/>
  <c r="HX51" i="1"/>
  <c r="HY51" i="1"/>
  <c r="HZ51" i="1"/>
  <c r="IA51" i="1"/>
  <c r="IB51" i="1"/>
  <c r="IC51" i="1"/>
  <c r="ID51" i="1"/>
  <c r="IE51" i="1"/>
  <c r="IF51" i="1"/>
  <c r="IG51" i="1"/>
  <c r="IH51" i="1"/>
  <c r="II51" i="1"/>
  <c r="IJ51" i="1"/>
  <c r="IK51" i="1"/>
  <c r="IL51" i="1"/>
  <c r="IM51" i="1"/>
  <c r="IN51" i="1"/>
  <c r="IO51" i="1"/>
  <c r="IP51" i="1"/>
  <c r="IQ51" i="1"/>
  <c r="IR51" i="1"/>
  <c r="IS51" i="1"/>
  <c r="IT51" i="1"/>
  <c r="IU51" i="1"/>
  <c r="IV51" i="1"/>
  <c r="IW51" i="1"/>
  <c r="IX51" i="1"/>
  <c r="IY51" i="1"/>
  <c r="IZ51" i="1"/>
  <c r="JA51" i="1"/>
  <c r="JB51" i="1"/>
  <c r="JC51" i="1"/>
  <c r="JD51" i="1"/>
  <c r="JE51" i="1"/>
  <c r="JF51" i="1"/>
  <c r="JG51" i="1"/>
  <c r="JH51" i="1"/>
  <c r="JI51" i="1"/>
  <c r="JJ51" i="1"/>
  <c r="JK51" i="1"/>
  <c r="JL51" i="1"/>
  <c r="JM51" i="1"/>
  <c r="JN51" i="1"/>
  <c r="JO51" i="1"/>
  <c r="JP51" i="1"/>
  <c r="JQ51" i="1"/>
  <c r="JR51" i="1"/>
  <c r="JS51" i="1"/>
  <c r="JT51" i="1"/>
  <c r="JU51" i="1"/>
  <c r="JV51" i="1"/>
  <c r="JW51" i="1"/>
  <c r="JX51" i="1"/>
  <c r="JY51" i="1"/>
  <c r="JZ51" i="1"/>
  <c r="KA51" i="1"/>
  <c r="KB51" i="1"/>
  <c r="KC51" i="1"/>
  <c r="KD51" i="1"/>
  <c r="KE51" i="1"/>
  <c r="KF51" i="1"/>
  <c r="KG51" i="1"/>
  <c r="KH51" i="1"/>
  <c r="KI51" i="1"/>
  <c r="KJ51" i="1"/>
  <c r="KK51" i="1"/>
  <c r="KL51" i="1"/>
  <c r="KM51" i="1"/>
  <c r="KN51" i="1"/>
  <c r="KO51" i="1"/>
  <c r="KP51" i="1"/>
  <c r="KQ51" i="1"/>
  <c r="KR51" i="1"/>
  <c r="KS51" i="1"/>
  <c r="KT51" i="1"/>
  <c r="KU51" i="1"/>
  <c r="KV51" i="1"/>
  <c r="KW51" i="1"/>
  <c r="KX51" i="1"/>
  <c r="KY51" i="1"/>
  <c r="KZ51" i="1"/>
  <c r="LA51" i="1"/>
  <c r="LB51" i="1"/>
  <c r="LC51" i="1"/>
  <c r="LD51" i="1"/>
  <c r="LE51" i="1"/>
  <c r="LF51" i="1"/>
  <c r="LG51" i="1"/>
  <c r="LH51" i="1"/>
  <c r="LI51" i="1"/>
  <c r="LJ51" i="1"/>
  <c r="LK51" i="1"/>
  <c r="LL51" i="1"/>
  <c r="LM51" i="1"/>
  <c r="LN51" i="1"/>
  <c r="LO51" i="1"/>
  <c r="LP51" i="1"/>
  <c r="LQ51" i="1"/>
  <c r="LR51" i="1"/>
  <c r="LS51" i="1"/>
  <c r="LT51" i="1"/>
  <c r="LU51" i="1"/>
  <c r="LV51" i="1"/>
  <c r="LW51" i="1"/>
  <c r="LX51" i="1"/>
  <c r="LY51" i="1"/>
  <c r="LZ51" i="1"/>
  <c r="MA51" i="1"/>
  <c r="MB51" i="1"/>
  <c r="MC51" i="1"/>
  <c r="MD51" i="1"/>
  <c r="ME51" i="1"/>
  <c r="MF51" i="1"/>
  <c r="MG51" i="1"/>
  <c r="MH51" i="1"/>
  <c r="MI51" i="1"/>
  <c r="MJ51" i="1"/>
  <c r="MK51" i="1"/>
  <c r="ML51" i="1"/>
  <c r="MM51" i="1"/>
  <c r="MN51" i="1"/>
  <c r="MO51" i="1"/>
  <c r="MP51" i="1"/>
  <c r="MQ51" i="1"/>
  <c r="MR51" i="1"/>
  <c r="MS51" i="1"/>
  <c r="MT51" i="1"/>
  <c r="MU51" i="1"/>
  <c r="MV51" i="1"/>
  <c r="MW51" i="1"/>
  <c r="MX51" i="1"/>
  <c r="MY51" i="1"/>
  <c r="MZ51" i="1"/>
  <c r="NA51" i="1"/>
  <c r="NB51" i="1"/>
  <c r="NC51" i="1"/>
  <c r="ND51" i="1"/>
  <c r="NE51" i="1"/>
  <c r="NF51" i="1"/>
  <c r="NG51" i="1"/>
  <c r="NH51" i="1"/>
  <c r="NI51" i="1"/>
  <c r="NJ51" i="1"/>
  <c r="NK51" i="1"/>
  <c r="NL51" i="1"/>
  <c r="NM51" i="1"/>
  <c r="NN51" i="1"/>
  <c r="NO51" i="1"/>
  <c r="NP51" i="1"/>
  <c r="NQ51" i="1"/>
  <c r="NR51" i="1"/>
  <c r="NS51" i="1"/>
  <c r="NT51" i="1"/>
  <c r="NU51" i="1"/>
  <c r="NV51" i="1"/>
  <c r="NW51" i="1"/>
  <c r="NX51" i="1"/>
  <c r="NY51" i="1"/>
  <c r="NZ51" i="1"/>
  <c r="OA51" i="1"/>
  <c r="OB51" i="1"/>
  <c r="OC51" i="1"/>
  <c r="OD51" i="1"/>
  <c r="OE51" i="1"/>
  <c r="OF51" i="1"/>
  <c r="OG51" i="1"/>
  <c r="OH51" i="1"/>
  <c r="C51" i="1"/>
  <c r="OH10" i="1" l="1"/>
  <c r="OG10" i="1"/>
  <c r="OF10" i="1"/>
  <c r="OE10" i="1"/>
  <c r="OD10" i="1"/>
  <c r="OC10" i="1"/>
  <c r="OB10" i="1"/>
  <c r="OA10" i="1"/>
  <c r="NZ10" i="1"/>
  <c r="NY10" i="1"/>
  <c r="NX10" i="1"/>
  <c r="NW10" i="1"/>
  <c r="NV10" i="1"/>
  <c r="NU10" i="1"/>
  <c r="NT10" i="1"/>
  <c r="NS10" i="1"/>
  <c r="NR10" i="1"/>
  <c r="NQ10" i="1"/>
  <c r="NP10" i="1"/>
  <c r="NO10" i="1"/>
  <c r="NN10" i="1"/>
  <c r="NM10" i="1"/>
  <c r="NL10" i="1"/>
  <c r="NK10" i="1"/>
  <c r="NJ10" i="1"/>
  <c r="NI10" i="1"/>
  <c r="NH10" i="1"/>
  <c r="NG10" i="1"/>
  <c r="NF10" i="1"/>
  <c r="NE10" i="1"/>
  <c r="ND10" i="1"/>
  <c r="NC10" i="1"/>
  <c r="NB10" i="1"/>
  <c r="NA10" i="1"/>
  <c r="MZ10" i="1"/>
  <c r="MY10" i="1"/>
  <c r="MX10" i="1"/>
  <c r="MW10" i="1"/>
  <c r="MV10" i="1"/>
  <c r="MU10" i="1"/>
  <c r="MT10" i="1"/>
  <c r="MS10" i="1"/>
  <c r="MR10" i="1"/>
  <c r="MQ10" i="1"/>
  <c r="MP10" i="1"/>
  <c r="MO10" i="1"/>
  <c r="MN10" i="1"/>
  <c r="MM10" i="1"/>
  <c r="ML10" i="1"/>
  <c r="MK10" i="1"/>
  <c r="MJ10" i="1"/>
  <c r="MI10" i="1"/>
  <c r="MH10" i="1"/>
  <c r="MG10" i="1"/>
  <c r="MF10" i="1"/>
  <c r="ME10" i="1"/>
  <c r="MD10" i="1"/>
  <c r="MC10" i="1"/>
  <c r="MB10" i="1"/>
  <c r="MA10" i="1"/>
  <c r="LZ10" i="1"/>
  <c r="LY10" i="1"/>
  <c r="LX10" i="1"/>
  <c r="LW10" i="1"/>
  <c r="LV10" i="1"/>
  <c r="LU10" i="1"/>
  <c r="LT10" i="1"/>
  <c r="LS10" i="1"/>
  <c r="LR10" i="1"/>
  <c r="LQ10" i="1"/>
  <c r="LP10" i="1"/>
  <c r="LO10" i="1"/>
  <c r="LN10" i="1"/>
  <c r="LM10" i="1"/>
  <c r="LL10" i="1"/>
  <c r="LK10" i="1"/>
  <c r="LJ10" i="1"/>
  <c r="LI10" i="1"/>
  <c r="LH10" i="1"/>
  <c r="LG10" i="1"/>
  <c r="LF10" i="1"/>
  <c r="LE10" i="1"/>
  <c r="LD10" i="1"/>
  <c r="LC10" i="1"/>
  <c r="LB10" i="1"/>
  <c r="LA10" i="1"/>
  <c r="KZ10" i="1"/>
  <c r="KY10" i="1"/>
  <c r="KX10" i="1"/>
  <c r="KW10" i="1"/>
  <c r="KV10" i="1"/>
  <c r="KU10" i="1"/>
  <c r="KT10" i="1"/>
  <c r="KS10" i="1"/>
  <c r="KR10" i="1"/>
  <c r="KQ10" i="1"/>
  <c r="KP10" i="1"/>
  <c r="KO10" i="1"/>
  <c r="KN10" i="1"/>
  <c r="KM10" i="1"/>
  <c r="KL10" i="1"/>
  <c r="KK10" i="1"/>
  <c r="KJ10" i="1"/>
  <c r="KI10" i="1"/>
  <c r="KH10" i="1"/>
  <c r="KG10" i="1"/>
  <c r="KF10" i="1"/>
  <c r="KE10" i="1"/>
  <c r="KD10" i="1"/>
  <c r="KC10" i="1"/>
  <c r="KB10" i="1"/>
  <c r="KA10" i="1"/>
  <c r="JZ10" i="1"/>
  <c r="JY10" i="1"/>
  <c r="JX10" i="1"/>
  <c r="JW10" i="1"/>
  <c r="JV10" i="1"/>
  <c r="JU10" i="1"/>
  <c r="JT10" i="1"/>
  <c r="JS10" i="1"/>
  <c r="JR10" i="1"/>
  <c r="JQ10" i="1"/>
  <c r="JP10" i="1"/>
  <c r="JO10" i="1"/>
  <c r="JN10" i="1"/>
  <c r="JM10" i="1"/>
  <c r="JL10" i="1"/>
  <c r="JK10" i="1"/>
  <c r="JJ10" i="1"/>
  <c r="JI10" i="1"/>
  <c r="JH10" i="1"/>
  <c r="JG10" i="1"/>
  <c r="JF10" i="1"/>
  <c r="JE10" i="1"/>
  <c r="JD10" i="1"/>
  <c r="JC10" i="1"/>
  <c r="JB10" i="1"/>
  <c r="JA10" i="1"/>
  <c r="IZ10" i="1"/>
  <c r="IY10" i="1"/>
  <c r="IX10" i="1"/>
  <c r="IW10" i="1"/>
  <c r="IV10" i="1"/>
  <c r="IU10" i="1"/>
  <c r="IT10" i="1"/>
  <c r="IS10" i="1"/>
  <c r="IR10" i="1"/>
  <c r="IQ10" i="1"/>
  <c r="IP10" i="1"/>
  <c r="IO10" i="1"/>
  <c r="IN10" i="1"/>
  <c r="IM10" i="1"/>
  <c r="IL10" i="1"/>
  <c r="IK10" i="1"/>
  <c r="IJ10" i="1"/>
  <c r="II10" i="1"/>
  <c r="IH10" i="1"/>
  <c r="IG10" i="1"/>
  <c r="IF10" i="1"/>
  <c r="IE10" i="1"/>
  <c r="ID10" i="1"/>
  <c r="IC10" i="1"/>
  <c r="IB10" i="1"/>
  <c r="IA10" i="1"/>
  <c r="HZ10" i="1"/>
  <c r="HY10" i="1"/>
  <c r="HX10" i="1"/>
  <c r="HW10" i="1"/>
  <c r="HV10" i="1"/>
  <c r="HU10" i="1"/>
  <c r="HT10" i="1"/>
  <c r="HS10" i="1"/>
  <c r="HR10" i="1"/>
  <c r="HQ10" i="1"/>
  <c r="HP10" i="1"/>
  <c r="HO10" i="1"/>
  <c r="HN10" i="1"/>
  <c r="HM10" i="1"/>
  <c r="HL10" i="1"/>
  <c r="HK10" i="1"/>
  <c r="HJ10" i="1"/>
  <c r="HI10" i="1"/>
  <c r="HH10" i="1"/>
  <c r="HG10" i="1"/>
  <c r="HF10" i="1"/>
  <c r="HE10" i="1"/>
  <c r="HD10" i="1"/>
  <c r="HC10" i="1"/>
  <c r="HB10" i="1"/>
  <c r="HA10" i="1"/>
  <c r="GZ10" i="1"/>
  <c r="GY10" i="1"/>
  <c r="GX10" i="1"/>
  <c r="GW10" i="1"/>
  <c r="GV10" i="1"/>
  <c r="GU10" i="1"/>
  <c r="GT10" i="1"/>
  <c r="GS10" i="1"/>
  <c r="GR10" i="1"/>
  <c r="GQ10" i="1"/>
  <c r="GP10" i="1"/>
  <c r="GO10" i="1"/>
  <c r="GN10" i="1"/>
  <c r="GM10" i="1"/>
  <c r="GL10" i="1"/>
  <c r="GK10" i="1"/>
  <c r="GJ10" i="1"/>
  <c r="GI10" i="1"/>
  <c r="GH10" i="1"/>
  <c r="GG10" i="1"/>
  <c r="GF10" i="1"/>
  <c r="GE10" i="1"/>
  <c r="GD10" i="1"/>
  <c r="GC10" i="1"/>
  <c r="GB10" i="1"/>
  <c r="GA10" i="1"/>
  <c r="FZ10" i="1"/>
  <c r="FY10" i="1"/>
  <c r="FX10" i="1"/>
  <c r="FW10" i="1"/>
  <c r="FV10" i="1"/>
  <c r="FU10" i="1"/>
  <c r="FT10" i="1"/>
  <c r="FS10" i="1"/>
  <c r="FR10" i="1"/>
  <c r="FQ10" i="1"/>
  <c r="FP10" i="1"/>
  <c r="FO10" i="1"/>
  <c r="FN10" i="1"/>
  <c r="FM10" i="1"/>
  <c r="FL10" i="1"/>
  <c r="FK10" i="1"/>
  <c r="FJ10" i="1"/>
  <c r="FI10" i="1"/>
  <c r="FH10" i="1"/>
  <c r="FG10" i="1"/>
  <c r="FF10" i="1"/>
  <c r="FE10" i="1"/>
  <c r="FD10" i="1"/>
  <c r="FC10" i="1"/>
  <c r="FB10" i="1"/>
  <c r="FA10" i="1"/>
  <c r="EZ10" i="1"/>
  <c r="EY10" i="1"/>
  <c r="EX10" i="1"/>
  <c r="EW10" i="1"/>
  <c r="EV10" i="1"/>
  <c r="EU10" i="1"/>
  <c r="ET10" i="1"/>
  <c r="ES10" i="1"/>
  <c r="ER10" i="1"/>
  <c r="EQ10" i="1"/>
  <c r="EP10" i="1"/>
  <c r="EO10" i="1"/>
  <c r="EN10" i="1"/>
  <c r="EM10" i="1"/>
  <c r="EL10" i="1"/>
  <c r="EK10" i="1"/>
  <c r="EJ10" i="1"/>
  <c r="EI10" i="1"/>
  <c r="EH10" i="1"/>
  <c r="EG10" i="1"/>
  <c r="EF10" i="1"/>
  <c r="EE10" i="1"/>
  <c r="ED10" i="1"/>
  <c r="EC10" i="1"/>
  <c r="EB10" i="1"/>
  <c r="EA10" i="1"/>
  <c r="DZ10" i="1"/>
  <c r="DY10" i="1"/>
  <c r="DX10" i="1"/>
  <c r="DW10" i="1"/>
  <c r="DV10" i="1"/>
  <c r="DU10" i="1"/>
  <c r="DT10" i="1"/>
  <c r="DS10" i="1"/>
  <c r="DR10" i="1"/>
  <c r="DQ10" i="1"/>
  <c r="DP10" i="1"/>
  <c r="DO10" i="1"/>
  <c r="DN10" i="1"/>
  <c r="DM10" i="1"/>
  <c r="DL10" i="1"/>
  <c r="DK10" i="1"/>
  <c r="DJ10" i="1"/>
  <c r="DI10" i="1"/>
  <c r="DH10" i="1"/>
  <c r="DG10" i="1"/>
  <c r="DF10" i="1"/>
  <c r="DE10" i="1"/>
  <c r="DD10" i="1"/>
  <c r="DC10" i="1"/>
  <c r="DB10" i="1"/>
  <c r="DA10" i="1"/>
  <c r="CZ10" i="1"/>
  <c r="CY10" i="1"/>
  <c r="CX10" i="1"/>
  <c r="CW10" i="1"/>
  <c r="CV10" i="1"/>
  <c r="CU10" i="1"/>
  <c r="CT10" i="1"/>
  <c r="CS10" i="1"/>
  <c r="CR10" i="1"/>
  <c r="CQ10" i="1"/>
  <c r="CP10" i="1"/>
  <c r="CO10" i="1"/>
  <c r="CN10" i="1"/>
  <c r="CM10" i="1"/>
  <c r="CL10" i="1"/>
  <c r="CK10" i="1"/>
  <c r="CJ10" i="1"/>
  <c r="CI10" i="1"/>
  <c r="CH10" i="1"/>
  <c r="CG10" i="1"/>
  <c r="CF10" i="1"/>
  <c r="CE10" i="1"/>
  <c r="CD10" i="1"/>
  <c r="CC10" i="1"/>
  <c r="CB10" i="1"/>
  <c r="CA10" i="1"/>
  <c r="BZ10" i="1"/>
  <c r="BY10" i="1"/>
  <c r="BX10" i="1"/>
  <c r="BW10" i="1"/>
  <c r="BV10" i="1"/>
  <c r="BU10" i="1"/>
  <c r="BT10" i="1"/>
  <c r="BS10" i="1"/>
  <c r="BR10" i="1"/>
  <c r="BQ10" i="1"/>
  <c r="BP10" i="1"/>
  <c r="BO10" i="1"/>
  <c r="BN10" i="1"/>
  <c r="BM10" i="1"/>
  <c r="BL10" i="1"/>
  <c r="BK10" i="1"/>
  <c r="BJ10" i="1"/>
  <c r="BI10" i="1"/>
  <c r="BH10" i="1"/>
  <c r="BG10" i="1"/>
  <c r="BF10" i="1"/>
  <c r="BE10" i="1"/>
  <c r="BD10" i="1"/>
  <c r="BC10" i="1"/>
  <c r="BB10" i="1"/>
  <c r="BA10" i="1"/>
  <c r="AZ10" i="1"/>
  <c r="AY10" i="1"/>
  <c r="AX10" i="1"/>
  <c r="AW10" i="1"/>
  <c r="AV10" i="1"/>
  <c r="AU10" i="1"/>
  <c r="AT10" i="1"/>
  <c r="AS10" i="1"/>
  <c r="AR10" i="1"/>
  <c r="AQ10" i="1"/>
  <c r="AP10" i="1"/>
  <c r="AO10" i="1"/>
  <c r="AN10" i="1"/>
  <c r="AM10" i="1"/>
  <c r="AL10" i="1"/>
  <c r="AK10" i="1"/>
  <c r="AJ10" i="1"/>
  <c r="AI10" i="1"/>
  <c r="AH10" i="1"/>
  <c r="B42" i="2" l="1"/>
  <c r="C42" i="2" s="1"/>
  <c r="B41" i="2"/>
  <c r="C41" i="2" s="1"/>
  <c r="B40" i="2"/>
  <c r="C40" i="2" s="1"/>
  <c r="B39" i="2"/>
  <c r="C39" i="2" s="1"/>
  <c r="B38" i="2"/>
  <c r="C38" i="2" s="1"/>
  <c r="B37" i="2"/>
  <c r="C37" i="2" s="1"/>
  <c r="B35" i="2"/>
  <c r="C35" i="2" s="1"/>
  <c r="B34" i="2"/>
  <c r="C34" i="2" s="1"/>
  <c r="B33" i="2"/>
  <c r="C33" i="2" s="1"/>
  <c r="B32" i="2"/>
  <c r="C32" i="2" s="1"/>
  <c r="B31" i="2"/>
  <c r="C31" i="2" s="1"/>
  <c r="B30" i="2"/>
  <c r="C30" i="2" s="1"/>
  <c r="C15" i="2"/>
  <c r="C16" i="2"/>
  <c r="B17" i="2"/>
  <c r="C17" i="2" s="1"/>
  <c r="B18" i="2"/>
  <c r="B23" i="2" s="1"/>
  <c r="C23" i="2" s="1"/>
  <c r="B19" i="2"/>
  <c r="C19" i="2" s="1"/>
  <c r="B20" i="2"/>
  <c r="C20" i="2" s="1"/>
  <c r="B21" i="2"/>
  <c r="C21" i="2" s="1"/>
  <c r="C22" i="2"/>
  <c r="B24" i="2"/>
  <c r="C24" i="2" s="1"/>
  <c r="B25" i="2"/>
  <c r="C25" i="2" s="1"/>
  <c r="B26" i="2"/>
  <c r="C26" i="2" s="1"/>
  <c r="B27" i="2"/>
  <c r="C27" i="2" s="1"/>
  <c r="B28" i="2"/>
  <c r="C28" i="2" s="1"/>
  <c r="B29" i="2"/>
  <c r="C29" i="2" s="1"/>
  <c r="D10" i="1"/>
  <c r="E10" i="1"/>
  <c r="F10" i="1"/>
  <c r="G10" i="1"/>
  <c r="H10" i="1"/>
  <c r="I10" i="1"/>
  <c r="J10" i="1"/>
  <c r="K10" i="1"/>
  <c r="L10" i="1"/>
  <c r="M10" i="1"/>
  <c r="N10" i="1"/>
  <c r="O10" i="1"/>
  <c r="P10" i="1"/>
  <c r="Q10" i="1"/>
  <c r="R10" i="1"/>
  <c r="S10" i="1"/>
  <c r="T10" i="1"/>
  <c r="U10" i="1"/>
  <c r="V10" i="1"/>
  <c r="W10" i="1"/>
  <c r="X10" i="1"/>
  <c r="Y10" i="1"/>
  <c r="Z10" i="1"/>
  <c r="AA10" i="1"/>
  <c r="AB10" i="1"/>
  <c r="AC10" i="1"/>
  <c r="AD10" i="1"/>
  <c r="AE10" i="1"/>
  <c r="AF10" i="1"/>
  <c r="AG10" i="1"/>
  <c r="C10" i="1"/>
  <c r="CK7" i="3" l="1" a="1"/>
  <c r="CK7" i="3" s="1"/>
  <c r="CD7" i="3" a="1"/>
  <c r="CD7" i="3" s="1"/>
  <c r="BR7" i="3" a="1"/>
  <c r="BR7" i="3" s="1"/>
  <c r="BK7" i="3" a="1"/>
  <c r="BK7" i="3" s="1"/>
  <c r="BD7" i="3" a="1"/>
  <c r="BD7" i="3" s="1"/>
  <c r="AW7" i="3" a="1"/>
  <c r="AW7" i="3" s="1"/>
  <c r="AB7" i="3" a="1"/>
  <c r="AB7" i="3" s="1"/>
  <c r="S7" i="3" a="1"/>
  <c r="S7" i="3" s="1"/>
  <c r="OC7" i="1" a="1"/>
  <c r="OC7" i="1" s="1"/>
  <c r="NU7" i="1" a="1"/>
  <c r="NU7" i="1" s="1"/>
  <c r="NL7" i="1" a="1"/>
  <c r="NL7" i="1" s="1"/>
  <c r="NA7" i="1" a="1"/>
  <c r="NA7" i="1" s="1"/>
  <c r="MP7" i="1" a="1"/>
  <c r="MP7" i="1" s="1"/>
  <c r="LW7" i="1" a="1"/>
  <c r="LW7" i="1" s="1"/>
  <c r="LK7" i="1" a="1"/>
  <c r="LK7" i="1" s="1"/>
  <c r="LD7" i="1" a="1"/>
  <c r="LD7" i="1" s="1"/>
  <c r="KW7" i="1" a="1"/>
  <c r="KW7" i="1" s="1"/>
  <c r="KO7" i="1" a="1"/>
  <c r="KO7" i="1" s="1"/>
  <c r="KE7" i="1" a="1"/>
  <c r="KE7" i="1" s="1"/>
  <c r="JQ7" i="1" a="1"/>
  <c r="JQ7" i="1" s="1"/>
  <c r="JG7" i="1" a="1"/>
  <c r="JG7" i="1" s="1"/>
  <c r="IV7" i="1" a="1"/>
  <c r="IV7" i="1" s="1"/>
  <c r="IA7" i="1" a="1"/>
  <c r="IA7" i="1" s="1"/>
  <c r="GT7" i="1" a="1"/>
  <c r="GT7" i="1" s="1"/>
  <c r="FJ7" i="1" a="1"/>
  <c r="FJ7" i="1" s="1"/>
  <c r="DL7" i="1" a="1"/>
  <c r="DL7" i="1" s="1"/>
  <c r="BP7" i="1" a="1"/>
  <c r="BP7" i="1" s="1"/>
  <c r="OH7" i="3" a="1"/>
  <c r="OH7" i="3" s="1"/>
  <c r="NT7" i="3" a="1"/>
  <c r="NT7" i="3" s="1"/>
  <c r="NO7" i="3" a="1"/>
  <c r="NO7" i="3" s="1"/>
  <c r="NF7" i="3" a="1"/>
  <c r="NF7" i="3" s="1"/>
  <c r="MW7" i="3" a="1"/>
  <c r="MW7" i="3" s="1"/>
  <c r="MR7" i="3" a="1"/>
  <c r="MR7" i="3" s="1"/>
  <c r="MF7" i="3" a="1"/>
  <c r="MF7" i="3" s="1"/>
  <c r="LX7" i="3" a="1"/>
  <c r="LX7" i="3" s="1"/>
  <c r="LR7" i="3" a="1"/>
  <c r="LR7" i="3" s="1"/>
  <c r="AI7" i="1" a="1"/>
  <c r="AI7" i="1" s="1"/>
  <c r="Z7" i="1" a="1"/>
  <c r="Z7" i="1" s="1"/>
  <c r="R7" i="1" a="1"/>
  <c r="R7" i="1" s="1"/>
  <c r="G7" i="1" a="1"/>
  <c r="G7" i="1" s="1"/>
  <c r="LI7" i="3" a="1"/>
  <c r="LI7" i="3" s="1"/>
  <c r="LC7" i="3" a="1"/>
  <c r="LC7" i="3" s="1"/>
  <c r="KZ7" i="3" a="1"/>
  <c r="KZ7" i="3" s="1"/>
  <c r="KW7" i="3" a="1"/>
  <c r="KW7" i="3" s="1"/>
  <c r="KU7" i="3" a="1"/>
  <c r="KU7" i="3" s="1"/>
  <c r="KO7" i="3" a="1"/>
  <c r="KO7" i="3" s="1"/>
  <c r="KL7" i="3" a="1"/>
  <c r="KL7" i="3" s="1"/>
  <c r="KI7" i="3" a="1"/>
  <c r="KI7" i="3" s="1"/>
  <c r="KH7" i="3" a="1"/>
  <c r="KH7" i="3" s="1"/>
  <c r="KE7" i="3" a="1"/>
  <c r="KE7" i="3" s="1"/>
  <c r="KB7" i="3" a="1"/>
  <c r="KB7" i="3" s="1"/>
  <c r="JZ7" i="3" a="1"/>
  <c r="JZ7" i="3" s="1"/>
  <c r="JS7" i="3" a="1"/>
  <c r="JS7" i="3" s="1"/>
  <c r="JQ7" i="3" a="1"/>
  <c r="JQ7" i="3" s="1"/>
  <c r="JN7" i="3" a="1"/>
  <c r="JN7" i="3" s="1"/>
  <c r="JK7" i="3" a="1"/>
  <c r="JK7" i="3" s="1"/>
  <c r="JD7" i="3" a="1"/>
  <c r="JD7" i="3" s="1"/>
  <c r="IX7" i="3" a="1"/>
  <c r="IX7" i="3" s="1"/>
  <c r="IR7" i="3" a="1"/>
  <c r="IR7" i="3" s="1"/>
  <c r="IO7" i="3" a="1"/>
  <c r="IO7" i="3" s="1"/>
  <c r="IL7" i="3" a="1"/>
  <c r="IL7" i="3" s="1"/>
  <c r="II7" i="3" a="1"/>
  <c r="II7" i="3" s="1"/>
  <c r="ID7" i="3" a="1"/>
  <c r="ID7" i="3" s="1"/>
  <c r="IA7" i="3" a="1"/>
  <c r="IA7" i="3" s="1"/>
  <c r="HX7" i="3" a="1"/>
  <c r="HX7" i="3" s="1"/>
  <c r="HV7" i="3" a="1"/>
  <c r="HV7" i="3" s="1"/>
  <c r="HG7" i="3" a="1"/>
  <c r="HG7" i="3" s="1"/>
  <c r="GN7" i="3" a="1"/>
  <c r="GN7" i="3" s="1"/>
  <c r="GE7" i="3" a="1"/>
  <c r="GE7" i="3" s="1"/>
  <c r="FK7" i="3" a="1"/>
  <c r="FK7" i="3" s="1"/>
  <c r="EW7" i="3" a="1"/>
  <c r="EW7" i="3" s="1"/>
  <c r="EG7" i="3" a="1"/>
  <c r="EG7" i="3" s="1"/>
  <c r="CZ7" i="3" a="1"/>
  <c r="CZ7" i="3" s="1"/>
  <c r="BW7" i="3" a="1"/>
  <c r="BW7" i="3" s="1"/>
  <c r="V7" i="3" a="1"/>
  <c r="V7" i="3" s="1"/>
  <c r="NN7" i="1" a="1"/>
  <c r="NN7" i="1" s="1"/>
  <c r="JU7" i="1" a="1"/>
  <c r="JU7" i="1" s="1"/>
  <c r="GV7" i="1" a="1"/>
  <c r="GV7" i="1" s="1"/>
  <c r="EO7" i="1" a="1"/>
  <c r="EO7" i="1" s="1"/>
  <c r="DN7" i="1" a="1"/>
  <c r="DN7" i="1" s="1"/>
  <c r="JU7" i="3" a="1"/>
  <c r="JU7" i="3" s="1"/>
  <c r="JE7" i="3" a="1"/>
  <c r="JE7" i="3" s="1"/>
  <c r="IC7" i="3" a="1"/>
  <c r="IC7" i="3" s="1"/>
  <c r="HF7" i="3" a="1"/>
  <c r="HF7" i="3" s="1"/>
  <c r="GO7" i="3" a="1"/>
  <c r="GO7" i="3" s="1"/>
  <c r="FY7" i="1" a="1"/>
  <c r="FY7" i="1" s="1"/>
  <c r="DI7" i="1" a="1"/>
  <c r="DI7" i="1" s="1"/>
  <c r="AW7" i="1" a="1"/>
  <c r="AW7" i="1" s="1"/>
  <c r="CN7" i="3" a="1"/>
  <c r="CN7" i="3" s="1"/>
  <c r="K7" i="3" a="1"/>
  <c r="K7" i="3" s="1"/>
  <c r="ML7" i="1" a="1"/>
  <c r="ML7" i="1" s="1"/>
  <c r="HH7" i="1" a="1"/>
  <c r="HH7" i="1" s="1"/>
  <c r="DH7" i="1" a="1"/>
  <c r="DH7" i="1" s="1"/>
  <c r="FQ7" i="3" a="1"/>
  <c r="FQ7" i="3" s="1"/>
  <c r="O7" i="3" a="1"/>
  <c r="O7" i="3" s="1"/>
  <c r="OC7" i="3" a="1"/>
  <c r="OC7" i="3" s="1"/>
  <c r="MJ7" i="3" a="1"/>
  <c r="MJ7" i="3" s="1"/>
  <c r="LB7" i="3" a="1"/>
  <c r="LB7" i="3" s="1"/>
  <c r="JR7" i="3" a="1"/>
  <c r="JR7" i="3" s="1"/>
  <c r="IK7" i="3" a="1"/>
  <c r="IK7" i="3" s="1"/>
  <c r="GZ7" i="3" a="1"/>
  <c r="GZ7" i="3" s="1"/>
  <c r="FM7" i="3" a="1"/>
  <c r="FM7" i="3" s="1"/>
  <c r="DZ7" i="3" a="1"/>
  <c r="DZ7" i="3" s="1"/>
  <c r="DB7" i="3" a="1"/>
  <c r="DB7" i="3" s="1"/>
  <c r="AM7" i="3" a="1"/>
  <c r="AM7" i="3" s="1"/>
  <c r="MW7" i="1" a="1"/>
  <c r="MW7" i="1" s="1"/>
  <c r="HV7" i="1" a="1"/>
  <c r="HV7" i="1" s="1"/>
  <c r="CJ7" i="1" a="1"/>
  <c r="CJ7" i="1" s="1"/>
  <c r="ME7" i="1" a="1"/>
  <c r="ME7" i="1" s="1"/>
  <c r="HW7" i="1" a="1"/>
  <c r="HW7" i="1" s="1"/>
  <c r="DU7" i="1" a="1"/>
  <c r="DU7" i="1" s="1"/>
  <c r="N7" i="3" a="1"/>
  <c r="N7" i="3" s="1"/>
  <c r="KZ7" i="1" a="1"/>
  <c r="KZ7" i="1" s="1"/>
  <c r="HJ7" i="1" a="1"/>
  <c r="HJ7" i="1" s="1"/>
  <c r="DP7" i="1" a="1"/>
  <c r="DP7" i="1" s="1"/>
  <c r="LA7" i="1" a="1"/>
  <c r="LA7" i="1" s="1"/>
  <c r="IO7" i="1" a="1"/>
  <c r="IO7" i="1" s="1"/>
  <c r="FJ7" i="3" a="1"/>
  <c r="FJ7" i="3" s="1"/>
  <c r="AP7" i="1" a="1"/>
  <c r="AP7" i="1" s="1"/>
  <c r="F7" i="1" a="1"/>
  <c r="F7" i="1" s="1"/>
  <c r="DF7" i="1" a="1"/>
  <c r="DF7" i="1" s="1"/>
  <c r="CZ7" i="1" a="1"/>
  <c r="CZ7" i="1" s="1"/>
  <c r="CQ7" i="1" a="1"/>
  <c r="CQ7" i="1" s="1"/>
  <c r="CK7" i="1" a="1"/>
  <c r="CK7" i="1" s="1"/>
  <c r="CD7" i="1" a="1"/>
  <c r="CD7" i="1" s="1"/>
  <c r="BC7" i="1" a="1"/>
  <c r="BC7" i="1" s="1"/>
  <c r="OG7" i="3" a="1"/>
  <c r="OG7" i="3" s="1"/>
  <c r="OB7" i="3" a="1"/>
  <c r="OB7" i="3" s="1"/>
  <c r="NY7" i="3" a="1"/>
  <c r="NY7" i="3" s="1"/>
  <c r="NV7" i="3" a="1"/>
  <c r="NV7" i="3" s="1"/>
  <c r="NU7" i="3" a="1"/>
  <c r="NU7" i="3" s="1"/>
  <c r="NS7" i="3" a="1"/>
  <c r="NS7" i="3" s="1"/>
  <c r="NN7" i="3" a="1"/>
  <c r="NN7" i="3" s="1"/>
  <c r="NK7" i="3" a="1"/>
  <c r="NK7" i="3" s="1"/>
  <c r="NH7" i="3" a="1"/>
  <c r="NH7" i="3" s="1"/>
  <c r="NG7" i="3" a="1"/>
  <c r="NG7" i="3" s="1"/>
  <c r="ND7" i="3" a="1"/>
  <c r="ND7" i="3" s="1"/>
  <c r="NA7" i="3" a="1"/>
  <c r="NA7" i="3" s="1"/>
  <c r="MX7" i="3" a="1"/>
  <c r="MX7" i="3" s="1"/>
  <c r="MQ7" i="3" a="1"/>
  <c r="MQ7" i="3" s="1"/>
  <c r="MK7" i="3" a="1"/>
  <c r="MK7" i="3" s="1"/>
  <c r="MC7" i="3" a="1"/>
  <c r="MC7" i="3" s="1"/>
  <c r="LW7" i="3" a="1"/>
  <c r="LW7" i="3" s="1"/>
  <c r="LQ7" i="3" a="1"/>
  <c r="LQ7" i="3" s="1"/>
  <c r="LN7" i="3" a="1"/>
  <c r="LN7" i="3" s="1"/>
  <c r="LK7" i="3" a="1"/>
  <c r="LK7" i="3" s="1"/>
  <c r="LJ7" i="3" a="1"/>
  <c r="LJ7" i="3" s="1"/>
  <c r="LG7" i="3" a="1"/>
  <c r="LG7" i="3" s="1"/>
  <c r="LD7" i="3" a="1"/>
  <c r="LD7" i="3" s="1"/>
  <c r="KG7" i="3" a="1"/>
  <c r="KG7" i="3" s="1"/>
  <c r="JG7" i="3" a="1"/>
  <c r="JG7" i="3" s="1"/>
  <c r="IJ7" i="3" a="1"/>
  <c r="IJ7" i="3" s="1"/>
  <c r="HH7" i="3" a="1"/>
  <c r="HH7" i="3" s="1"/>
  <c r="JL7" i="1" a="1"/>
  <c r="JL7" i="1" s="1"/>
  <c r="EW7" i="1" a="1"/>
  <c r="EW7" i="1" s="1"/>
  <c r="AT7" i="3" a="1"/>
  <c r="AT7" i="3" s="1"/>
  <c r="LY7" i="1" a="1"/>
  <c r="LY7" i="1" s="1"/>
  <c r="AQ7" i="1" a="1"/>
  <c r="AQ7" i="1" s="1"/>
  <c r="AG7" i="1" a="1"/>
  <c r="AG7" i="1" s="1"/>
  <c r="Y7" i="1" a="1"/>
  <c r="Y7" i="1" s="1"/>
  <c r="N7" i="1" a="1"/>
  <c r="N7" i="1" s="1"/>
  <c r="D7" i="1" a="1"/>
  <c r="D7" i="1" s="1"/>
  <c r="GL7" i="3" a="1"/>
  <c r="GL7" i="3" s="1"/>
  <c r="GF7" i="3" a="1"/>
  <c r="GF7" i="3" s="1"/>
  <c r="GA7" i="3" a="1"/>
  <c r="GA7" i="3" s="1"/>
  <c r="FY7" i="3" a="1"/>
  <c r="FY7" i="3" s="1"/>
  <c r="FS7" i="3" a="1"/>
  <c r="FS7" i="3" s="1"/>
  <c r="FL7" i="3" a="1"/>
  <c r="FL7" i="3" s="1"/>
  <c r="FI7" i="3" a="1"/>
  <c r="FI7" i="3" s="1"/>
  <c r="FC7" i="3" a="1"/>
  <c r="FC7" i="3" s="1"/>
  <c r="EY7" i="3" a="1"/>
  <c r="EY7" i="3" s="1"/>
  <c r="EU7" i="3" a="1"/>
  <c r="EU7" i="3" s="1"/>
  <c r="EP7" i="3" a="1"/>
  <c r="EP7" i="3" s="1"/>
  <c r="EK7" i="3" a="1"/>
  <c r="EK7" i="3" s="1"/>
  <c r="EI7" i="3" a="1"/>
  <c r="EI7" i="3" s="1"/>
  <c r="EC7" i="3" a="1"/>
  <c r="EC7" i="3" s="1"/>
  <c r="EA7" i="3" a="1"/>
  <c r="EA7" i="3" s="1"/>
  <c r="DW7" i="3" a="1"/>
  <c r="DW7" i="3" s="1"/>
  <c r="DS7" i="3" a="1"/>
  <c r="DS7" i="3" s="1"/>
  <c r="DO7" i="3" a="1"/>
  <c r="DO7" i="3" s="1"/>
  <c r="DF7" i="3" a="1"/>
  <c r="DF7" i="3" s="1"/>
  <c r="CY7" i="3" a="1"/>
  <c r="CY7" i="3" s="1"/>
  <c r="CT7" i="3" a="1"/>
  <c r="CT7" i="3" s="1"/>
  <c r="BY7" i="3" a="1"/>
  <c r="BY7" i="3" s="1"/>
  <c r="BV7" i="3" a="1"/>
  <c r="BV7" i="3" s="1"/>
  <c r="BP7" i="3" a="1"/>
  <c r="BP7" i="3" s="1"/>
  <c r="BL7" i="3" a="1"/>
  <c r="BL7" i="3" s="1"/>
  <c r="BE7" i="3" a="1"/>
  <c r="BE7" i="3" s="1"/>
  <c r="KI7" i="1" a="1"/>
  <c r="KI7" i="1" s="1"/>
  <c r="JY7" i="1" a="1"/>
  <c r="JY7" i="1" s="1"/>
  <c r="JS7" i="1" a="1"/>
  <c r="JS7" i="1" s="1"/>
  <c r="JN7" i="1" a="1"/>
  <c r="JN7" i="1" s="1"/>
  <c r="JD7" i="1" a="1"/>
  <c r="JD7" i="1" s="1"/>
  <c r="IY7" i="1" a="1"/>
  <c r="IY7" i="1" s="1"/>
  <c r="IR7" i="1" a="1"/>
  <c r="IR7" i="1" s="1"/>
  <c r="IL7" i="1" a="1"/>
  <c r="IL7" i="1" s="1"/>
  <c r="ID7" i="1" a="1"/>
  <c r="ID7" i="1" s="1"/>
  <c r="HI7" i="1" a="1"/>
  <c r="HI7" i="1" s="1"/>
  <c r="GE7" i="1" a="1"/>
  <c r="GE7" i="1" s="1"/>
  <c r="FW7" i="1" a="1"/>
  <c r="FW7" i="1" s="1"/>
  <c r="FL7" i="1" a="1"/>
  <c r="FL7" i="1" s="1"/>
  <c r="FC7" i="1" a="1"/>
  <c r="FC7" i="1" s="1"/>
  <c r="EP7" i="1" a="1"/>
  <c r="EP7" i="1" s="1"/>
  <c r="EH7" i="1" a="1"/>
  <c r="EH7" i="1" s="1"/>
  <c r="DW7" i="1" a="1"/>
  <c r="DW7" i="1" s="1"/>
  <c r="DG7" i="1" a="1"/>
  <c r="DG7" i="1" s="1"/>
  <c r="CR7" i="1" a="1"/>
  <c r="CR7" i="1" s="1"/>
  <c r="BV7" i="1" a="1"/>
  <c r="BV7" i="1" s="1"/>
  <c r="AT7" i="1" a="1"/>
  <c r="AT7" i="1" s="1"/>
  <c r="DN7" i="3" a="1"/>
  <c r="DN7" i="3" s="1"/>
  <c r="CX7" i="3" a="1"/>
  <c r="CX7" i="3" s="1"/>
  <c r="CM7" i="3" a="1"/>
  <c r="CM7" i="3" s="1"/>
  <c r="CG7" i="3" a="1"/>
  <c r="CG7" i="3" s="1"/>
  <c r="BZ7" i="3" a="1"/>
  <c r="BZ7" i="3" s="1"/>
  <c r="BH7" i="3" a="1"/>
  <c r="BH7" i="3" s="1"/>
  <c r="AC7" i="3" a="1"/>
  <c r="AC7" i="3" s="1"/>
  <c r="H7" i="3" a="1"/>
  <c r="H7" i="3" s="1"/>
  <c r="OF7" i="1" a="1"/>
  <c r="OF7" i="1" s="1"/>
  <c r="MT7" i="1" a="1"/>
  <c r="MT7" i="1" s="1"/>
  <c r="MC7" i="1" a="1"/>
  <c r="MC7" i="1" s="1"/>
  <c r="LP7" i="1" a="1"/>
  <c r="LP7" i="1" s="1"/>
  <c r="KS7" i="1" a="1"/>
  <c r="KS7" i="1" s="1"/>
  <c r="JM7" i="1" a="1"/>
  <c r="JM7" i="1" s="1"/>
  <c r="JF7" i="1" a="1"/>
  <c r="JF7" i="1" s="1"/>
  <c r="IQ7" i="1" a="1"/>
  <c r="IQ7" i="1" s="1"/>
  <c r="IC7" i="1" a="1"/>
  <c r="IC7" i="1" s="1"/>
  <c r="HB7" i="1" a="1"/>
  <c r="HB7" i="1" s="1"/>
  <c r="EC7" i="1" a="1"/>
  <c r="EC7" i="1" s="1"/>
  <c r="BW7" i="1" a="1"/>
  <c r="BW7" i="1" s="1"/>
  <c r="EV7" i="3" a="1"/>
  <c r="EV7" i="3" s="1"/>
  <c r="BJ7" i="3" a="1"/>
  <c r="BJ7" i="3" s="1"/>
  <c r="NO7" i="1" a="1"/>
  <c r="NO7" i="1" s="1"/>
  <c r="KF7" i="1" a="1"/>
  <c r="KF7" i="1" s="1"/>
  <c r="MM7" i="3" a="1"/>
  <c r="MM7" i="3" s="1"/>
  <c r="KV7" i="3" a="1"/>
  <c r="KV7" i="3" s="1"/>
  <c r="JL7" i="3" a="1"/>
  <c r="JL7" i="3" s="1"/>
  <c r="IE7" i="3" a="1"/>
  <c r="IE7" i="3" s="1"/>
  <c r="GM7" i="3" a="1"/>
  <c r="GM7" i="3" s="1"/>
  <c r="BI7" i="3" a="1"/>
  <c r="BI7" i="3" s="1"/>
  <c r="NS7" i="1" a="1"/>
  <c r="NS7" i="1" s="1"/>
  <c r="IS7" i="1" a="1"/>
  <c r="IS7" i="1" s="1"/>
  <c r="CU7" i="1" a="1"/>
  <c r="CU7" i="1" s="1"/>
  <c r="OB7" i="1" a="1"/>
  <c r="OB7" i="1" s="1"/>
  <c r="KU7" i="1" a="1"/>
  <c r="KU7" i="1" s="1"/>
  <c r="HQ7" i="1" a="1"/>
  <c r="HQ7" i="1" s="1"/>
  <c r="DZ7" i="1" a="1"/>
  <c r="DZ7" i="1" s="1"/>
  <c r="AQ7" i="3" a="1"/>
  <c r="AQ7" i="3" s="1"/>
  <c r="MJ7" i="1" a="1"/>
  <c r="MJ7" i="1" s="1"/>
  <c r="IH7" i="1" a="1"/>
  <c r="IH7" i="1" s="1"/>
  <c r="ER7" i="1" a="1"/>
  <c r="ER7" i="1" s="1"/>
  <c r="BH7" i="1" a="1"/>
  <c r="BH7" i="1" s="1"/>
  <c r="JX7" i="1" a="1"/>
  <c r="JX7" i="1" s="1"/>
  <c r="FP7" i="1" a="1"/>
  <c r="FP7" i="1" s="1"/>
  <c r="BY7" i="1" a="1"/>
  <c r="BY7" i="1" s="1"/>
  <c r="AM7" i="1" a="1"/>
  <c r="AM7" i="1" s="1"/>
  <c r="AC7" i="1" a="1"/>
  <c r="AC7" i="1" s="1"/>
  <c r="U7" i="1" a="1"/>
  <c r="U7" i="1" s="1"/>
  <c r="M7" i="1" a="1"/>
  <c r="M7" i="1" s="1"/>
  <c r="AU7" i="1" a="1"/>
  <c r="AU7" i="1" s="1"/>
  <c r="MI7" i="3" a="1"/>
  <c r="MI7" i="3" s="1"/>
  <c r="CL7" i="3" a="1"/>
  <c r="CL7" i="3" s="1"/>
  <c r="F7" i="3" a="1"/>
  <c r="F7" i="3" s="1"/>
  <c r="LN7" i="1" a="1"/>
  <c r="LN7" i="1" s="1"/>
  <c r="HX7" i="1" a="1"/>
  <c r="HX7" i="1" s="1"/>
  <c r="B36" i="2"/>
  <c r="C36" i="2" s="1"/>
  <c r="C18" i="2"/>
  <c r="HN7" i="3" l="1" a="1"/>
  <c r="HN7" i="3" s="1"/>
  <c r="GY7" i="3" a="1"/>
  <c r="GY7" i="3" s="1"/>
  <c r="DE7" i="3" a="1"/>
  <c r="DE7" i="3" s="1"/>
  <c r="BQ7" i="3" a="1"/>
  <c r="BQ7" i="3" s="1"/>
  <c r="R7" i="3" a="1"/>
  <c r="R7" i="3" s="1"/>
  <c r="NH7" i="1" a="1"/>
  <c r="NH7" i="1" s="1"/>
  <c r="KL7" i="1" a="1"/>
  <c r="KL7" i="1" s="1"/>
  <c r="HC7" i="1" a="1"/>
  <c r="HC7" i="1" s="1"/>
  <c r="EV7" i="1" a="1"/>
  <c r="EV7" i="1" s="1"/>
  <c r="LA7" i="3" a="1"/>
  <c r="LA7" i="3" s="1"/>
  <c r="JT7" i="3" a="1"/>
  <c r="JT7" i="3" s="1"/>
  <c r="HA7" i="3" a="1"/>
  <c r="HA7" i="3" s="1"/>
  <c r="HG7" i="1" a="1"/>
  <c r="HG7" i="1" s="1"/>
  <c r="FD7" i="1" a="1"/>
  <c r="FD7" i="1" s="1"/>
  <c r="BQ7" i="1" a="1"/>
  <c r="BQ7" i="1" s="1"/>
  <c r="DV7" i="3" a="1"/>
  <c r="DV7" i="3" s="1"/>
  <c r="BC7" i="3" a="1"/>
  <c r="BC7" i="3" s="1"/>
  <c r="MZ7" i="1" a="1"/>
  <c r="MZ7" i="1" s="1"/>
  <c r="JE7" i="1" a="1"/>
  <c r="JE7" i="1" s="1"/>
  <c r="NK7" i="1" a="1"/>
  <c r="NK7" i="1" s="1"/>
  <c r="MR7" i="1" a="1"/>
  <c r="MR7" i="1" s="1"/>
  <c r="NZ7" i="3" a="1"/>
  <c r="NZ7" i="3" s="1"/>
  <c r="ME7" i="3" a="1"/>
  <c r="ME7" i="3" s="1"/>
  <c r="KS7" i="3" a="1"/>
  <c r="KS7" i="3" s="1"/>
  <c r="JF7" i="3" a="1"/>
  <c r="JF7" i="3" s="1"/>
  <c r="HQ7" i="3" a="1"/>
  <c r="HQ7" i="3" s="1"/>
  <c r="ED7" i="3" a="1"/>
  <c r="ED7" i="3" s="1"/>
  <c r="DI7" i="3" a="1"/>
  <c r="DI7" i="3" s="1"/>
  <c r="BB7" i="3" a="1"/>
  <c r="BB7" i="3" s="1"/>
  <c r="NG7" i="1" a="1"/>
  <c r="NG7" i="1" s="1"/>
  <c r="IE7" i="1" a="1"/>
  <c r="IE7" i="1" s="1"/>
  <c r="DE7" i="1" a="1"/>
  <c r="DE7" i="1" s="1"/>
  <c r="AV7" i="3" a="1"/>
  <c r="AV7" i="3" s="1"/>
  <c r="KG7" i="1" a="1"/>
  <c r="KG7" i="1" s="1"/>
  <c r="FT7" i="1" a="1"/>
  <c r="FT7" i="1" s="1"/>
  <c r="BD7" i="1" a="1"/>
  <c r="BD7" i="1" s="1"/>
  <c r="NF7" i="1" a="1"/>
  <c r="NF7" i="1" s="1"/>
  <c r="IP7" i="1" a="1"/>
  <c r="IP7" i="1" s="1"/>
  <c r="FB7" i="1" a="1"/>
  <c r="FB7" i="1" s="1"/>
  <c r="LV7" i="1" a="1"/>
  <c r="LV7" i="1" s="1"/>
  <c r="BK7" i="1" a="1"/>
  <c r="BK7" i="1" s="1"/>
  <c r="GS7" i="3" a="1"/>
  <c r="GS7" i="3" s="1"/>
  <c r="GU7" i="1" a="1"/>
  <c r="GU7" i="1" s="1"/>
  <c r="DO7" i="1" a="1"/>
  <c r="DO7" i="1" s="1"/>
  <c r="BE7" i="1" a="1"/>
  <c r="BE7" i="1" s="1"/>
  <c r="DA7" i="3" a="1"/>
  <c r="DA7" i="3" s="1"/>
  <c r="AP7" i="3" a="1"/>
  <c r="AP7" i="3" s="1"/>
  <c r="LX7" i="1" a="1"/>
  <c r="LX7" i="1" s="1"/>
  <c r="GZ7" i="1" a="1"/>
  <c r="GZ7" i="1" s="1"/>
  <c r="CY7" i="1" a="1"/>
  <c r="CY7" i="1" s="1"/>
  <c r="GF7" i="1" a="1"/>
  <c r="GF7" i="1" s="1"/>
  <c r="CF7" i="1" a="1"/>
  <c r="CF7" i="1" s="1"/>
  <c r="MY7" i="3" a="1"/>
  <c r="MY7" i="3" s="1"/>
  <c r="LV7" i="3" a="1"/>
  <c r="LV7" i="3" s="1"/>
  <c r="KN7" i="3" a="1"/>
  <c r="KN7" i="3" s="1"/>
  <c r="IY7" i="3" a="1"/>
  <c r="IY7" i="3" s="1"/>
  <c r="IB7" i="3" a="1"/>
  <c r="IB7" i="3" s="1"/>
  <c r="GD7" i="3" a="1"/>
  <c r="GD7" i="3" s="1"/>
  <c r="DT7" i="3" a="1"/>
  <c r="DT7" i="3" s="1"/>
  <c r="CC7" i="3" a="1"/>
  <c r="CC7" i="3" s="1"/>
  <c r="AF7" i="3" a="1"/>
  <c r="AF7" i="3" s="1"/>
  <c r="MI7" i="1" a="1"/>
  <c r="MI7" i="1" s="1"/>
  <c r="GN7" i="1" a="1"/>
  <c r="GN7" i="1" s="1"/>
  <c r="BR7" i="1" a="1"/>
  <c r="BR7" i="1" s="1"/>
  <c r="ND7" i="1" a="1"/>
  <c r="ND7" i="1" s="1"/>
  <c r="AO7" i="3" a="1"/>
  <c r="AO7" i="3" s="1"/>
  <c r="EY7" i="1" a="1"/>
  <c r="EY7" i="1" s="1"/>
  <c r="EB7" i="1" a="1"/>
  <c r="EB7" i="1" s="1"/>
  <c r="DM7" i="1" a="1"/>
  <c r="DM7" i="1" s="1"/>
  <c r="DA7" i="1" a="1"/>
  <c r="DA7" i="1" s="1"/>
  <c r="CL7" i="1" a="1"/>
  <c r="CL7" i="1" s="1"/>
  <c r="BL7" i="1" a="1"/>
  <c r="BL7" i="1" s="1"/>
  <c r="EJ7" i="3" a="1"/>
  <c r="EJ7" i="3" s="1"/>
  <c r="DH7" i="3" a="1"/>
  <c r="DH7" i="3" s="1"/>
  <c r="CS7" i="3" a="1"/>
  <c r="CS7" i="3" s="1"/>
  <c r="CE7" i="3" a="1"/>
  <c r="CE7" i="3" s="1"/>
  <c r="BS7" i="3" a="1"/>
  <c r="BS7" i="3" s="1"/>
  <c r="BA7" i="3" a="1"/>
  <c r="BA7" i="3" s="1"/>
  <c r="NY7" i="1" a="1"/>
  <c r="NY7" i="1" s="1"/>
  <c r="MM7" i="1" a="1"/>
  <c r="MM7" i="1" s="1"/>
  <c r="LU7" i="1" a="1"/>
  <c r="LU7" i="1" s="1"/>
  <c r="LJ7" i="1" a="1"/>
  <c r="LJ7" i="1" s="1"/>
  <c r="KB7" i="1" a="1"/>
  <c r="KB7" i="1" s="1"/>
  <c r="IW7" i="1" a="1"/>
  <c r="IW7" i="1" s="1"/>
  <c r="IK7" i="1" a="1"/>
  <c r="IK7" i="1" s="1"/>
  <c r="HU7" i="1" a="1"/>
  <c r="HU7" i="1" s="1"/>
  <c r="FR7" i="1" a="1"/>
  <c r="FR7" i="1" s="1"/>
  <c r="CM7" i="1" a="1"/>
  <c r="CM7" i="1" s="1"/>
  <c r="EB7" i="3" a="1"/>
  <c r="EB7" i="3" s="1"/>
  <c r="KA7" i="1" a="1"/>
  <c r="KA7" i="1" s="1"/>
  <c r="EU7" i="1" a="1"/>
  <c r="EU7" i="1" s="1"/>
  <c r="Z7" i="3" a="1"/>
  <c r="Z7" i="3" s="1"/>
  <c r="DT7" i="1" a="1"/>
  <c r="DT7" i="1" s="1"/>
  <c r="MS7" i="3" a="1"/>
  <c r="MS7" i="3" s="1"/>
  <c r="LH7" i="3" a="1"/>
  <c r="LH7" i="3" s="1"/>
  <c r="JY7" i="3" a="1"/>
  <c r="JY7" i="3" s="1"/>
  <c r="IH7" i="3" a="1"/>
  <c r="IH7" i="3" s="1"/>
  <c r="GR7" i="3" a="1"/>
  <c r="GR7" i="3" s="1"/>
  <c r="EH7" i="3" a="1"/>
  <c r="EH7" i="3" s="1"/>
  <c r="CJ7" i="3" a="1"/>
  <c r="CJ7" i="3" s="1"/>
  <c r="M7" i="3" a="1"/>
  <c r="M7" i="3" s="1"/>
  <c r="LB7" i="1" a="1"/>
  <c r="LB7" i="1" s="1"/>
  <c r="FQ7" i="1" a="1"/>
  <c r="FQ7" i="1" s="1"/>
  <c r="NM7" i="1" a="1"/>
  <c r="NM7" i="1" s="1"/>
  <c r="JT7" i="1" a="1"/>
  <c r="JT7" i="1" s="1"/>
  <c r="EK7" i="1" a="1"/>
  <c r="EK7" i="1" s="1"/>
  <c r="AG7" i="3" a="1"/>
  <c r="AG7" i="3" s="1"/>
  <c r="LQ7" i="1" a="1"/>
  <c r="LQ7" i="1" s="1"/>
  <c r="GS7" i="1" a="1"/>
  <c r="GS7" i="1" s="1"/>
  <c r="CG7" i="1" a="1"/>
  <c r="CG7" i="1" s="1"/>
  <c r="IB7" i="1" a="1"/>
  <c r="IB7" i="1" s="1"/>
  <c r="ED7" i="1" a="1"/>
  <c r="ED7" i="1" s="1"/>
  <c r="AN7" i="1" a="1"/>
  <c r="AN7" i="1" s="1"/>
  <c r="AB7" i="1" a="1"/>
  <c r="AB7" i="1" s="1"/>
  <c r="S7" i="1" a="1"/>
  <c r="S7" i="1" s="1"/>
  <c r="H7" i="1" a="1"/>
  <c r="H7" i="1" s="1"/>
  <c r="AJ7" i="3" a="1"/>
  <c r="AJ7" i="3" s="1"/>
  <c r="U7" i="3" a="1"/>
  <c r="U7" i="3" s="1"/>
  <c r="G7" i="3" a="1"/>
  <c r="G7" i="3" s="1"/>
  <c r="OG7" i="1" a="1"/>
  <c r="OG7" i="1" s="1"/>
  <c r="NE7" i="1" a="1"/>
  <c r="NE7" i="1" s="1"/>
  <c r="MX7" i="1" a="1"/>
  <c r="MX7" i="1" s="1"/>
  <c r="MQ7" i="1" a="1"/>
  <c r="MQ7" i="1" s="1"/>
  <c r="MK7" i="1" a="1"/>
  <c r="MK7" i="1" s="1"/>
  <c r="LI7" i="1" a="1"/>
  <c r="LI7" i="1" s="1"/>
  <c r="LC7" i="1" a="1"/>
  <c r="LC7" i="1" s="1"/>
  <c r="GD7" i="1" a="1"/>
  <c r="GD7" i="1" s="1"/>
  <c r="DV7" i="1" a="1"/>
  <c r="DV7" i="1" s="1"/>
  <c r="JX7" i="3" a="1"/>
  <c r="JX7" i="3" s="1"/>
  <c r="JC7" i="3" a="1"/>
  <c r="JC7" i="3" s="1"/>
  <c r="HW7" i="3" a="1"/>
  <c r="HW7" i="3" s="1"/>
  <c r="HC7" i="3" a="1"/>
  <c r="HC7" i="3" s="1"/>
  <c r="HO7" i="1" a="1"/>
  <c r="HO7" i="1" s="1"/>
  <c r="FI7" i="1" a="1"/>
  <c r="FI7" i="1" s="1"/>
  <c r="CE7" i="1" a="1"/>
  <c r="CE7" i="1" s="1"/>
  <c r="DG7" i="3" a="1"/>
  <c r="DG7" i="3" s="1"/>
  <c r="AX7" i="3" a="1"/>
  <c r="AX7" i="3" s="1"/>
  <c r="MS7" i="1" a="1"/>
  <c r="MS7" i="1" s="1"/>
  <c r="HP7" i="1" a="1"/>
  <c r="HP7" i="1" s="1"/>
  <c r="EQ7" i="1" a="1"/>
  <c r="EQ7" i="1" s="1"/>
  <c r="AV7" i="1" a="1"/>
  <c r="AV7" i="1" s="1"/>
  <c r="KN7" i="1" a="1"/>
  <c r="KN7" i="1" s="1"/>
  <c r="NE7" i="3" a="1"/>
  <c r="NE7" i="3" s="1"/>
  <c r="LY7" i="3" a="1"/>
  <c r="LY7" i="3" s="1"/>
  <c r="KF7" i="3" a="1"/>
  <c r="KF7" i="3" s="1"/>
  <c r="E7" i="1" a="1"/>
  <c r="E7" i="1" s="1"/>
  <c r="BA7" i="1" a="1"/>
  <c r="BA7" i="1" s="1"/>
  <c r="MZ7" i="3" a="1"/>
  <c r="MZ7" i="3" s="1"/>
  <c r="MD7" i="3" a="1"/>
  <c r="MD7" i="3" s="1"/>
  <c r="HI7" i="3" a="1"/>
  <c r="HI7" i="3" s="1"/>
  <c r="FR7" i="3" a="1"/>
  <c r="FR7" i="3" s="1"/>
  <c r="DP7" i="3" a="1"/>
  <c r="DP7" i="3" s="1"/>
  <c r="NV7" i="1" a="1"/>
  <c r="NV7" i="1" s="1"/>
  <c r="GH7" i="1" a="1"/>
  <c r="GH7" i="1" s="1"/>
  <c r="KM7" i="3" a="1"/>
  <c r="KM7" i="3" s="1"/>
  <c r="HO7" i="3" a="1"/>
  <c r="HO7" i="3" s="1"/>
  <c r="LR7" i="1" a="1"/>
  <c r="LR7" i="1" s="1"/>
  <c r="CX7" i="1" a="1"/>
  <c r="CX7" i="1" s="1"/>
  <c r="IV7" i="3" a="1"/>
  <c r="IV7" i="3" s="1"/>
  <c r="BO7" i="3" a="1"/>
  <c r="BO7" i="3" s="1"/>
  <c r="BI7" i="1" a="1"/>
  <c r="BI7" i="1" s="1"/>
  <c r="BS7" i="1" a="1"/>
  <c r="BS7" i="1" s="1"/>
  <c r="CS7" i="1" a="1"/>
  <c r="CS7" i="1" s="1"/>
  <c r="K7" i="1" a="1"/>
  <c r="K7" i="1" s="1"/>
  <c r="FX7" i="3" a="1"/>
  <c r="FX7" i="3" s="1"/>
  <c r="CU7" i="3" a="1"/>
  <c r="CU7" i="3" s="1"/>
  <c r="GO7" i="1" a="1"/>
  <c r="GO7" i="1" s="1"/>
  <c r="IW7" i="3" a="1"/>
  <c r="IW7" i="3" s="1"/>
  <c r="FK7" i="1" a="1"/>
  <c r="FK7" i="1" s="1"/>
  <c r="MP7" i="3" a="1"/>
  <c r="MP7" i="3" s="1"/>
  <c r="FP7" i="3" a="1"/>
  <c r="FP7" i="3" s="1"/>
  <c r="LO7" i="1" a="1"/>
  <c r="LO7" i="1" s="1"/>
  <c r="GY7" i="1" a="1"/>
  <c r="GY7" i="1" s="1"/>
  <c r="FF7" i="1" a="1"/>
  <c r="FF7" i="1" s="1"/>
  <c r="IQ7" i="3" a="1"/>
  <c r="IQ7" i="3" s="1"/>
  <c r="HJ7" i="3" a="1"/>
  <c r="HJ7" i="3" s="1"/>
  <c r="FT7" i="3" a="1"/>
  <c r="FT7" i="3" s="1"/>
  <c r="FX7" i="1" a="1"/>
  <c r="FX7" i="1" s="1"/>
  <c r="AX7" i="1" a="1"/>
  <c r="AX7" i="1" s="1"/>
  <c r="LG7" i="1" a="1"/>
  <c r="LG7" i="1" s="1"/>
  <c r="HF7" i="1" a="1"/>
  <c r="HF7" i="1" s="1"/>
  <c r="BZ7" i="1" a="1"/>
  <c r="BZ7" i="1" s="1"/>
  <c r="OA7" i="1" a="1"/>
  <c r="OA7" i="1" s="1"/>
  <c r="KM7" i="1" a="1"/>
  <c r="KM7" i="1" s="1"/>
  <c r="HA7" i="1" a="1"/>
  <c r="HA7" i="1" s="1"/>
  <c r="DB7" i="1" a="1"/>
  <c r="DB7" i="1" s="1"/>
  <c r="KH7" i="1" a="1"/>
  <c r="KH7" i="1" s="1"/>
  <c r="GA7" i="1" a="1"/>
  <c r="GA7" i="1" s="1"/>
  <c r="DS7" i="1" a="1"/>
  <c r="DS7" i="1" s="1"/>
  <c r="AO7" i="1" a="1"/>
  <c r="AO7" i="1" s="1"/>
  <c r="AF7" i="1" a="1"/>
  <c r="AF7" i="1" s="1"/>
  <c r="V7" i="1" a="1"/>
  <c r="V7" i="1" s="1"/>
  <c r="O7" i="1" a="1"/>
  <c r="O7" i="1" s="1"/>
  <c r="GM7" i="1" a="1"/>
  <c r="GM7" i="1" s="1"/>
  <c r="CT7" i="1" a="1"/>
  <c r="CT7" i="1" s="1"/>
  <c r="NL7" i="3" a="1"/>
  <c r="NL7" i="3" s="1"/>
  <c r="ML7" i="3" a="1"/>
  <c r="ML7" i="3" s="1"/>
  <c r="LP7" i="3" a="1"/>
  <c r="LP7" i="3" s="1"/>
  <c r="GG7" i="3" a="1"/>
  <c r="GG7" i="3" s="1"/>
  <c r="EO7" i="3" a="1"/>
  <c r="EO7" i="3" s="1"/>
  <c r="AI7" i="3" a="1"/>
  <c r="AI7" i="3" s="1"/>
  <c r="JC7" i="1" a="1"/>
  <c r="JC7" i="1" s="1"/>
  <c r="JJ7" i="3" a="1"/>
  <c r="JJ7" i="3" s="1"/>
  <c r="GU7" i="3" a="1"/>
  <c r="GU7" i="3" s="1"/>
  <c r="FS7" i="1" a="1"/>
  <c r="FS7" i="1" s="1"/>
  <c r="NM7" i="3" a="1"/>
  <c r="NM7" i="3" s="1"/>
  <c r="HU7" i="3" a="1"/>
  <c r="HU7" i="3" s="1"/>
  <c r="DM7" i="3" a="1"/>
  <c r="DM7" i="3" s="1"/>
  <c r="KV7" i="1" a="1"/>
  <c r="KV7" i="1" s="1"/>
  <c r="JZ7" i="1" a="1"/>
  <c r="JZ7" i="1" s="1"/>
  <c r="JR7" i="1" a="1"/>
  <c r="JR7" i="1" s="1"/>
  <c r="GL7" i="1" a="1"/>
  <c r="GL7" i="1" s="1"/>
  <c r="NR7" i="3" a="1"/>
  <c r="NR7" i="3" s="1"/>
  <c r="FF7" i="3" a="1"/>
  <c r="FF7" i="3" s="1"/>
  <c r="AN7" i="3" a="1"/>
  <c r="AN7" i="3" s="1"/>
  <c r="EI7" i="1" a="1"/>
  <c r="EI7" i="1" s="1"/>
  <c r="BJ7" i="1" a="1"/>
  <c r="BJ7" i="1" s="1"/>
  <c r="MF7" i="1" a="1"/>
  <c r="MF7" i="1" s="1"/>
  <c r="OF7" i="3" a="1"/>
  <c r="OF7" i="3" s="1"/>
  <c r="HM7" i="3" a="1"/>
  <c r="HM7" i="3" s="1"/>
  <c r="HM7" i="1" a="1"/>
  <c r="HM7" i="1" s="1"/>
  <c r="CN7" i="1" a="1"/>
  <c r="CN7" i="1" s="1"/>
  <c r="EG7" i="1" a="1"/>
  <c r="EG7" i="1" s="1"/>
  <c r="BB7" i="1" a="1"/>
  <c r="BB7" i="1" s="1"/>
  <c r="HB7" i="3" a="1"/>
  <c r="HB7" i="3" s="1"/>
  <c r="MD7" i="1" a="1"/>
  <c r="MD7" i="1" s="1"/>
  <c r="IJ7" i="1" a="1"/>
  <c r="IJ7" i="1" s="1"/>
  <c r="HN7" i="1" a="1"/>
  <c r="HN7" i="1" s="1"/>
  <c r="EJ7" i="1" a="1"/>
  <c r="EJ7" i="1" s="1"/>
  <c r="OA7" i="3" a="1"/>
  <c r="OA7" i="3" s="1"/>
  <c r="MT7" i="3" a="1"/>
  <c r="MT7" i="3" s="1"/>
  <c r="LU7" i="3" a="1"/>
  <c r="LU7" i="3" s="1"/>
  <c r="GT7" i="3" a="1"/>
  <c r="GT7" i="3" s="1"/>
  <c r="FD7" i="3" a="1"/>
  <c r="FD7" i="3" s="1"/>
  <c r="CQ7" i="3" a="1"/>
  <c r="CQ7" i="3" s="1"/>
  <c r="LH7" i="1" a="1"/>
  <c r="LH7" i="1" s="1"/>
  <c r="EA7" i="1" a="1"/>
  <c r="EA7" i="1" s="1"/>
  <c r="IP7" i="3" a="1"/>
  <c r="IP7" i="3" s="1"/>
  <c r="T7" i="3" a="1"/>
  <c r="T7" i="3" s="1"/>
  <c r="BX7" i="1" a="1"/>
  <c r="BX7" i="1" s="1"/>
  <c r="MB7" i="3" a="1"/>
  <c r="MB7" i="3" s="1"/>
  <c r="GH7" i="3" a="1"/>
  <c r="GH7" i="3" s="1"/>
  <c r="NZ7" i="1" a="1"/>
  <c r="NZ7" i="1" s="1"/>
  <c r="MY7" i="1" a="1"/>
  <c r="MY7" i="1" s="1"/>
  <c r="D7" i="3" a="1"/>
  <c r="D7" i="3" s="1"/>
  <c r="KT7" i="1" a="1"/>
  <c r="KT7" i="1" s="1"/>
  <c r="HP7" i="3" a="1"/>
  <c r="HP7" i="3" s="1"/>
  <c r="ER7" i="3" a="1"/>
  <c r="ER7" i="3" s="1"/>
  <c r="JJ7" i="1" a="1"/>
  <c r="JJ7" i="1" s="1"/>
  <c r="KT7" i="3" a="1"/>
  <c r="KT7" i="3" s="1"/>
  <c r="CF7" i="3" a="1"/>
  <c r="CF7" i="3" s="1"/>
  <c r="BO7" i="1" a="1"/>
  <c r="BO7" i="1" s="1"/>
  <c r="KA7" i="3" a="1"/>
  <c r="KA7" i="3" s="1"/>
  <c r="Y7" i="3" a="1"/>
  <c r="Y7" i="3" s="1"/>
  <c r="KP7" i="1" a="1"/>
  <c r="KP7" i="1" s="1"/>
  <c r="IX7" i="1" a="1"/>
  <c r="IX7" i="1" s="1"/>
  <c r="AJ7" i="1" a="1"/>
  <c r="AJ7" i="1" s="1"/>
  <c r="DL7" i="3" a="1"/>
  <c r="DL7" i="3" s="1"/>
  <c r="II7" i="1" a="1"/>
  <c r="II7" i="1" s="1"/>
  <c r="KP7" i="3" a="1"/>
  <c r="KP7" i="3" s="1"/>
  <c r="FB7" i="3" a="1"/>
  <c r="FB7" i="3" s="1"/>
  <c r="GG7" i="1" a="1"/>
  <c r="GG7" i="1" s="1"/>
  <c r="GR7" i="1" a="1"/>
  <c r="GR7" i="1" s="1"/>
  <c r="FM7" i="1" a="1"/>
  <c r="FM7" i="1" s="1"/>
  <c r="T7" i="1" a="1"/>
  <c r="T7" i="1" s="1"/>
  <c r="GV7" i="3" a="1"/>
  <c r="GV7" i="3" s="1"/>
  <c r="DU7" i="3" a="1"/>
  <c r="DU7" i="3" s="1"/>
  <c r="MB7" i="1" a="1"/>
  <c r="MB7" i="1" s="1"/>
  <c r="JM7" i="3" a="1"/>
  <c r="JM7" i="3" s="1"/>
  <c r="E7" i="3" a="1"/>
  <c r="E7" i="3" s="1"/>
  <c r="FW7" i="3" a="1"/>
  <c r="FW7" i="3" s="1"/>
  <c r="IS7" i="3" a="1"/>
  <c r="IS7" i="3" s="1"/>
  <c r="BX7" i="3" a="1"/>
  <c r="BX7" i="3" s="1"/>
  <c r="NT7" i="1" a="1"/>
  <c r="NT7" i="1" s="1"/>
  <c r="JK7" i="1" a="1"/>
  <c r="JK7" i="1" s="1"/>
  <c r="L7" i="3" a="1"/>
  <c r="L7" i="3" s="1"/>
  <c r="LO7" i="3" a="1"/>
  <c r="LO7" i="3" s="1"/>
  <c r="EQ7" i="3" a="1"/>
  <c r="EQ7" i="3" s="1"/>
  <c r="CC7" i="1" a="1"/>
  <c r="CC7" i="1" s="1"/>
  <c r="NR7" i="1" a="1"/>
  <c r="NR7" i="1" s="1"/>
  <c r="OH7" i="1" a="1"/>
  <c r="OH7" i="1" s="1"/>
  <c r="L7" i="1" a="1"/>
  <c r="L7" i="1" s="1"/>
  <c r="CR7" i="3" a="1"/>
  <c r="CR7" i="3" s="1"/>
  <c r="C6" i="1"/>
  <c r="C5" i="1"/>
  <c r="C4" i="1"/>
  <c r="C2" i="1" s="1"/>
  <c r="OB15" i="1"/>
  <c r="NS15" i="1" s="1"/>
  <c r="MX15" i="1"/>
  <c r="MO15" i="1" s="1"/>
  <c r="LS15" i="1"/>
  <c r="LJ15" i="1" s="1"/>
  <c r="KF15" i="1"/>
  <c r="JA15" i="1"/>
  <c r="HV15" i="1"/>
  <c r="HA15" i="1"/>
  <c r="GR15" i="1" s="1"/>
  <c r="FV15" i="1"/>
  <c r="FM15" i="1" s="1"/>
  <c r="ER15" i="1"/>
  <c r="DM15" i="1"/>
  <c r="DD15" i="1" s="1"/>
  <c r="CK15" i="1"/>
  <c r="CB15" i="1" l="1"/>
  <c r="D3" i="1"/>
  <c r="D4" i="1"/>
  <c r="E6" i="1"/>
  <c r="EI15" i="1"/>
  <c r="E4" i="1" s="1"/>
  <c r="D5" i="1"/>
  <c r="E5" i="1"/>
  <c r="D6" i="1"/>
  <c r="AW15" i="1"/>
  <c r="E3" i="1" l="1"/>
  <c r="E2" i="1" s="1"/>
  <c r="D2" i="1"/>
  <c r="T15" i="2" l="1"/>
  <c r="T16" i="2" l="1"/>
  <c r="T17" i="2" l="1"/>
  <c r="T18" i="2" l="1"/>
  <c r="T19" i="2" l="1"/>
  <c r="T20" i="2" l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2">
    <metadataType name="XLDAPR" minSupportedVersion="120000" copy="1" pasteAll="1" pasteValues="1" merge="1" splitFirst="1" rowColShift="1" clearFormats="1" clearComments="1" assign="1" coerce="1" cellMeta="1"/>
    <metadataType name="XLRICHVALUE" minSupportedVersion="120000" copy="1" pasteAll="1" pasteValues="1" merge="1" splitFirst="1" rowColShift="1" clearFormats="1" clearComments="1" assign="1" coerce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futureMetadata name="XLRICHVALUE" count="1">
    <bk>
      <extLst>
        <ext uri="{3e2802c4-a4d2-4d8b-9148-e3be6c30e623}">
          <xlrd:rvb i="0"/>
        </ext>
      </extLst>
    </bk>
  </futureMetadata>
  <cellMetadata count="1">
    <bk>
      <rc t="1" v="0"/>
    </bk>
  </cellMetadata>
  <valueMetadata count="1">
    <bk>
      <rc t="2" v="0"/>
    </bk>
  </valueMetadata>
</metadata>
</file>

<file path=xl/sharedStrings.xml><?xml version="1.0" encoding="utf-8"?>
<sst xmlns="http://schemas.openxmlformats.org/spreadsheetml/2006/main" count="1277" uniqueCount="544">
  <si>
    <t>Jours ouvrés</t>
  </si>
  <si>
    <t>Jours PNDS</t>
  </si>
  <si>
    <t>Jours Abs.</t>
  </si>
  <si>
    <t>Année 2025</t>
  </si>
  <si>
    <t>T1-2025</t>
  </si>
  <si>
    <t>T2-2025</t>
  </si>
  <si>
    <t>T3-2025</t>
  </si>
  <si>
    <t>T4-2025</t>
  </si>
  <si>
    <t>DECEMBRE 2024</t>
  </si>
  <si>
    <t>JANVIER</t>
  </si>
  <si>
    <t>FEVRIER</t>
  </si>
  <si>
    <t>MARS</t>
  </si>
  <si>
    <t>AVRIL</t>
  </si>
  <si>
    <t>MAI</t>
  </si>
  <si>
    <t>JUIN</t>
  </si>
  <si>
    <t>JUILLET</t>
  </si>
  <si>
    <t>AOUT</t>
  </si>
  <si>
    <t>SEPTEMBRE</t>
  </si>
  <si>
    <t>OCTOBRE</t>
  </si>
  <si>
    <t>NOVEMBRE</t>
  </si>
  <si>
    <t>DECEMBRE</t>
  </si>
  <si>
    <t xml:space="preserve">Vacances Zone </t>
  </si>
  <si>
    <t>C</t>
  </si>
  <si>
    <t>B</t>
  </si>
  <si>
    <t>A</t>
  </si>
  <si>
    <t>PI PNDS</t>
  </si>
  <si>
    <t>PI</t>
  </si>
  <si>
    <t>pi</t>
  </si>
  <si>
    <t>NB jours ouvrés du mois :</t>
  </si>
  <si>
    <t>NB jours Absences :</t>
  </si>
  <si>
    <t>NB jours du mois sur PNDS :</t>
  </si>
  <si>
    <t>Ressources</t>
  </si>
  <si>
    <t>Equipe</t>
  </si>
  <si>
    <t>Colonne1</t>
  </si>
  <si>
    <t>Colonne2</t>
  </si>
  <si>
    <t>Colonne3</t>
  </si>
  <si>
    <t>Colonne4</t>
  </si>
  <si>
    <t>Colonne5</t>
  </si>
  <si>
    <t>Colonne6</t>
  </si>
  <si>
    <t>Colonne7</t>
  </si>
  <si>
    <t>Colonne8</t>
  </si>
  <si>
    <t>Colonne9</t>
  </si>
  <si>
    <t>Colonne10</t>
  </si>
  <si>
    <t>Colonne11</t>
  </si>
  <si>
    <t>Colonne12</t>
  </si>
  <si>
    <t>Colonne13</t>
  </si>
  <si>
    <t>Colonne14</t>
  </si>
  <si>
    <t>Colonne15</t>
  </si>
  <si>
    <t>Colonne16</t>
  </si>
  <si>
    <t>Colonne17</t>
  </si>
  <si>
    <t>Colonne18</t>
  </si>
  <si>
    <t>Colonne19</t>
  </si>
  <si>
    <t>Colonne20</t>
  </si>
  <si>
    <t>Colonne21</t>
  </si>
  <si>
    <t>Colonne22</t>
  </si>
  <si>
    <t>Colonne23</t>
  </si>
  <si>
    <t>Colonne24</t>
  </si>
  <si>
    <t>Colonne25</t>
  </si>
  <si>
    <t>Colonne26</t>
  </si>
  <si>
    <t>Colonne27</t>
  </si>
  <si>
    <t>Colonne28</t>
  </si>
  <si>
    <t>Colonne29</t>
  </si>
  <si>
    <t>Colonne30</t>
  </si>
  <si>
    <t>Colonne31</t>
  </si>
  <si>
    <t>Colonne32</t>
  </si>
  <si>
    <t>Colonne33</t>
  </si>
  <si>
    <t>Colonne34</t>
  </si>
  <si>
    <t>Colonne35</t>
  </si>
  <si>
    <t>Colonne36</t>
  </si>
  <si>
    <t>Colonne37</t>
  </si>
  <si>
    <t>Colonne38</t>
  </si>
  <si>
    <t>Colonne39</t>
  </si>
  <si>
    <t>Colonne40</t>
  </si>
  <si>
    <t>Colonne41</t>
  </si>
  <si>
    <t>Colonne42</t>
  </si>
  <si>
    <t>Colonne43</t>
  </si>
  <si>
    <t>Colonne44</t>
  </si>
  <si>
    <t>Colonne45</t>
  </si>
  <si>
    <t>Colonne46</t>
  </si>
  <si>
    <t>Colonne47</t>
  </si>
  <si>
    <t>Colonne48</t>
  </si>
  <si>
    <t>Colonne49</t>
  </si>
  <si>
    <t>Colonne50</t>
  </si>
  <si>
    <t>Colonne51</t>
  </si>
  <si>
    <t>Colonne52</t>
  </si>
  <si>
    <t>Colonne53</t>
  </si>
  <si>
    <t>Colonne54</t>
  </si>
  <si>
    <t>Colonne55</t>
  </si>
  <si>
    <t>Colonne56</t>
  </si>
  <si>
    <t>Colonne57</t>
  </si>
  <si>
    <t>Colonne58</t>
  </si>
  <si>
    <t>Colonne59</t>
  </si>
  <si>
    <t>Colonne60</t>
  </si>
  <si>
    <t>Colonne61</t>
  </si>
  <si>
    <t>Colonne62</t>
  </si>
  <si>
    <t>Colonne63</t>
  </si>
  <si>
    <t>Colonne64</t>
  </si>
  <si>
    <t>Colonne65</t>
  </si>
  <si>
    <t>Colonne66</t>
  </si>
  <si>
    <t>Colonne67</t>
  </si>
  <si>
    <t>Colonne68</t>
  </si>
  <si>
    <t>Colonne69</t>
  </si>
  <si>
    <t>Colonne70</t>
  </si>
  <si>
    <t>Colonne71</t>
  </si>
  <si>
    <t>Colonne72</t>
  </si>
  <si>
    <t>Colonne73</t>
  </si>
  <si>
    <t>Colonne74</t>
  </si>
  <si>
    <t>Colonne75</t>
  </si>
  <si>
    <t>Colonne76</t>
  </si>
  <si>
    <t>Colonne77</t>
  </si>
  <si>
    <t>Colonne78</t>
  </si>
  <si>
    <t>Colonne79</t>
  </si>
  <si>
    <t>Colonne80</t>
  </si>
  <si>
    <t>Colonne81</t>
  </si>
  <si>
    <t>Colonne82</t>
  </si>
  <si>
    <t>Colonne83</t>
  </si>
  <si>
    <t>Colonne84</t>
  </si>
  <si>
    <t>Colonne85</t>
  </si>
  <si>
    <t>Colonne86</t>
  </si>
  <si>
    <t>Colonne87</t>
  </si>
  <si>
    <t>Colonne88</t>
  </si>
  <si>
    <t>Colonne89</t>
  </si>
  <si>
    <t>Colonne90</t>
  </si>
  <si>
    <t>Colonne91</t>
  </si>
  <si>
    <t>Colonne92</t>
  </si>
  <si>
    <t>Colonne93</t>
  </si>
  <si>
    <t>Colonne94</t>
  </si>
  <si>
    <t>Colonne95</t>
  </si>
  <si>
    <t>Colonne96</t>
  </si>
  <si>
    <t>Colonne97</t>
  </si>
  <si>
    <t>Colonne98</t>
  </si>
  <si>
    <t>Colonne99</t>
  </si>
  <si>
    <t>Colonne100</t>
  </si>
  <si>
    <t>Colonne101</t>
  </si>
  <si>
    <t>Colonne102</t>
  </si>
  <si>
    <t>Colonne103</t>
  </si>
  <si>
    <t>Colonne104</t>
  </si>
  <si>
    <t>Colonne105</t>
  </si>
  <si>
    <t>Colonne106</t>
  </si>
  <si>
    <t>Colonne107</t>
  </si>
  <si>
    <t>Colonne108</t>
  </si>
  <si>
    <t>Colonne109</t>
  </si>
  <si>
    <t>Colonne110</t>
  </si>
  <si>
    <t>Colonne111</t>
  </si>
  <si>
    <t>Colonne112</t>
  </si>
  <si>
    <t>Colonne113</t>
  </si>
  <si>
    <t>Colonne114</t>
  </si>
  <si>
    <t>Colonne115</t>
  </si>
  <si>
    <t>Colonne116</t>
  </si>
  <si>
    <t>Colonne117</t>
  </si>
  <si>
    <t>Colonne118</t>
  </si>
  <si>
    <t>Colonne119</t>
  </si>
  <si>
    <t>Colonne120</t>
  </si>
  <si>
    <t>Colonne121</t>
  </si>
  <si>
    <t>Colonne122</t>
  </si>
  <si>
    <t>Colonne123</t>
  </si>
  <si>
    <t>Colonne124</t>
  </si>
  <si>
    <t>Colonne125</t>
  </si>
  <si>
    <t>Colonne126</t>
  </si>
  <si>
    <t>Colonne127</t>
  </si>
  <si>
    <t>Colonne128</t>
  </si>
  <si>
    <t>Colonne129</t>
  </si>
  <si>
    <t>Colonne130</t>
  </si>
  <si>
    <t>Colonne131</t>
  </si>
  <si>
    <t>Colonne132</t>
  </si>
  <si>
    <t>Colonne133</t>
  </si>
  <si>
    <t>Colonne134</t>
  </si>
  <si>
    <t>Colonne135</t>
  </si>
  <si>
    <t>Colonne136</t>
  </si>
  <si>
    <t>Colonne137</t>
  </si>
  <si>
    <t>Colonne138</t>
  </si>
  <si>
    <t>Colonne139</t>
  </si>
  <si>
    <t>Colonne140</t>
  </si>
  <si>
    <t>Colonne141</t>
  </si>
  <si>
    <t>Colonne142</t>
  </si>
  <si>
    <t>Colonne143</t>
  </si>
  <si>
    <t>Colonne144</t>
  </si>
  <si>
    <t>Colonne145</t>
  </si>
  <si>
    <t>Colonne146</t>
  </si>
  <si>
    <t>Colonne147</t>
  </si>
  <si>
    <t>Colonne148</t>
  </si>
  <si>
    <t>Colonne149</t>
  </si>
  <si>
    <t>Colonne150</t>
  </si>
  <si>
    <t>Colonne151</t>
  </si>
  <si>
    <t>Colonne152</t>
  </si>
  <si>
    <t>Colonne153</t>
  </si>
  <si>
    <t>Colonne154</t>
  </si>
  <si>
    <t>Colonne155</t>
  </si>
  <si>
    <t>Colonne156</t>
  </si>
  <si>
    <t>Colonne157</t>
  </si>
  <si>
    <t>Colonne158</t>
  </si>
  <si>
    <t>Colonne159</t>
  </si>
  <si>
    <t>Colonne160</t>
  </si>
  <si>
    <t>Colonne161</t>
  </si>
  <si>
    <t>Colonne162</t>
  </si>
  <si>
    <t>Colonne163</t>
  </si>
  <si>
    <t>Colonne164</t>
  </si>
  <si>
    <t>Colonne165</t>
  </si>
  <si>
    <t>Colonne166</t>
  </si>
  <si>
    <t>Colonne167</t>
  </si>
  <si>
    <t>Colonne168</t>
  </si>
  <si>
    <t>Colonne169</t>
  </si>
  <si>
    <t>Colonne170</t>
  </si>
  <si>
    <t>Colonne171</t>
  </si>
  <si>
    <t>Colonne172</t>
  </si>
  <si>
    <t>Colonne173</t>
  </si>
  <si>
    <t>Colonne174</t>
  </si>
  <si>
    <t>Colonne175</t>
  </si>
  <si>
    <t>Colonne176</t>
  </si>
  <si>
    <t>Colonne177</t>
  </si>
  <si>
    <t>Colonne178</t>
  </si>
  <si>
    <t>Colonne179</t>
  </si>
  <si>
    <t>Colonne180</t>
  </si>
  <si>
    <t>Colonne181</t>
  </si>
  <si>
    <t>Colonne182</t>
  </si>
  <si>
    <t>Colonne183</t>
  </si>
  <si>
    <t>Colonne184</t>
  </si>
  <si>
    <t>Colonne185</t>
  </si>
  <si>
    <t>Colonne186</t>
  </si>
  <si>
    <t>Colonne187</t>
  </si>
  <si>
    <t>Colonne188</t>
  </si>
  <si>
    <t>Colonne189</t>
  </si>
  <si>
    <t>Colonne190</t>
  </si>
  <si>
    <t>Colonne191</t>
  </si>
  <si>
    <t>Colonne192</t>
  </si>
  <si>
    <t>Colonne193</t>
  </si>
  <si>
    <t>Colonne194</t>
  </si>
  <si>
    <t>Colonne195</t>
  </si>
  <si>
    <t>Colonne196</t>
  </si>
  <si>
    <t>Colonne197</t>
  </si>
  <si>
    <t>Colonne198</t>
  </si>
  <si>
    <t>Colonne199</t>
  </si>
  <si>
    <t>Colonne200</t>
  </si>
  <si>
    <t>Colonne201</t>
  </si>
  <si>
    <t>Colonne202</t>
  </si>
  <si>
    <t>Colonne203</t>
  </si>
  <si>
    <t>Colonne204</t>
  </si>
  <si>
    <t>Colonne205</t>
  </si>
  <si>
    <t>Colonne206</t>
  </si>
  <si>
    <t>Colonne207</t>
  </si>
  <si>
    <t>Colonne208</t>
  </si>
  <si>
    <t>Colonne209</t>
  </si>
  <si>
    <t>Colonne210</t>
  </si>
  <si>
    <t>Colonne211</t>
  </si>
  <si>
    <t>Colonne212</t>
  </si>
  <si>
    <t>Colonne213</t>
  </si>
  <si>
    <t>Colonne214</t>
  </si>
  <si>
    <t>Colonne215</t>
  </si>
  <si>
    <t>Colonne216</t>
  </si>
  <si>
    <t>Colonne217</t>
  </si>
  <si>
    <t>Colonne218</t>
  </si>
  <si>
    <t>Colonne219</t>
  </si>
  <si>
    <t>Colonne220</t>
  </si>
  <si>
    <t>Colonne221</t>
  </si>
  <si>
    <t>Colonne222</t>
  </si>
  <si>
    <t>Colonne223</t>
  </si>
  <si>
    <t>Colonne224</t>
  </si>
  <si>
    <t>Colonne225</t>
  </si>
  <si>
    <t>Colonne226</t>
  </si>
  <si>
    <t>Colonne227</t>
  </si>
  <si>
    <t>Colonne228</t>
  </si>
  <si>
    <t>Colonne229</t>
  </si>
  <si>
    <t>Colonne230</t>
  </si>
  <si>
    <t>Colonne231</t>
  </si>
  <si>
    <t>Colonne232</t>
  </si>
  <si>
    <t>Colonne233</t>
  </si>
  <si>
    <t>Colonne234</t>
  </si>
  <si>
    <t>Colonne235</t>
  </si>
  <si>
    <t>Colonne236</t>
  </si>
  <si>
    <t>Colonne237</t>
  </si>
  <si>
    <t>Colonne238</t>
  </si>
  <si>
    <t>Colonne239</t>
  </si>
  <si>
    <t>Colonne240</t>
  </si>
  <si>
    <t>Colonne241</t>
  </si>
  <si>
    <t>Colonne242</t>
  </si>
  <si>
    <t>Colonne243</t>
  </si>
  <si>
    <t>Colonne244</t>
  </si>
  <si>
    <t>Colonne245</t>
  </si>
  <si>
    <t>Colonne246</t>
  </si>
  <si>
    <t>Colonne247</t>
  </si>
  <si>
    <t>Colonne248</t>
  </si>
  <si>
    <t>Colonne249</t>
  </si>
  <si>
    <t>Colonne250</t>
  </si>
  <si>
    <t>Colonne251</t>
  </si>
  <si>
    <t>Colonne252</t>
  </si>
  <si>
    <t>Colonne253</t>
  </si>
  <si>
    <t>Colonne254</t>
  </si>
  <si>
    <t>Colonne255</t>
  </si>
  <si>
    <t>Colonne256</t>
  </si>
  <si>
    <t>Colonne257</t>
  </si>
  <si>
    <t>Colonne258</t>
  </si>
  <si>
    <t>Colonne259</t>
  </si>
  <si>
    <t>Colonne260</t>
  </si>
  <si>
    <t>Colonne261</t>
  </si>
  <si>
    <t>Colonne262</t>
  </si>
  <si>
    <t>Colonne263</t>
  </si>
  <si>
    <t>Colonne264</t>
  </si>
  <si>
    <t>Colonne265</t>
  </si>
  <si>
    <t>Colonne266</t>
  </si>
  <si>
    <t>Colonne267</t>
  </si>
  <si>
    <t>Colonne268</t>
  </si>
  <si>
    <t>Colonne269</t>
  </si>
  <si>
    <t>Colonne270</t>
  </si>
  <si>
    <t>Colonne271</t>
  </si>
  <si>
    <t>Colonne272</t>
  </si>
  <si>
    <t>Colonne273</t>
  </si>
  <si>
    <t>Colonne274</t>
  </si>
  <si>
    <t>Colonne275</t>
  </si>
  <si>
    <t>Colonne276</t>
  </si>
  <si>
    <t>Colonne277</t>
  </si>
  <si>
    <t>Colonne278</t>
  </si>
  <si>
    <t>Colonne279</t>
  </si>
  <si>
    <t>Colonne280</t>
  </si>
  <si>
    <t>Colonne281</t>
  </si>
  <si>
    <t>Colonne282</t>
  </si>
  <si>
    <t>Colonne283</t>
  </si>
  <si>
    <t>Colonne284</t>
  </si>
  <si>
    <t>Colonne285</t>
  </si>
  <si>
    <t>Colonne286</t>
  </si>
  <si>
    <t>Colonne287</t>
  </si>
  <si>
    <t>Colonne288</t>
  </si>
  <si>
    <t>Colonne289</t>
  </si>
  <si>
    <t>Colonne290</t>
  </si>
  <si>
    <t>Colonne291</t>
  </si>
  <si>
    <t>Colonne292</t>
  </si>
  <si>
    <t>Colonne293</t>
  </si>
  <si>
    <t>Colonne294</t>
  </si>
  <si>
    <t>Colonne295</t>
  </si>
  <si>
    <t>Colonne296</t>
  </si>
  <si>
    <t>Colonne297</t>
  </si>
  <si>
    <t>Colonne298</t>
  </si>
  <si>
    <t>Colonne299</t>
  </si>
  <si>
    <t>Colonne300</t>
  </si>
  <si>
    <t>Colonne301</t>
  </si>
  <si>
    <t>Colonne302</t>
  </si>
  <si>
    <t>Colonne303</t>
  </si>
  <si>
    <t>Colonne304</t>
  </si>
  <si>
    <t>Colonne305</t>
  </si>
  <si>
    <t>Colonne306</t>
  </si>
  <si>
    <t>Colonne307</t>
  </si>
  <si>
    <t>Colonne308</t>
  </si>
  <si>
    <t>Colonne309</t>
  </si>
  <si>
    <t>Colonne310</t>
  </si>
  <si>
    <t>Colonne311</t>
  </si>
  <si>
    <t>Colonne312</t>
  </si>
  <si>
    <t>Colonne313</t>
  </si>
  <si>
    <t>Colonne314</t>
  </si>
  <si>
    <t>Colonne315</t>
  </si>
  <si>
    <t>Colonne316</t>
  </si>
  <si>
    <t>Colonne317</t>
  </si>
  <si>
    <t>Colonne318</t>
  </si>
  <si>
    <t>Colonne319</t>
  </si>
  <si>
    <t>Colonne320</t>
  </si>
  <si>
    <t>Colonne321</t>
  </si>
  <si>
    <t>Colonne322</t>
  </si>
  <si>
    <t>Colonne323</t>
  </si>
  <si>
    <t>Colonne324</t>
  </si>
  <si>
    <t>Colonne325</t>
  </si>
  <si>
    <t>Colonne326</t>
  </si>
  <si>
    <t>Colonne327</t>
  </si>
  <si>
    <t>Colonne328</t>
  </si>
  <si>
    <t>Colonne329</t>
  </si>
  <si>
    <t>Colonne330</t>
  </si>
  <si>
    <t>Colonne331</t>
  </si>
  <si>
    <t>Colonne332</t>
  </si>
  <si>
    <t>Colonne333</t>
  </si>
  <si>
    <t>Colonne334</t>
  </si>
  <si>
    <t>Colonne335</t>
  </si>
  <si>
    <t>Colonne336</t>
  </si>
  <si>
    <t>Colonne337</t>
  </si>
  <si>
    <t>Colonne338</t>
  </si>
  <si>
    <t>Colonne339</t>
  </si>
  <si>
    <t>Colonne340</t>
  </si>
  <si>
    <t>Colonne341</t>
  </si>
  <si>
    <t>Colonne342</t>
  </si>
  <si>
    <t>Colonne343</t>
  </si>
  <si>
    <t>Colonne344</t>
  </si>
  <si>
    <t>Colonne345</t>
  </si>
  <si>
    <t>Colonne346</t>
  </si>
  <si>
    <t>Colonne347</t>
  </si>
  <si>
    <t>Colonne348</t>
  </si>
  <si>
    <t>Colonne349</t>
  </si>
  <si>
    <t>Colonne350</t>
  </si>
  <si>
    <t>Colonne351</t>
  </si>
  <si>
    <t>Colonne352</t>
  </si>
  <si>
    <t>Colonne353</t>
  </si>
  <si>
    <t>Colonne354</t>
  </si>
  <si>
    <t>Colonne355</t>
  </si>
  <si>
    <t>Colonne356</t>
  </si>
  <si>
    <t>Colonne357</t>
  </si>
  <si>
    <t>Colonne358</t>
  </si>
  <si>
    <t>Colonne359</t>
  </si>
  <si>
    <t>Colonne360</t>
  </si>
  <si>
    <t>Colonne361</t>
  </si>
  <si>
    <t>Colonne362</t>
  </si>
  <si>
    <t>Colonne363</t>
  </si>
  <si>
    <t>Colonne364</t>
  </si>
  <si>
    <t>Colonne365</t>
  </si>
  <si>
    <t>Colonne366</t>
  </si>
  <si>
    <t>Colonne367</t>
  </si>
  <si>
    <t>Colonne368</t>
  </si>
  <si>
    <t>Colonne369</t>
  </si>
  <si>
    <t>Colonne370</t>
  </si>
  <si>
    <t>Colonne371</t>
  </si>
  <si>
    <t>Colonne372</t>
  </si>
  <si>
    <t>Colonne373</t>
  </si>
  <si>
    <t>Colonne374</t>
  </si>
  <si>
    <t>Colonne375</t>
  </si>
  <si>
    <t>Colonne376</t>
  </si>
  <si>
    <t>Colonne377</t>
  </si>
  <si>
    <t>Colonne378</t>
  </si>
  <si>
    <t>Colonne379</t>
  </si>
  <si>
    <t>Colonne380</t>
  </si>
  <si>
    <t>Colonne381</t>
  </si>
  <si>
    <t>Colonne382</t>
  </si>
  <si>
    <t>Colonne383</t>
  </si>
  <si>
    <t>Colonne384</t>
  </si>
  <si>
    <t>Colonne385</t>
  </si>
  <si>
    <t>Colonne386</t>
  </si>
  <si>
    <t>Colonne387</t>
  </si>
  <si>
    <t>Colonne388</t>
  </si>
  <si>
    <t>Colonne389</t>
  </si>
  <si>
    <t>Colonne390</t>
  </si>
  <si>
    <t>Colonne391</t>
  </si>
  <si>
    <t>Colonne392</t>
  </si>
  <si>
    <t>Colonne393</t>
  </si>
  <si>
    <t>Colonne394</t>
  </si>
  <si>
    <t>Colonne395</t>
  </si>
  <si>
    <t>Colonne396</t>
  </si>
  <si>
    <t>PM</t>
  </si>
  <si>
    <t>SA</t>
  </si>
  <si>
    <t>RTE</t>
  </si>
  <si>
    <t>LasKars</t>
  </si>
  <si>
    <t>Cyber Kiwi</t>
  </si>
  <si>
    <t>SAE</t>
  </si>
  <si>
    <t>System Team</t>
  </si>
  <si>
    <t>Exploit</t>
  </si>
  <si>
    <t>Studio UX/UI</t>
  </si>
  <si>
    <t>MAE</t>
  </si>
  <si>
    <t>Total</t>
  </si>
  <si>
    <t>Vacances Scolaires</t>
  </si>
  <si>
    <t>https://www.service-public.fr/particuliers/vosdroits/F31952</t>
  </si>
  <si>
    <t>Date Pi  + Itération</t>
  </si>
  <si>
    <t>Date I&amp;A + PIP, Présentiel</t>
  </si>
  <si>
    <t>Saisie Presences</t>
  </si>
  <si>
    <t>Mises en forme Conditionnelle</t>
  </si>
  <si>
    <t>Légende</t>
  </si>
  <si>
    <t>2024</t>
  </si>
  <si>
    <t>Date</t>
  </si>
  <si>
    <t>Calcul Jours férié si jour de semaine</t>
  </si>
  <si>
    <t>Période</t>
  </si>
  <si>
    <t>Zone</t>
  </si>
  <si>
    <t>Date début2</t>
  </si>
  <si>
    <t>Date Fin3</t>
  </si>
  <si>
    <t>Itération</t>
  </si>
  <si>
    <t>Date Début</t>
  </si>
  <si>
    <t>Date Fin</t>
  </si>
  <si>
    <t>Nbre de jours</t>
  </si>
  <si>
    <t>Nbr Semaine</t>
  </si>
  <si>
    <t>Cérémonie</t>
  </si>
  <si>
    <t>Date début</t>
  </si>
  <si>
    <t xml:space="preserve">Date fin </t>
  </si>
  <si>
    <t>Saisie Presence / Absence</t>
  </si>
  <si>
    <t xml:space="preserve">Aujourd'hui </t>
  </si>
  <si>
    <t>Noël</t>
  </si>
  <si>
    <t>Rentrée des éléves</t>
  </si>
  <si>
    <t>PI#17</t>
  </si>
  <si>
    <t>IT1</t>
  </si>
  <si>
    <t>Présentiel</t>
  </si>
  <si>
    <t>Férié, Week-End</t>
  </si>
  <si>
    <t>Jour de l'an</t>
  </si>
  <si>
    <t>IT2</t>
  </si>
  <si>
    <t>Absence</t>
  </si>
  <si>
    <t>Pâques</t>
  </si>
  <si>
    <t>IT3</t>
  </si>
  <si>
    <t>I&amp;A</t>
  </si>
  <si>
    <t>Saisie 0,5</t>
  </si>
  <si>
    <t>Lundi de Pâques</t>
  </si>
  <si>
    <t>La Toussaint</t>
  </si>
  <si>
    <t>ITIP</t>
  </si>
  <si>
    <t>PI#18</t>
  </si>
  <si>
    <t>PIP</t>
  </si>
  <si>
    <t>Saisie 0,25</t>
  </si>
  <si>
    <t>Fête du Travail</t>
  </si>
  <si>
    <t>Victoire 1945</t>
  </si>
  <si>
    <t>PI#19</t>
  </si>
  <si>
    <t>Ascension</t>
  </si>
  <si>
    <t>PI#X +3</t>
  </si>
  <si>
    <t>Pentecôte</t>
  </si>
  <si>
    <t>IT4</t>
  </si>
  <si>
    <t>PI#20</t>
  </si>
  <si>
    <t>PI#X +2</t>
  </si>
  <si>
    <t>Lundi de pentecôte</t>
  </si>
  <si>
    <t>PI#X + 1</t>
  </si>
  <si>
    <t>Fête Nationale</t>
  </si>
  <si>
    <t>Hiver</t>
  </si>
  <si>
    <t>PI#X</t>
  </si>
  <si>
    <t>Assomption</t>
  </si>
  <si>
    <t>Sys démo</t>
  </si>
  <si>
    <t>Vacances Zone A</t>
  </si>
  <si>
    <t>Toussaint</t>
  </si>
  <si>
    <t>hackathon</t>
  </si>
  <si>
    <t>Vacances Zone B</t>
  </si>
  <si>
    <t>Armistice 1918</t>
  </si>
  <si>
    <t>Printemps</t>
  </si>
  <si>
    <t>Vacances Zone C</t>
  </si>
  <si>
    <t>Noel</t>
  </si>
  <si>
    <t>Prétentiel</t>
  </si>
  <si>
    <t>Eté</t>
  </si>
  <si>
    <t>=NB.SI.ENS(VacancesScolaires[Zone];$B11;VacancesScolaires[Date début2];"&lt;="&amp;C9;VacancesScolaires[Date Fin3;"&gt;="&amp;C9)</t>
  </si>
  <si>
    <t>Resource 1</t>
  </si>
  <si>
    <t>Resource 2</t>
  </si>
  <si>
    <t>Resource 3</t>
  </si>
  <si>
    <t>Resource 4</t>
  </si>
  <si>
    <t>Resource 5</t>
  </si>
  <si>
    <t>Resource 6</t>
  </si>
  <si>
    <t>Resource 7</t>
  </si>
  <si>
    <t>Resource 8</t>
  </si>
  <si>
    <t>Resource 9</t>
  </si>
  <si>
    <t>Resource 10</t>
  </si>
  <si>
    <t>Resource 11</t>
  </si>
  <si>
    <t>Resource 12</t>
  </si>
  <si>
    <t>Resource 13</t>
  </si>
  <si>
    <t>Resource 14</t>
  </si>
  <si>
    <t>Resource 15</t>
  </si>
  <si>
    <t>Resource 16</t>
  </si>
  <si>
    <t>Resource 17</t>
  </si>
  <si>
    <t>Resource 18</t>
  </si>
  <si>
    <t>Resource 19</t>
  </si>
  <si>
    <t>Resource 20</t>
  </si>
  <si>
    <t>Resource 21</t>
  </si>
  <si>
    <t>Resource 22</t>
  </si>
  <si>
    <t>Resource 23</t>
  </si>
  <si>
    <t>Resource 24</t>
  </si>
  <si>
    <t>Resource 25</t>
  </si>
  <si>
    <t>Resource 26</t>
  </si>
  <si>
    <t>Resource 27</t>
  </si>
  <si>
    <t>Resource 28</t>
  </si>
  <si>
    <t>Resource 29</t>
  </si>
  <si>
    <t>Resource 30</t>
  </si>
  <si>
    <t>Resource 31</t>
  </si>
  <si>
    <t>Resource 32</t>
  </si>
  <si>
    <t>Resource 33</t>
  </si>
  <si>
    <t>Resource 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</si>
</sst>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6">
    <numFmt numFmtId="164" formatCode="d/m;@"/>
    <numFmt numFmtId="165" formatCode="ddd"/>
    <numFmt numFmtId="166" formatCode="[$-F800]dddd\,\ mmmm\ dd\,\ yyyy"/>
    <numFmt numFmtId="167" formatCode="[$-40C]mmm\-yy;@"/>
    <numFmt numFmtId="168" formatCode="ddd/mmm/yy"/>
    <numFmt numFmtId="169" formatCode="ddd\-dd\-mmm\-yy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i/>
      <sz val="11"/>
      <color theme="3"/>
      <name val="Calibri"/>
      <family val="2"/>
      <scheme val="minor"/>
    </font>
    <font>
      <i/>
      <sz val="11"/>
      <color rgb="FF00B0F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</font>
    <font>
      <b/>
      <sz val="11"/>
      <color theme="4" tint="-0.249977111117893"/>
      <name val="Calibri"/>
      <family val="2"/>
    </font>
    <font>
      <b/>
      <sz val="11"/>
      <color rgb="FF375623"/>
      <name val="Calibri"/>
      <family val="2"/>
    </font>
    <font>
      <sz val="8"/>
      <name val="Calibri"/>
      <family val="2"/>
      <scheme val="minor"/>
    </font>
    <font>
      <sz val="11"/>
      <color theme="7" tint="0.79998168889431442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1"/>
      <color theme="7" tint="-0.249977111117893"/>
      <name val="Calibri"/>
      <family val="2"/>
    </font>
    <font>
      <b/>
      <sz val="14"/>
      <color theme="4" tint="-0.249977111117893"/>
      <name val="Calibri"/>
      <family val="2"/>
      <scheme val="minor"/>
    </font>
    <font>
      <sz val="14"/>
      <color theme="4" tint="-0.249977111117893"/>
      <name val="Calibri"/>
      <family val="2"/>
      <scheme val="minor"/>
    </font>
    <font>
      <sz val="20"/>
      <color theme="4" tint="-0.249977111117893"/>
      <name val="Calibri"/>
      <family val="2"/>
      <scheme val="minor"/>
    </font>
    <font>
      <sz val="8"/>
      <color theme="4" tint="-0.249977111117893"/>
      <name val="Calibri"/>
      <family val="2"/>
      <scheme val="minor"/>
    </font>
    <font>
      <sz val="14"/>
      <color theme="0"/>
      <name val="Calibri"/>
      <family val="2"/>
      <scheme val="minor"/>
    </font>
    <font>
      <sz val="16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0070C0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2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FFCC6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CCECFF"/>
        <bgColor indexed="64"/>
      </patternFill>
    </fill>
  </fills>
  <borders count="27"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 style="thin">
        <color theme="5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 style="thin">
        <color theme="0" tint="-0.499984740745262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theme="0"/>
      </right>
      <top/>
      <bottom/>
      <diagonal/>
    </border>
    <border>
      <left/>
      <right style="thick">
        <color theme="0"/>
      </right>
      <top/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/>
      <diagonal/>
    </border>
  </borders>
  <cellStyleXfs count="3">
    <xf numFmtId="0" fontId="0" fillId="0" borderId="0"/>
    <xf numFmtId="0" fontId="8" fillId="0" borderId="0" applyNumberFormat="0" applyFill="0" applyBorder="0" applyAlignment="0" applyProtection="0"/>
    <xf numFmtId="0" fontId="9" fillId="0" borderId="0"/>
  </cellStyleXfs>
  <cellXfs count="153">
    <xf numFmtId="0" fontId="0" fillId="0" borderId="0" xfId="0"/>
    <xf numFmtId="0" fontId="2" fillId="0" borderId="0" xfId="0" applyFont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166" fontId="6" fillId="0" borderId="0" xfId="0" applyNumberFormat="1" applyFont="1"/>
    <xf numFmtId="0" fontId="8" fillId="0" borderId="0" xfId="1" applyFill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quotePrefix="1"/>
    <xf numFmtId="14" fontId="7" fillId="0" borderId="0" xfId="0" applyNumberFormat="1" applyFont="1"/>
    <xf numFmtId="14" fontId="0" fillId="0" borderId="0" xfId="0" applyNumberForma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2" borderId="9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1" fontId="0" fillId="0" borderId="0" xfId="0" applyNumberFormat="1"/>
    <xf numFmtId="0" fontId="0" fillId="0" borderId="0" xfId="0" applyAlignment="1">
      <alignment wrapText="1"/>
    </xf>
    <xf numFmtId="1" fontId="0" fillId="0" borderId="0" xfId="0" applyNumberFormat="1" applyAlignment="1">
      <alignment wrapText="1"/>
    </xf>
    <xf numFmtId="168" fontId="0" fillId="0" borderId="0" xfId="0" applyNumberFormat="1"/>
    <xf numFmtId="169" fontId="0" fillId="0" borderId="0" xfId="0" applyNumberFormat="1"/>
    <xf numFmtId="0" fontId="5" fillId="9" borderId="0" xfId="0" applyFont="1" applyFill="1" applyAlignment="1">
      <alignment horizontal="center" vertical="center"/>
    </xf>
    <xf numFmtId="0" fontId="5" fillId="9" borderId="0" xfId="0" applyFont="1" applyFill="1" applyAlignment="1">
      <alignment horizontal="left" vertical="top"/>
    </xf>
    <xf numFmtId="0" fontId="5" fillId="9" borderId="0" xfId="0" applyFont="1" applyFill="1" applyAlignment="1">
      <alignment horizontal="center" vertical="top"/>
    </xf>
    <xf numFmtId="0" fontId="2" fillId="9" borderId="3" xfId="0" applyFont="1" applyFill="1" applyBorder="1"/>
    <xf numFmtId="0" fontId="13" fillId="0" borderId="0" xfId="0" applyFont="1"/>
    <xf numFmtId="0" fontId="2" fillId="0" borderId="11" xfId="0" applyFont="1" applyBorder="1"/>
    <xf numFmtId="0" fontId="3" fillId="0" borderId="23" xfId="0" applyFont="1" applyBorder="1"/>
    <xf numFmtId="0" fontId="3" fillId="0" borderId="11" xfId="0" applyFont="1" applyBorder="1"/>
    <xf numFmtId="0" fontId="10" fillId="13" borderId="0" xfId="2" applyFont="1" applyFill="1" applyAlignment="1">
      <alignment horizontal="center" vertical="center"/>
    </xf>
    <xf numFmtId="0" fontId="11" fillId="12" borderId="0" xfId="2" applyFont="1" applyFill="1" applyAlignment="1">
      <alignment horizontal="center" vertical="center" wrapText="1"/>
    </xf>
    <xf numFmtId="0" fontId="16" fillId="7" borderId="0" xfId="2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textRotation="255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22" xfId="0" applyFont="1" applyBorder="1"/>
    <xf numFmtId="0" fontId="2" fillId="0" borderId="22" xfId="0" applyFont="1" applyBorder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top"/>
    </xf>
    <xf numFmtId="0" fontId="0" fillId="0" borderId="0" xfId="0" applyAlignment="1">
      <alignment horizontal="center" vertical="top"/>
    </xf>
    <xf numFmtId="0" fontId="2" fillId="0" borderId="23" xfId="0" applyFont="1" applyBorder="1"/>
    <xf numFmtId="0" fontId="2" fillId="0" borderId="14" xfId="0" applyFont="1" applyBorder="1"/>
    <xf numFmtId="0" fontId="17" fillId="14" borderId="0" xfId="0" applyFont="1" applyFill="1" applyAlignment="1">
      <alignment horizontal="center" vertical="center"/>
    </xf>
    <xf numFmtId="0" fontId="19" fillId="14" borderId="0" xfId="0" applyFont="1" applyFill="1" applyAlignment="1">
      <alignment horizontal="center" vertical="center"/>
    </xf>
    <xf numFmtId="1" fontId="19" fillId="14" borderId="0" xfId="0" applyNumberFormat="1" applyFont="1" applyFill="1" applyAlignment="1">
      <alignment horizontal="center" vertical="center"/>
    </xf>
    <xf numFmtId="0" fontId="20" fillId="14" borderId="0" xfId="0" applyFont="1" applyFill="1" applyAlignment="1">
      <alignment horizontal="center" vertical="center"/>
    </xf>
    <xf numFmtId="0" fontId="18" fillId="14" borderId="0" xfId="0" applyFont="1" applyFill="1" applyAlignment="1">
      <alignment horizontal="center" vertical="center"/>
    </xf>
    <xf numFmtId="2" fontId="19" fillId="14" borderId="0" xfId="0" applyNumberFormat="1" applyFont="1" applyFill="1" applyAlignment="1">
      <alignment horizontal="center" vertical="center"/>
    </xf>
    <xf numFmtId="0" fontId="20" fillId="14" borderId="13" xfId="0" applyFont="1" applyFill="1" applyBorder="1" applyAlignment="1">
      <alignment vertical="center"/>
    </xf>
    <xf numFmtId="0" fontId="20" fillId="14" borderId="6" xfId="0" applyFont="1" applyFill="1" applyBorder="1" applyAlignment="1">
      <alignment vertical="center"/>
    </xf>
    <xf numFmtId="0" fontId="20" fillId="14" borderId="0" xfId="0" applyFont="1" applyFill="1" applyAlignment="1">
      <alignment vertical="center"/>
    </xf>
    <xf numFmtId="0" fontId="18" fillId="14" borderId="0" xfId="0" applyFont="1" applyFill="1" applyAlignment="1">
      <alignment vertical="center"/>
    </xf>
    <xf numFmtId="0" fontId="15" fillId="14" borderId="0" xfId="0" applyFont="1" applyFill="1" applyAlignment="1">
      <alignment horizontal="center" vertical="center"/>
    </xf>
    <xf numFmtId="0" fontId="21" fillId="14" borderId="11" xfId="0" applyFont="1" applyFill="1" applyBorder="1" applyAlignment="1">
      <alignment vertical="center"/>
    </xf>
    <xf numFmtId="0" fontId="22" fillId="0" borderId="0" xfId="0" applyFont="1" applyAlignment="1">
      <alignment horizontal="left" vertical="center"/>
    </xf>
    <xf numFmtId="0" fontId="22" fillId="0" borderId="0" xfId="0" applyFont="1" applyAlignment="1">
      <alignment horizontal="center" vertical="center"/>
    </xf>
    <xf numFmtId="0" fontId="14" fillId="0" borderId="7" xfId="0" applyFont="1" applyBorder="1" applyAlignment="1">
      <alignment horizontal="right"/>
    </xf>
    <xf numFmtId="0" fontId="0" fillId="0" borderId="4" xfId="0" applyBorder="1"/>
    <xf numFmtId="0" fontId="14" fillId="0" borderId="0" xfId="0" applyFont="1" applyAlignment="1">
      <alignment horizontal="center"/>
    </xf>
    <xf numFmtId="0" fontId="0" fillId="0" borderId="0" xfId="0" applyAlignment="1">
      <alignment vertical="center"/>
    </xf>
    <xf numFmtId="0" fontId="14" fillId="0" borderId="8" xfId="0" applyFont="1" applyBorder="1" applyAlignment="1">
      <alignment vertical="center"/>
    </xf>
    <xf numFmtId="0" fontId="0" fillId="0" borderId="5" xfId="0" applyBorder="1"/>
    <xf numFmtId="0" fontId="0" fillId="0" borderId="3" xfId="0" applyBorder="1"/>
    <xf numFmtId="0" fontId="0" fillId="0" borderId="0" xfId="0" applyAlignment="1">
      <alignment vertical="top"/>
    </xf>
    <xf numFmtId="0" fontId="23" fillId="10" borderId="24" xfId="0" applyFont="1" applyFill="1" applyBorder="1" applyAlignment="1">
      <alignment horizontal="center" vertical="center"/>
    </xf>
    <xf numFmtId="0" fontId="0" fillId="8" borderId="25" xfId="0" applyFill="1" applyBorder="1" applyAlignment="1">
      <alignment horizontal="center" vertical="center"/>
    </xf>
    <xf numFmtId="0" fontId="0" fillId="11" borderId="25" xfId="0" applyFill="1" applyBorder="1" applyAlignment="1">
      <alignment horizontal="center" vertical="center"/>
    </xf>
    <xf numFmtId="0" fontId="0" fillId="15" borderId="25" xfId="0" applyFill="1" applyBorder="1" applyAlignment="1">
      <alignment horizontal="center" vertical="center"/>
    </xf>
    <xf numFmtId="0" fontId="0" fillId="10" borderId="25" xfId="0" applyFill="1" applyBorder="1" applyAlignment="1">
      <alignment horizontal="center" vertical="center"/>
    </xf>
    <xf numFmtId="0" fontId="0" fillId="16" borderId="25" xfId="0" applyFill="1" applyBorder="1" applyAlignment="1">
      <alignment horizontal="center" vertical="center"/>
    </xf>
    <xf numFmtId="0" fontId="0" fillId="17" borderId="25" xfId="0" applyFill="1" applyBorder="1" applyAlignment="1">
      <alignment horizontal="center" vertical="center"/>
    </xf>
    <xf numFmtId="0" fontId="0" fillId="20" borderId="25" xfId="0" applyFill="1" applyBorder="1" applyAlignment="1">
      <alignment horizontal="center" vertical="center"/>
    </xf>
    <xf numFmtId="0" fontId="0" fillId="18" borderId="25" xfId="0" applyFill="1" applyBorder="1" applyAlignment="1">
      <alignment horizontal="center" vertical="center"/>
    </xf>
    <xf numFmtId="0" fontId="0" fillId="19" borderId="25" xfId="0" applyFill="1" applyBorder="1" applyAlignment="1">
      <alignment horizontal="center" vertical="center"/>
    </xf>
    <xf numFmtId="0" fontId="0" fillId="7" borderId="25" xfId="0" applyFill="1" applyBorder="1" applyAlignment="1">
      <alignment horizontal="center" vertical="center"/>
    </xf>
    <xf numFmtId="0" fontId="0" fillId="13" borderId="25" xfId="0" applyFill="1" applyBorder="1" applyAlignment="1">
      <alignment horizontal="center" vertical="center"/>
    </xf>
    <xf numFmtId="0" fontId="0" fillId="12" borderId="26" xfId="0" applyFill="1" applyBorder="1" applyAlignment="1">
      <alignment horizontal="center" vertical="center"/>
    </xf>
    <xf numFmtId="0" fontId="12" fillId="0" borderId="24" xfId="0" applyFont="1" applyBorder="1" applyAlignment="1">
      <alignment horizontal="left" vertical="center"/>
    </xf>
    <xf numFmtId="0" fontId="3" fillId="0" borderId="25" xfId="0" applyFont="1" applyBorder="1" applyAlignment="1">
      <alignment horizontal="left" vertical="center"/>
    </xf>
    <xf numFmtId="0" fontId="3" fillId="0" borderId="26" xfId="0" applyFont="1" applyBorder="1" applyAlignment="1">
      <alignment horizontal="left" vertical="center"/>
    </xf>
    <xf numFmtId="164" fontId="24" fillId="0" borderId="0" xfId="0" applyNumberFormat="1" applyFont="1" applyAlignment="1">
      <alignment horizontal="center" vertical="center" wrapText="1"/>
    </xf>
    <xf numFmtId="164" fontId="25" fillId="0" borderId="0" xfId="0" applyNumberFormat="1" applyFont="1" applyAlignment="1">
      <alignment horizontal="center" vertical="center" wrapText="1"/>
    </xf>
    <xf numFmtId="0" fontId="0" fillId="0" borderId="14" xfId="0" applyBorder="1"/>
    <xf numFmtId="0" fontId="26" fillId="0" borderId="0" xfId="0" applyFont="1"/>
    <xf numFmtId="164" fontId="26" fillId="13" borderId="18" xfId="0" applyNumberFormat="1" applyFont="1" applyFill="1" applyBorder="1" applyAlignment="1">
      <alignment horizontal="center" vertical="center" wrapText="1"/>
    </xf>
    <xf numFmtId="164" fontId="26" fillId="13" borderId="19" xfId="0" applyNumberFormat="1" applyFont="1" applyFill="1" applyBorder="1" applyAlignment="1">
      <alignment horizontal="center" vertical="center" wrapText="1"/>
    </xf>
    <xf numFmtId="164" fontId="26" fillId="13" borderId="15" xfId="0" applyNumberFormat="1" applyFont="1" applyFill="1" applyBorder="1" applyAlignment="1">
      <alignment horizontal="center" vertical="center" wrapText="1"/>
    </xf>
    <xf numFmtId="164" fontId="26" fillId="6" borderId="15" xfId="0" applyNumberFormat="1" applyFont="1" applyFill="1" applyBorder="1" applyAlignment="1">
      <alignment horizontal="center" vertical="center" wrapText="1"/>
    </xf>
    <xf numFmtId="164" fontId="26" fillId="13" borderId="16" xfId="0" applyNumberFormat="1" applyFont="1" applyFill="1" applyBorder="1" applyAlignment="1">
      <alignment horizontal="center" vertical="center" wrapText="1"/>
    </xf>
    <xf numFmtId="165" fontId="26" fillId="13" borderId="17" xfId="0" applyNumberFormat="1" applyFont="1" applyFill="1" applyBorder="1" applyAlignment="1">
      <alignment horizontal="center" vertical="center" wrapText="1"/>
    </xf>
    <xf numFmtId="165" fontId="26" fillId="13" borderId="18" xfId="0" applyNumberFormat="1" applyFont="1" applyFill="1" applyBorder="1" applyAlignment="1">
      <alignment horizontal="center" vertical="center" wrapText="1"/>
    </xf>
    <xf numFmtId="165" fontId="26" fillId="13" borderId="19" xfId="0" applyNumberFormat="1" applyFont="1" applyFill="1" applyBorder="1" applyAlignment="1">
      <alignment horizontal="center" vertical="center" wrapText="1"/>
    </xf>
    <xf numFmtId="165" fontId="26" fillId="13" borderId="15" xfId="0" applyNumberFormat="1" applyFont="1" applyFill="1" applyBorder="1" applyAlignment="1">
      <alignment horizontal="center" vertical="center" wrapText="1"/>
    </xf>
    <xf numFmtId="165" fontId="26" fillId="6" borderId="15" xfId="0" applyNumberFormat="1" applyFont="1" applyFill="1" applyBorder="1" applyAlignment="1">
      <alignment horizontal="center" vertical="center" wrapText="1"/>
    </xf>
    <xf numFmtId="165" fontId="26" fillId="13" borderId="16" xfId="0" applyNumberFormat="1" applyFont="1" applyFill="1" applyBorder="1" applyAlignment="1">
      <alignment horizontal="center" vertical="center" wrapText="1"/>
    </xf>
    <xf numFmtId="0" fontId="0" fillId="0" borderId="11" xfId="0" applyBorder="1"/>
    <xf numFmtId="0" fontId="0" fillId="0" borderId="23" xfId="0" applyBorder="1"/>
    <xf numFmtId="167" fontId="0" fillId="0" borderId="10" xfId="0" applyNumberFormat="1" applyBorder="1" applyAlignment="1">
      <alignment horizontal="center" vertical="center"/>
    </xf>
    <xf numFmtId="167" fontId="0" fillId="0" borderId="6" xfId="0" applyNumberFormat="1" applyBorder="1"/>
    <xf numFmtId="167" fontId="0" fillId="0" borderId="1" xfId="0" applyNumberFormat="1" applyBorder="1"/>
    <xf numFmtId="0" fontId="14" fillId="0" borderId="0" xfId="0" applyFont="1" applyAlignment="1">
      <alignment vertical="center"/>
    </xf>
    <xf numFmtId="0" fontId="0" fillId="21" borderId="0" xfId="0" applyFill="1" applyAlignment="1">
      <alignment horizontal="center" vertical="center"/>
    </xf>
    <xf numFmtId="0" fontId="0" fillId="22" borderId="0" xfId="0" applyFill="1" applyAlignment="1">
      <alignment horizontal="center" vertical="center"/>
    </xf>
    <xf numFmtId="0" fontId="27" fillId="0" borderId="0" xfId="0" applyFont="1"/>
    <xf numFmtId="0" fontId="27" fillId="0" borderId="4" xfId="0" applyFont="1" applyBorder="1"/>
    <xf numFmtId="0" fontId="28" fillId="0" borderId="7" xfId="0" applyFont="1" applyBorder="1" applyAlignment="1">
      <alignment horizontal="center"/>
    </xf>
    <xf numFmtId="0" fontId="27" fillId="0" borderId="0" xfId="0" applyFont="1" applyAlignment="1">
      <alignment horizontal="center"/>
    </xf>
    <xf numFmtId="0" fontId="27" fillId="0" borderId="3" xfId="0" applyFont="1" applyBorder="1"/>
    <xf numFmtId="0" fontId="28" fillId="0" borderId="7" xfId="0" applyFont="1" applyBorder="1" applyAlignment="1">
      <alignment horizontal="right"/>
    </xf>
    <xf numFmtId="1" fontId="27" fillId="5" borderId="0" xfId="0" applyNumberFormat="1" applyFont="1" applyFill="1" applyAlignment="1">
      <alignment horizontal="center" vertical="center"/>
    </xf>
    <xf numFmtId="0" fontId="27" fillId="0" borderId="3" xfId="0" applyFont="1" applyBorder="1" applyAlignment="1">
      <alignment horizontal="center"/>
    </xf>
    <xf numFmtId="0" fontId="27" fillId="0" borderId="6" xfId="0" applyFont="1" applyBorder="1" applyAlignment="1">
      <alignment horizontal="center"/>
    </xf>
    <xf numFmtId="0" fontId="28" fillId="0" borderId="0" xfId="0" applyFont="1" applyAlignment="1">
      <alignment horizontal="center"/>
    </xf>
    <xf numFmtId="0" fontId="27" fillId="3" borderId="8" xfId="0" applyFont="1" applyFill="1" applyBorder="1" applyAlignment="1">
      <alignment horizontal="center" vertical="center"/>
    </xf>
    <xf numFmtId="1" fontId="27" fillId="5" borderId="8" xfId="0" applyNumberFormat="1" applyFont="1" applyFill="1" applyBorder="1" applyAlignment="1">
      <alignment horizontal="center" vertical="center"/>
    </xf>
    <xf numFmtId="2" fontId="27" fillId="5" borderId="0" xfId="0" applyNumberFormat="1" applyFont="1" applyFill="1" applyAlignment="1">
      <alignment horizontal="center" vertical="center"/>
    </xf>
    <xf numFmtId="0" fontId="27" fillId="3" borderId="0" xfId="0" applyFont="1" applyFill="1" applyAlignment="1">
      <alignment horizontal="center" vertical="center"/>
    </xf>
    <xf numFmtId="0" fontId="27" fillId="0" borderId="5" xfId="0" applyFont="1" applyBorder="1"/>
    <xf numFmtId="0" fontId="14" fillId="0" borderId="0" xfId="0" applyFont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64" fontId="0" fillId="6" borderId="20" xfId="0" applyNumberFormat="1" applyFill="1" applyBorder="1" applyAlignment="1">
      <alignment horizontal="center" vertical="center" wrapText="1"/>
    </xf>
    <xf numFmtId="164" fontId="0" fillId="6" borderId="0" xfId="0" applyNumberFormat="1" applyFill="1" applyAlignment="1">
      <alignment horizontal="center" vertical="center" wrapText="1"/>
    </xf>
    <xf numFmtId="164" fontId="0" fillId="6" borderId="21" xfId="0" applyNumberFormat="1" applyFill="1" applyBorder="1" applyAlignment="1">
      <alignment horizontal="center" vertical="center" wrapText="1"/>
    </xf>
    <xf numFmtId="0" fontId="27" fillId="5" borderId="8" xfId="0" applyFont="1" applyFill="1" applyBorder="1" applyAlignment="1">
      <alignment horizontal="center" vertical="center"/>
    </xf>
    <xf numFmtId="0" fontId="27" fillId="4" borderId="8" xfId="0" applyFont="1" applyFill="1" applyBorder="1" applyAlignment="1">
      <alignment horizontal="center"/>
    </xf>
    <xf numFmtId="0" fontId="27" fillId="4" borderId="8" xfId="0" applyFont="1" applyFill="1" applyBorder="1" applyAlignment="1">
      <alignment horizontal="center" vertical="center"/>
    </xf>
    <xf numFmtId="0" fontId="27" fillId="3" borderId="8" xfId="0" applyFont="1" applyFill="1" applyBorder="1" applyAlignment="1">
      <alignment horizontal="center" vertical="center"/>
    </xf>
    <xf numFmtId="0" fontId="27" fillId="3" borderId="8" xfId="0" applyFont="1" applyFill="1" applyBorder="1" applyAlignment="1">
      <alignment horizontal="center"/>
    </xf>
    <xf numFmtId="0" fontId="14" fillId="13" borderId="20" xfId="0" applyFont="1" applyFill="1" applyBorder="1" applyAlignment="1">
      <alignment horizontal="center" vertical="center"/>
    </xf>
    <xf numFmtId="0" fontId="14" fillId="13" borderId="0" xfId="0" applyFont="1" applyFill="1" applyAlignment="1">
      <alignment horizontal="center" vertical="center"/>
    </xf>
    <xf numFmtId="0" fontId="14" fillId="13" borderId="21" xfId="0" applyFont="1" applyFill="1" applyBorder="1" applyAlignment="1">
      <alignment horizontal="center" vertical="center"/>
    </xf>
    <xf numFmtId="0" fontId="14" fillId="13" borderId="22" xfId="0" applyFont="1" applyFill="1" applyBorder="1" applyAlignment="1">
      <alignment horizontal="center" vertical="center"/>
    </xf>
    <xf numFmtId="0" fontId="14" fillId="6" borderId="22" xfId="0" applyFont="1" applyFill="1" applyBorder="1" applyAlignment="1">
      <alignment horizontal="center" vertical="center"/>
    </xf>
    <xf numFmtId="0" fontId="14" fillId="6" borderId="20" xfId="0" applyFont="1" applyFill="1" applyBorder="1" applyAlignment="1">
      <alignment horizontal="center" vertical="center"/>
    </xf>
    <xf numFmtId="0" fontId="14" fillId="6" borderId="0" xfId="0" applyFont="1" applyFill="1" applyAlignment="1">
      <alignment horizontal="center" vertical="center"/>
    </xf>
    <xf numFmtId="0" fontId="14" fillId="6" borderId="21" xfId="0" applyFont="1" applyFill="1" applyBorder="1" applyAlignment="1">
      <alignment horizontal="center" vertical="center"/>
    </xf>
    <xf numFmtId="49" fontId="14" fillId="13" borderId="20" xfId="0" applyNumberFormat="1" applyFont="1" applyFill="1" applyBorder="1" applyAlignment="1">
      <alignment horizontal="center" vertical="center" wrapText="1"/>
    </xf>
    <xf numFmtId="49" fontId="14" fillId="13" borderId="0" xfId="0" applyNumberFormat="1" applyFont="1" applyFill="1" applyAlignment="1">
      <alignment horizontal="center" vertical="center" wrapText="1"/>
    </xf>
    <xf numFmtId="49" fontId="14" fillId="13" borderId="21" xfId="0" applyNumberFormat="1" applyFont="1" applyFill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top"/>
    </xf>
  </cellXfs>
  <cellStyles count="3">
    <cellStyle name="Lien hypertexte" xfId="1" builtinId="8"/>
    <cellStyle name="Normal" xfId="0" builtinId="0"/>
    <cellStyle name="Normal 3" xfId="2" xr:uid="{3E3443EF-A0C3-4728-8EA0-BEFC173A32CA}"/>
  </cellStyles>
  <dxfs count="1648">
    <dxf>
      <font>
        <color theme="5" tint="-0.499984740745262"/>
      </font>
      <fill>
        <patternFill>
          <bgColor theme="5" tint="0.79998168889431442"/>
        </patternFill>
      </fill>
    </dxf>
    <dxf>
      <font>
        <color theme="5" tint="-0.499984740745262"/>
      </font>
      <fill>
        <patternFill>
          <bgColor theme="5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59996337778862885"/>
        </patternFill>
      </fill>
    </dxf>
    <dxf>
      <numFmt numFmtId="2" formatCode="0.00"/>
      <fill>
        <patternFill patternType="solid">
          <fgColor auto="1"/>
          <bgColor rgb="FFFFCC99"/>
        </patternFill>
      </fill>
    </dxf>
    <dxf>
      <numFmt numFmtId="2" formatCode="0.00"/>
      <fill>
        <patternFill patternType="solid">
          <fgColor auto="1"/>
          <bgColor rgb="FFFFCC66"/>
        </patternFill>
      </fill>
    </dxf>
    <dxf>
      <numFmt numFmtId="2" formatCode="0.00"/>
      <fill>
        <patternFill patternType="solid">
          <fgColor auto="1"/>
          <bgColor rgb="FFFFCC00"/>
        </patternFill>
      </fill>
    </dxf>
    <dxf>
      <numFmt numFmtId="2" formatCode="0.00"/>
      <fill>
        <patternFill patternType="solid">
          <fgColor auto="1"/>
          <bgColor rgb="FFFF9900"/>
        </patternFill>
      </fill>
    </dxf>
    <dxf>
      <font>
        <color theme="7" tint="-0.24994659260841701"/>
      </font>
      <fill>
        <patternFill>
          <bgColor rgb="FFFFF9E7"/>
        </patternFill>
      </fill>
    </dxf>
    <dxf>
      <font>
        <color theme="4" tint="-0.24994659260841701"/>
      </font>
      <fill>
        <patternFill>
          <bgColor theme="4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b/>
        <i val="0"/>
        <color rgb="FF9C0006"/>
      </font>
      <fill>
        <patternFill>
          <bgColor theme="5" tint="0.7999816888943144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9" tint="0.79998168889431442"/>
        </patternFill>
      </fill>
    </dxf>
    <dxf>
      <font>
        <color theme="5" tint="-0.499984740745262"/>
      </font>
      <fill>
        <patternFill>
          <bgColor theme="5" tint="0.79998168889431442"/>
        </patternFill>
      </fill>
    </dxf>
    <dxf>
      <font>
        <color theme="5" tint="-0.499984740745262"/>
      </font>
      <fill>
        <patternFill>
          <bgColor theme="5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59996337778862885"/>
        </patternFill>
      </fill>
    </dxf>
    <dxf>
      <numFmt numFmtId="2" formatCode="0.00"/>
      <fill>
        <patternFill patternType="solid">
          <fgColor auto="1"/>
          <bgColor rgb="FFFFCC99"/>
        </patternFill>
      </fill>
    </dxf>
    <dxf>
      <numFmt numFmtId="2" formatCode="0.00"/>
      <fill>
        <patternFill patternType="solid">
          <fgColor auto="1"/>
          <bgColor rgb="FFFFCC66"/>
        </patternFill>
      </fill>
    </dxf>
    <dxf>
      <numFmt numFmtId="2" formatCode="0.00"/>
      <fill>
        <patternFill patternType="solid">
          <fgColor auto="1"/>
          <bgColor rgb="FFFFCC00"/>
        </patternFill>
      </fill>
    </dxf>
    <dxf>
      <numFmt numFmtId="2" formatCode="0.00"/>
      <fill>
        <patternFill patternType="solid">
          <fgColor auto="1"/>
          <bgColor rgb="FFFF9900"/>
        </patternFill>
      </fill>
    </dxf>
    <dxf>
      <font>
        <color theme="7" tint="-0.24994659260841701"/>
      </font>
      <fill>
        <patternFill>
          <bgColor rgb="FFFFF9E7"/>
        </patternFill>
      </fill>
    </dxf>
    <dxf>
      <font>
        <color theme="4" tint="-0.24994659260841701"/>
      </font>
      <fill>
        <patternFill>
          <bgColor theme="4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b/>
        <i val="0"/>
        <color rgb="FF9C0006"/>
      </font>
      <fill>
        <patternFill>
          <bgColor theme="5" tint="0.7999816888943144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4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255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4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255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4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255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4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255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4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255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4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255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4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255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solid">
          <fgColor indexed="64"/>
          <bgColor rgb="FFCCECFF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solid">
          <fgColor indexed="64"/>
          <bgColor rgb="FFCCECFF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4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255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</dxf>
    <dxf>
      <fill>
        <patternFill patternType="none">
          <fgColor rgb="FF000000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-0.249977111117893"/>
        </patternFill>
      </fill>
      <alignment horizontal="center" vertical="center" textRotation="0" wrapText="0" indent="0" justifyLastLine="0" shrinkToFit="0" readingOrder="0"/>
    </dxf>
    <dxf>
      <numFmt numFmtId="169" formatCode="ddd\-dd\-mmm\-yy"/>
    </dxf>
    <dxf>
      <numFmt numFmtId="169" formatCode="ddd\-dd\-mmm\-yy"/>
    </dxf>
    <dxf>
      <numFmt numFmtId="1" formatCode="0"/>
    </dxf>
    <dxf>
      <numFmt numFmtId="0" formatCode="General"/>
    </dxf>
    <dxf>
      <numFmt numFmtId="169" formatCode="ddd\-dd\-mmm\-yy"/>
    </dxf>
    <dxf>
      <numFmt numFmtId="169" formatCode="ddd\-dd\-mmm\-yy"/>
    </dxf>
    <dxf>
      <alignment horizontal="general" vertical="bottom" textRotation="0" wrapText="1" indent="0" justifyLastLine="0" shrinkToFit="0" readingOrder="0"/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rgb="FF00B0F0"/>
        <name val="Calibri"/>
        <family val="2"/>
        <scheme val="minor"/>
      </font>
      <numFmt numFmtId="19" formatCode="dd/mm/yyyy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3"/>
        <name val="Calibri"/>
        <family val="2"/>
        <scheme val="minor"/>
      </font>
      <numFmt numFmtId="166" formatCode="[$-F800]dddd\,\ mmmm\ dd\,\ yyyy"/>
    </dxf>
    <dxf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4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255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4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255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4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255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4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255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4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255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4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255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4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255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solid">
          <fgColor indexed="64"/>
          <bgColor rgb="FFCCECFF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solid">
          <fgColor indexed="64"/>
          <bgColor rgb="FFCCECFF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4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255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-0.249977111117893"/>
        </patternFill>
      </fill>
      <alignment horizontal="center" vertical="center" textRotation="0" wrapText="0" indent="0" justifyLastLine="0" shrinkToFit="0" readingOrder="0"/>
    </dxf>
    <dxf>
      <border>
        <top/>
        <bottom/>
        <horizontal/>
      </border>
    </dxf>
  </dxfs>
  <tableStyles count="1" defaultTableStyle="TableStyleMedium2" defaultPivotStyle="PivotStyleLight16">
    <tableStyle name="Style de tableau 1" pivot="0" count="1" xr9:uid="{B8EB8D69-EB27-4108-BDA5-5608021C4272}">
      <tableStyleElement type="lastColumn" dxfId="1647"/>
    </tableStyle>
  </tableStyles>
  <colors>
    <mruColors>
      <color rgb="FFFFCC00"/>
      <color rgb="FFFFCC99"/>
      <color rgb="FFFFCC66"/>
      <color rgb="FFFF9900"/>
      <color rgb="FFFFC7CE"/>
      <color rgb="FFFFF9E7"/>
      <color rgb="FF99CCFF"/>
      <color rgb="FFFFE089"/>
      <color rgb="FFFFCCCC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5" Type="http://schemas.openxmlformats.org/officeDocument/2006/relationships/customXml" Target="../customXml/item2.xml"/><Relationship Id="rId10" Type="http://schemas.microsoft.com/office/2017/06/relationships/rdRichValue" Target="richData/rdrichvalue.xml"/><Relationship Id="rId4" Type="http://schemas.openxmlformats.org/officeDocument/2006/relationships/externalLink" Target="externalLinks/externalLink1.xml"/><Relationship Id="rId9" Type="http://schemas.microsoft.com/office/2022/10/relationships/richValueRel" Target="richData/richValueRel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223404</xdr:colOff>
      <xdr:row>0</xdr:row>
      <xdr:rowOff>28574</xdr:rowOff>
    </xdr:from>
    <xdr:to>
      <xdr:col>0</xdr:col>
      <xdr:colOff>889344</xdr:colOff>
      <xdr:row>14</xdr:row>
      <xdr:rowOff>55212</xdr:rowOff>
    </xdr:to>
    <xdr:pic>
      <xdr:nvPicPr>
        <xdr:cNvPr id="4" name="Image 1">
          <a:extLst>
            <a:ext uri="{FF2B5EF4-FFF2-40B4-BE49-F238E27FC236}">
              <a16:creationId xmlns:a16="http://schemas.microsoft.com/office/drawing/2014/main" id="{A88BB911-D92D-F730-DE33-5DF5AF8201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3404" y="28574"/>
          <a:ext cx="665940" cy="192211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77221</xdr:colOff>
      <xdr:row>1</xdr:row>
      <xdr:rowOff>73026</xdr:rowOff>
    </xdr:from>
    <xdr:to>
      <xdr:col>10</xdr:col>
      <xdr:colOff>758824</xdr:colOff>
      <xdr:row>18</xdr:row>
      <xdr:rowOff>169809</xdr:rowOff>
    </xdr:to>
    <xdr:pic>
      <xdr:nvPicPr>
        <xdr:cNvPr id="6" name="Image 1" descr="Illustration 1 - Illustration">
          <a:extLst>
            <a:ext uri="{FF2B5EF4-FFF2-40B4-BE49-F238E27FC236}">
              <a16:creationId xmlns:a16="http://schemas.microsoft.com/office/drawing/2014/main" id="{4C589C2B-4A84-6906-EFB9-02FF522F9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2646" y="444501"/>
          <a:ext cx="1478528" cy="3495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58208</xdr:colOff>
      <xdr:row>1</xdr:row>
      <xdr:rowOff>82550</xdr:rowOff>
    </xdr:from>
    <xdr:to>
      <xdr:col>12</xdr:col>
      <xdr:colOff>741235</xdr:colOff>
      <xdr:row>18</xdr:row>
      <xdr:rowOff>188858</xdr:rowOff>
    </xdr:to>
    <xdr:pic>
      <xdr:nvPicPr>
        <xdr:cNvPr id="5" name="Image 2" descr="Illustration 3 - Illustration">
          <a:extLst>
            <a:ext uri="{FF2B5EF4-FFF2-40B4-BE49-F238E27FC236}">
              <a16:creationId xmlns:a16="http://schemas.microsoft.com/office/drawing/2014/main" id="{F820DFE1-6AC1-A667-6682-6DA61430AC16}"/>
            </a:ext>
            <a:ext uri="{147F2762-F138-4A5C-976F-8EAC2B608ADB}">
              <a16:predDERef xmlns:a16="http://schemas.microsoft.com/office/drawing/2014/main" pred="{4C589C2B-4A84-6906-EFB9-02FF522F9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73833" y="454025"/>
          <a:ext cx="1483127" cy="3505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223404</xdr:colOff>
      <xdr:row>0</xdr:row>
      <xdr:rowOff>28574</xdr:rowOff>
    </xdr:from>
    <xdr:to>
      <xdr:col>0</xdr:col>
      <xdr:colOff>889344</xdr:colOff>
      <xdr:row>14</xdr:row>
      <xdr:rowOff>55212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3A96D68-EBB9-430D-AF41-EE2910D8D7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3404" y="28574"/>
          <a:ext cx="665940" cy="192211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msainstitution.sharepoint.com/sites/iMSA_P_DigitalPNDS-SoS/Documents%20partages/SoS/Suivi/IMSA_PNDS_Suivi%20pilotage.xlsx" TargetMode="External"/><Relationship Id="rId1" Type="http://schemas.openxmlformats.org/officeDocument/2006/relationships/externalLinkPath" Target="https://msainstitution.sharepoint.com/sites/iMSA_P_DigitalPNDS-SoS/Documents%20partages/SoS/Suivi/IMSA_PNDS_Suivi%20pilotag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uivi Equipes"/>
      <sheetName val="TBD-Suivi-LK"/>
      <sheetName val="Global_LasKars"/>
      <sheetName val="Suivi Release - LasKars"/>
      <sheetName val="Import_JIRA_IMSA_PNDS_Laskars"/>
      <sheetName val="Import_JIRA_IMSA_PNDS_Features"/>
      <sheetName val="Chronologie PI"/>
      <sheetName val="Eval. Risks_ Dependencies"/>
      <sheetName val="Matrice des risques"/>
      <sheetName val="Suivi des actions"/>
      <sheetName val="Param"/>
      <sheetName val="Transi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</sheetDataSet>
  </externalBook>
</externalLink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E451B8E3-8F1F-4299-A6A3-45013C1BB51E}" name="SuiviEquipes" displayName="SuiviEquipes" ref="A16:OH51" totalsRowCount="1" headerRowDxfId="1646" dataDxfId="1645">
  <tableColumns count="398">
    <tableColumn id="1" xr3:uid="{7CBF29BB-D2F5-457B-81A5-268C1D5CD940}" name="Ressources" totalsRowLabel="Total" dataDxfId="1644" totalsRowDxfId="1643"/>
    <tableColumn id="2" xr3:uid="{53305076-785F-4ED9-9DC7-B8008B4A4C09}" name="Equipe" totalsRowFunction="count" dataDxfId="1642" totalsRowDxfId="1641"/>
    <tableColumn id="3" xr3:uid="{87D34BF3-4B72-4DDF-97F1-5A4B19A3DBDC}" name="Colonne1" totalsRowFunction="sum" dataDxfId="1640" totalsRowDxfId="1639"/>
    <tableColumn id="4" xr3:uid="{698ABC82-05C3-45AE-B9DB-C164808AE810}" name="Colonne2" totalsRowFunction="sum" dataDxfId="1638" totalsRowDxfId="1637"/>
    <tableColumn id="5" xr3:uid="{8DCCBFC7-70ED-4CFD-A4B0-B77BBD9C21AA}" name="Colonne3" totalsRowFunction="sum" dataDxfId="1636" totalsRowDxfId="1635"/>
    <tableColumn id="6" xr3:uid="{23FDF1E9-9C3B-45C3-B7AA-F0E0462E3A71}" name="Colonne4" totalsRowFunction="sum" dataDxfId="1634" totalsRowDxfId="1633"/>
    <tableColumn id="7" xr3:uid="{12150593-E407-4F4A-A419-788C9CAC5498}" name="Colonne5" totalsRowFunction="sum" dataDxfId="1632" totalsRowDxfId="1631"/>
    <tableColumn id="8" xr3:uid="{9A45FDDA-0B17-4363-B452-D0BE12C28176}" name="Colonne6" totalsRowFunction="sum" dataDxfId="1630" totalsRowDxfId="1629"/>
    <tableColumn id="9" xr3:uid="{038959DB-1735-4D59-80AA-921A4096F61E}" name="Colonne7" totalsRowFunction="sum" dataDxfId="1628" totalsRowDxfId="1627"/>
    <tableColumn id="10" xr3:uid="{1C13C4FE-6D70-4C9E-9925-87E6ABC402D3}" name="Colonne8" totalsRowFunction="sum" dataDxfId="1626" totalsRowDxfId="1625"/>
    <tableColumn id="11" xr3:uid="{AB1D8943-A9AF-45DC-B34E-9509A6A05CCB}" name="Colonne9" totalsRowFunction="sum" dataDxfId="1624" totalsRowDxfId="1623"/>
    <tableColumn id="12" xr3:uid="{F5518271-7855-494B-A396-7A3026935C05}" name="Colonne10" totalsRowFunction="sum" dataDxfId="1622" totalsRowDxfId="1621"/>
    <tableColumn id="13" xr3:uid="{1B37571A-281C-4CFE-B15C-C3B36B3F4E03}" name="Colonne11" totalsRowFunction="sum" dataDxfId="1620" totalsRowDxfId="1619"/>
    <tableColumn id="14" xr3:uid="{623CB5DE-BC02-4EF4-91B5-01CE8308E3F8}" name="Colonne12" totalsRowFunction="sum" dataDxfId="1618" totalsRowDxfId="1617"/>
    <tableColumn id="15" xr3:uid="{8776A669-FBF5-4B4B-9E4A-4CF99B597373}" name="Colonne13" totalsRowFunction="sum" dataDxfId="1616" totalsRowDxfId="1615"/>
    <tableColumn id="16" xr3:uid="{0767F792-EA6B-4DB8-A63F-2279EAF1DF70}" name="Colonne14" totalsRowFunction="sum" dataDxfId="1614" totalsRowDxfId="1613"/>
    <tableColumn id="17" xr3:uid="{645092FD-9F39-410C-B270-B78BEE468817}" name="Colonne15" totalsRowFunction="sum" dataDxfId="1612" totalsRowDxfId="1611"/>
    <tableColumn id="18" xr3:uid="{2B8C202B-A4D7-435D-82E5-1A0E94B15298}" name="Colonne16" totalsRowFunction="sum" dataDxfId="1610" totalsRowDxfId="1609"/>
    <tableColumn id="19" xr3:uid="{21971321-B766-43AE-98B9-9D3BEEA0F047}" name="Colonne17" totalsRowFunction="sum" dataDxfId="1608" totalsRowDxfId="1607"/>
    <tableColumn id="20" xr3:uid="{839D97DF-56FC-46FA-8A1E-7881797C80F2}" name="Colonne18" totalsRowFunction="sum" dataDxfId="1606" totalsRowDxfId="1605"/>
    <tableColumn id="21" xr3:uid="{816E53FB-5EB3-484C-BB9F-7FE5C91E04BB}" name="Colonne19" totalsRowFunction="sum" dataDxfId="1604" totalsRowDxfId="1603"/>
    <tableColumn id="22" xr3:uid="{F8078296-1E15-4777-A984-57FC093316DB}" name="Colonne20" totalsRowFunction="sum" dataDxfId="1602" totalsRowDxfId="1601"/>
    <tableColumn id="23" xr3:uid="{32D1787E-30C3-4D82-B0F4-FF134AB2BA80}" name="Colonne21" totalsRowFunction="sum" dataDxfId="1600" totalsRowDxfId="1599"/>
    <tableColumn id="24" xr3:uid="{D595AEC4-CCD3-45C1-AAE4-3A9E46A71067}" name="Colonne22" totalsRowFunction="sum" dataDxfId="1598" totalsRowDxfId="1597"/>
    <tableColumn id="25" xr3:uid="{3AED8775-904D-42DD-B38C-20E33DA1E18B}" name="Colonne23" totalsRowFunction="sum" dataDxfId="1596" totalsRowDxfId="1595"/>
    <tableColumn id="26" xr3:uid="{11DB4EF4-7F5F-4849-BBA2-C5B76FAD9FAD}" name="Colonne24" totalsRowFunction="sum" dataDxfId="1594" totalsRowDxfId="1593"/>
    <tableColumn id="27" xr3:uid="{6A97EF32-E4B2-45F4-A15A-077DF4D20A11}" name="Colonne25" totalsRowFunction="sum" dataDxfId="1592" totalsRowDxfId="1591"/>
    <tableColumn id="28" xr3:uid="{C5CF387C-2501-4E72-B3B7-029125AE4CCC}" name="Colonne26" totalsRowFunction="sum" dataDxfId="1590" totalsRowDxfId="1589"/>
    <tableColumn id="29" xr3:uid="{D26CD9FD-D753-4046-90D1-980E576A860C}" name="Colonne27" totalsRowFunction="sum" dataDxfId="1588" totalsRowDxfId="1587"/>
    <tableColumn id="30" xr3:uid="{B9FA0E6F-11DF-430C-9C97-C881E2CE2DE0}" name="Colonne28" totalsRowFunction="sum" dataDxfId="1586" totalsRowDxfId="1585"/>
    <tableColumn id="31" xr3:uid="{C0EF8D5F-6B86-4152-AFE8-84209B5038F8}" name="Colonne29" totalsRowFunction="sum" dataDxfId="1584" totalsRowDxfId="1583"/>
    <tableColumn id="32" xr3:uid="{25793498-A111-487A-A6AA-7096DE4714B4}" name="Colonne30" totalsRowFunction="sum" dataDxfId="1582" totalsRowDxfId="1581"/>
    <tableColumn id="33" xr3:uid="{6C077BF0-C402-4753-B931-78C467546D9D}" name="Colonne31" totalsRowFunction="sum" dataDxfId="1580" totalsRowDxfId="1579"/>
    <tableColumn id="34" xr3:uid="{3AE3445E-49D0-403B-84F9-3042169D6D83}" name="Colonne32" totalsRowFunction="sum" dataDxfId="1578" totalsRowDxfId="1577"/>
    <tableColumn id="35" xr3:uid="{D95F2DBE-555A-4416-BFC5-CD471911D54E}" name="Colonne33" totalsRowFunction="sum" dataDxfId="1576" totalsRowDxfId="1575"/>
    <tableColumn id="36" xr3:uid="{04FA8466-F0D8-4B2C-9143-9758D5CADA24}" name="Colonne34" totalsRowFunction="sum" dataDxfId="1574" totalsRowDxfId="1573"/>
    <tableColumn id="37" xr3:uid="{6EDC83A5-72C9-4D32-8189-D9D4C7542ADF}" name="Colonne35" totalsRowFunction="sum" dataDxfId="1572" totalsRowDxfId="1571"/>
    <tableColumn id="38" xr3:uid="{C6CE549A-83C9-45A3-AF72-F18E31FE456E}" name="Colonne36" totalsRowFunction="sum" dataDxfId="1570" totalsRowDxfId="1569"/>
    <tableColumn id="39" xr3:uid="{89436EF7-C553-4E28-8DF2-3220071DF4FE}" name="Colonne37" totalsRowFunction="sum" dataDxfId="1568" totalsRowDxfId="1567"/>
    <tableColumn id="40" xr3:uid="{3BF8CDAC-8D6D-4A4F-AF81-76ACB3C1950D}" name="Colonne38" totalsRowFunction="sum" dataDxfId="1566" totalsRowDxfId="1565"/>
    <tableColumn id="41" xr3:uid="{10095820-0FAA-48E2-9EFC-79997041B40C}" name="Colonne39" totalsRowFunction="sum" dataDxfId="1564" totalsRowDxfId="1563"/>
    <tableColumn id="42" xr3:uid="{9FF0FA11-B92B-4554-BFB8-A138954A2BA7}" name="Colonne40" totalsRowFunction="sum" dataDxfId="1562" totalsRowDxfId="1561"/>
    <tableColumn id="43" xr3:uid="{785D1406-62E8-4782-A878-785319A01F21}" name="Colonne41" totalsRowFunction="sum" dataDxfId="1560" totalsRowDxfId="1559"/>
    <tableColumn id="44" xr3:uid="{9A895696-B258-4C63-8217-83697C90D92A}" name="Colonne42" totalsRowFunction="sum" dataDxfId="1558" totalsRowDxfId="1557"/>
    <tableColumn id="45" xr3:uid="{D7281A78-1D58-47C7-A112-815D7101CF67}" name="Colonne43" totalsRowFunction="sum" dataDxfId="1556" totalsRowDxfId="1555"/>
    <tableColumn id="46" xr3:uid="{BFEEC340-788D-43EE-A720-09E6051461E9}" name="Colonne44" totalsRowFunction="sum" dataDxfId="1554" totalsRowDxfId="1553"/>
    <tableColumn id="47" xr3:uid="{D3718A62-3CFA-47B2-80E5-7DE1A2C4507A}" name="Colonne45" totalsRowFunction="sum" dataDxfId="1552" totalsRowDxfId="1551"/>
    <tableColumn id="48" xr3:uid="{9DB47A58-94E8-4D2B-BA7F-2DD88E35C837}" name="Colonne46" totalsRowFunction="sum" dataDxfId="1550" totalsRowDxfId="1549"/>
    <tableColumn id="49" xr3:uid="{68DF8A8F-4282-4C5C-9EE7-2C8AF5C9F03B}" name="Colonne47" totalsRowFunction="sum" dataDxfId="1548" totalsRowDxfId="1547"/>
    <tableColumn id="50" xr3:uid="{AD705819-42CC-4483-952F-529BD8B3A1D8}" name="Colonne48" totalsRowFunction="sum" dataDxfId="1546" totalsRowDxfId="1545"/>
    <tableColumn id="51" xr3:uid="{63C43860-735F-45EE-AD3E-E91250386CC3}" name="Colonne49" totalsRowFunction="sum" dataDxfId="1544" totalsRowDxfId="1543"/>
    <tableColumn id="52" xr3:uid="{F3C67B96-6D8D-4FF8-A403-32805C0C3C36}" name="Colonne50" totalsRowFunction="sum" dataDxfId="1542" totalsRowDxfId="1541"/>
    <tableColumn id="53" xr3:uid="{44C95D47-16C6-4F16-B729-637570F9F1F2}" name="Colonne51" totalsRowFunction="sum" dataDxfId="1540" totalsRowDxfId="1539"/>
    <tableColumn id="54" xr3:uid="{98CE7FE2-E12B-47A0-A2E2-E3AEB1457147}" name="Colonne52" totalsRowFunction="sum" dataDxfId="1538" totalsRowDxfId="1537"/>
    <tableColumn id="55" xr3:uid="{BF0A2808-23C8-411A-91FD-778C71EDA06D}" name="Colonne53" totalsRowFunction="sum" dataDxfId="1536" totalsRowDxfId="1535"/>
    <tableColumn id="56" xr3:uid="{0397BE97-E08D-41B7-ACB5-D9ECFB9DEF49}" name="Colonne54" totalsRowFunction="sum" dataDxfId="1534" totalsRowDxfId="1533"/>
    <tableColumn id="57" xr3:uid="{58BC62C1-0B5B-4450-BD26-C63A03C2DDAC}" name="Colonne55" totalsRowFunction="sum" dataDxfId="1532" totalsRowDxfId="1531"/>
    <tableColumn id="58" xr3:uid="{D628D1BE-59A4-4303-8D4C-C5684C2E25FF}" name="Colonne56" totalsRowFunction="sum" dataDxfId="1530" totalsRowDxfId="1529"/>
    <tableColumn id="59" xr3:uid="{37F85E81-E424-467F-B797-AE48205BE575}" name="Colonne57" totalsRowFunction="sum" dataDxfId="1528" totalsRowDxfId="1527"/>
    <tableColumn id="60" xr3:uid="{9AE98B8B-715A-4E15-9A3A-5A01C4C47E8A}" name="Colonne58" totalsRowFunction="sum" dataDxfId="1526" totalsRowDxfId="1525"/>
    <tableColumn id="61" xr3:uid="{D087035A-E895-437F-84ED-B451E231611D}" name="Colonne59" totalsRowFunction="sum" dataDxfId="1524" totalsRowDxfId="1523"/>
    <tableColumn id="62" xr3:uid="{63CB3691-9C35-4F13-B2FA-698AA750772C}" name="Colonne60" totalsRowFunction="sum" dataDxfId="1522" totalsRowDxfId="1521"/>
    <tableColumn id="63" xr3:uid="{91BBEF54-B122-43BB-B058-ACC6F54AFA50}" name="Colonne61" totalsRowFunction="sum" dataDxfId="1520" totalsRowDxfId="1519"/>
    <tableColumn id="64" xr3:uid="{BAEE0CE9-E93B-4A46-8B9A-9CAA6DBA560A}" name="Colonne62" totalsRowFunction="sum" dataDxfId="1518" totalsRowDxfId="1517"/>
    <tableColumn id="65" xr3:uid="{9D0071AA-F894-4AF2-87E7-B714F052E53B}" name="Colonne63" totalsRowFunction="sum" dataDxfId="1516" totalsRowDxfId="1515"/>
    <tableColumn id="66" xr3:uid="{9D78DC4A-B459-42D3-AA85-F07C6EAE6464}" name="Colonne64" totalsRowFunction="sum" dataDxfId="1514" totalsRowDxfId="1513"/>
    <tableColumn id="67" xr3:uid="{AE720C5A-E164-4083-81C7-79C741B84672}" name="Colonne65" totalsRowFunction="sum" dataDxfId="1512" totalsRowDxfId="1511"/>
    <tableColumn id="68" xr3:uid="{698324DF-F433-454C-A8A0-F84DC3BCFD75}" name="Colonne66" totalsRowFunction="sum" dataDxfId="1510" totalsRowDxfId="1509"/>
    <tableColumn id="69" xr3:uid="{65CD7AC6-B559-49A3-B0EB-15E63596C812}" name="Colonne67" totalsRowFunction="sum" dataDxfId="1508" totalsRowDxfId="1507"/>
    <tableColumn id="70" xr3:uid="{15A74C10-E88A-4409-A099-291A495D052D}" name="Colonne68" totalsRowFunction="sum" dataDxfId="1506" totalsRowDxfId="1505"/>
    <tableColumn id="71" xr3:uid="{A7A3206D-4459-4589-B6BF-766726D4EF6B}" name="Colonne69" totalsRowFunction="sum" dataDxfId="1504" totalsRowDxfId="1503"/>
    <tableColumn id="72" xr3:uid="{C9B193B7-5F49-4A06-94D7-9E939ACAB3CC}" name="Colonne70" totalsRowFunction="sum" dataDxfId="1502" totalsRowDxfId="1501"/>
    <tableColumn id="73" xr3:uid="{2C321867-061F-4063-9160-D0CEF5E98CC4}" name="Colonne71" totalsRowFunction="sum" dataDxfId="1500" totalsRowDxfId="1499"/>
    <tableColumn id="74" xr3:uid="{7B80EA3F-AE85-4414-925C-74DA79537896}" name="Colonne72" totalsRowFunction="sum" dataDxfId="1498" totalsRowDxfId="1497"/>
    <tableColumn id="75" xr3:uid="{98D146FD-B236-42D9-A333-7FAFB5DD23E7}" name="Colonne73" totalsRowFunction="sum" dataDxfId="1496" totalsRowDxfId="1495"/>
    <tableColumn id="76" xr3:uid="{CBB97412-5EDC-4029-B889-27AAEDD9D37D}" name="Colonne74" totalsRowFunction="sum" dataDxfId="1494" totalsRowDxfId="1493"/>
    <tableColumn id="77" xr3:uid="{7A7B8BCC-937D-42CC-9B64-F043EBCC7CD6}" name="Colonne75" totalsRowFunction="sum" dataDxfId="1492" totalsRowDxfId="1491"/>
    <tableColumn id="78" xr3:uid="{BAE8D567-A820-4878-A622-B4126809E8B7}" name="Colonne76" totalsRowFunction="sum" dataDxfId="1490" totalsRowDxfId="1489"/>
    <tableColumn id="79" xr3:uid="{935A48F4-29D7-44E4-AAC8-B66FB4AD6C88}" name="Colonne77" totalsRowFunction="sum" dataDxfId="1488" totalsRowDxfId="1487"/>
    <tableColumn id="80" xr3:uid="{EC8D0DDA-538A-466F-8BA2-FE5D67093E6B}" name="Colonne78" totalsRowFunction="sum" dataDxfId="1486" totalsRowDxfId="1485"/>
    <tableColumn id="81" xr3:uid="{A8A35883-4AC5-4EFB-AC57-949EAAB909FA}" name="Colonne79" totalsRowFunction="sum" dataDxfId="1484" totalsRowDxfId="1483"/>
    <tableColumn id="82" xr3:uid="{132F49AB-865F-42E5-97FD-A572258F891D}" name="Colonne80" totalsRowFunction="sum" dataDxfId="1482" totalsRowDxfId="1481"/>
    <tableColumn id="83" xr3:uid="{6D591BBB-A039-47F4-9697-7A6DEF175915}" name="Colonne81" totalsRowFunction="sum" dataDxfId="1480" totalsRowDxfId="1479"/>
    <tableColumn id="84" xr3:uid="{E8AFF078-E5DC-4571-BC4E-3814AA712F23}" name="Colonne82" totalsRowFunction="sum" dataDxfId="1478" totalsRowDxfId="1477"/>
    <tableColumn id="85" xr3:uid="{AC32480B-36F4-4923-958A-A957FE35D92B}" name="Colonne83" totalsRowFunction="sum" dataDxfId="1476" totalsRowDxfId="1475"/>
    <tableColumn id="86" xr3:uid="{EECF88BE-C2A4-4540-BDC1-D586A976BE9F}" name="Colonne84" totalsRowFunction="sum" dataDxfId="1474" totalsRowDxfId="1473"/>
    <tableColumn id="87" xr3:uid="{5F59436F-EE7E-4724-A76F-1DE442ED6220}" name="Colonne85" totalsRowFunction="sum" dataDxfId="1472" totalsRowDxfId="1471"/>
    <tableColumn id="88" xr3:uid="{C1A5E88B-CF72-419F-97CA-A9E7513CDFC0}" name="Colonne86" totalsRowFunction="sum" dataDxfId="1470" totalsRowDxfId="1469"/>
    <tableColumn id="89" xr3:uid="{7F7E2C62-4C8B-48DE-AFDC-2A4A34C4A6DC}" name="Colonne87" totalsRowFunction="sum" dataDxfId="1468" totalsRowDxfId="1467"/>
    <tableColumn id="90" xr3:uid="{53004D90-8723-4B6E-A664-A5F86CE393AA}" name="Colonne88" totalsRowFunction="sum" dataDxfId="1466" totalsRowDxfId="1465"/>
    <tableColumn id="91" xr3:uid="{54558AEF-DF46-4FD1-AABB-D1BE8BD8EE67}" name="Colonne89" totalsRowFunction="sum" dataDxfId="1464" totalsRowDxfId="1463"/>
    <tableColumn id="92" xr3:uid="{8B470F98-1720-4262-B8A4-C985DEE78CAB}" name="Colonne90" totalsRowFunction="sum" dataDxfId="1462" totalsRowDxfId="1461"/>
    <tableColumn id="93" xr3:uid="{6D2F98CE-72F2-4A42-8D34-C753D363072B}" name="Colonne91" totalsRowFunction="sum" dataDxfId="1460" totalsRowDxfId="1459"/>
    <tableColumn id="94" xr3:uid="{2BD832BC-0E69-4050-B052-CD8614B555F7}" name="Colonne92" totalsRowFunction="sum" dataDxfId="1458" totalsRowDxfId="1457"/>
    <tableColumn id="95" xr3:uid="{52282209-C2AC-4A77-809B-6BED16F2C718}" name="Colonne93" totalsRowFunction="sum" dataDxfId="1456" totalsRowDxfId="1455"/>
    <tableColumn id="96" xr3:uid="{EC1D617F-2336-40CF-A75B-D2FD0DF01EF6}" name="Colonne94" totalsRowFunction="sum" dataDxfId="1454" totalsRowDxfId="1453"/>
    <tableColumn id="97" xr3:uid="{F5BBA2E3-17B9-4AE6-BA07-65BBD187490E}" name="Colonne95" totalsRowFunction="sum" dataDxfId="1452" totalsRowDxfId="1451"/>
    <tableColumn id="98" xr3:uid="{90C67679-1A68-4B2E-9B36-15938C3B1092}" name="Colonne96" totalsRowFunction="sum" dataDxfId="1450" totalsRowDxfId="1449"/>
    <tableColumn id="99" xr3:uid="{C90A3C7C-5E55-4888-ACBA-F7F0C966BD11}" name="Colonne97" totalsRowFunction="sum" dataDxfId="1448" totalsRowDxfId="1447"/>
    <tableColumn id="100" xr3:uid="{9819149A-BA37-4907-BC27-26916C0B4FA1}" name="Colonne98" totalsRowFunction="sum" dataDxfId="1446" totalsRowDxfId="1445"/>
    <tableColumn id="101" xr3:uid="{02CCEFA5-5A9F-4BA9-8F24-885B2AFCA402}" name="Colonne99" totalsRowFunction="sum" dataDxfId="1444" totalsRowDxfId="1443"/>
    <tableColumn id="102" xr3:uid="{2B901304-7EE6-455F-AF5E-F60BA2EB2362}" name="Colonne100" totalsRowFunction="sum" dataDxfId="1442" totalsRowDxfId="1441"/>
    <tableColumn id="103" xr3:uid="{802E636C-02D0-4098-B51C-70AA160899A7}" name="Colonne101" totalsRowFunction="sum" dataDxfId="1440" totalsRowDxfId="1439"/>
    <tableColumn id="104" xr3:uid="{2049BA48-F79A-4FBB-B438-DD3656183E02}" name="Colonne102" totalsRowFunction="sum" dataDxfId="1438" totalsRowDxfId="1437"/>
    <tableColumn id="105" xr3:uid="{0A740EAF-9DF6-46F7-A783-AFB73393AF90}" name="Colonne103" totalsRowFunction="sum" dataDxfId="1436" totalsRowDxfId="1435"/>
    <tableColumn id="106" xr3:uid="{8CD56595-629B-4961-9EA3-134D86DBEC6C}" name="Colonne104" totalsRowFunction="sum" dataDxfId="1434" totalsRowDxfId="1433"/>
    <tableColumn id="107" xr3:uid="{067A367C-179B-4F0D-94FC-EE7F2801F11A}" name="Colonne105" totalsRowFunction="sum" dataDxfId="1432" totalsRowDxfId="1431"/>
    <tableColumn id="108" xr3:uid="{03DB018C-CEE6-4B5D-AC42-FFE43FA889BB}" name="Colonne106" totalsRowFunction="sum" dataDxfId="1430" totalsRowDxfId="1429"/>
    <tableColumn id="109" xr3:uid="{95CFEB36-BD57-4E10-8BF6-B67422D198A4}" name="Colonne107" totalsRowFunction="sum" dataDxfId="1428" totalsRowDxfId="1427"/>
    <tableColumn id="110" xr3:uid="{7B26DE63-D767-43C5-905C-FB226AE90553}" name="Colonne108" totalsRowFunction="sum" dataDxfId="1426" totalsRowDxfId="1425"/>
    <tableColumn id="111" xr3:uid="{75F05AC8-D879-4194-83F0-611078E73B42}" name="Colonne109" totalsRowFunction="sum" dataDxfId="1424" totalsRowDxfId="1423"/>
    <tableColumn id="112" xr3:uid="{89D820DC-DD6D-4B77-B520-6C9DBAE23B35}" name="Colonne110" totalsRowFunction="sum" dataDxfId="1422" totalsRowDxfId="1421"/>
    <tableColumn id="113" xr3:uid="{F72F1A82-15CA-487C-92C8-CBA5C01B85C9}" name="Colonne111" totalsRowFunction="sum" dataDxfId="1420" totalsRowDxfId="1419"/>
    <tableColumn id="114" xr3:uid="{45619844-67BE-4ACF-84D2-1F43117D10C5}" name="Colonne112" totalsRowFunction="sum" dataDxfId="1418" totalsRowDxfId="1417"/>
    <tableColumn id="115" xr3:uid="{64D4D2C7-546D-4FD6-93B6-0ED4D9B83A53}" name="Colonne113" totalsRowFunction="sum" dataDxfId="1416" totalsRowDxfId="1415"/>
    <tableColumn id="116" xr3:uid="{6B8F5B7E-0244-4B7E-84A1-1AF097A9B3D7}" name="Colonne114" totalsRowFunction="sum" dataDxfId="1414" totalsRowDxfId="1413"/>
    <tableColumn id="117" xr3:uid="{069D411C-7AA2-48CA-82BD-4E2A689B8BAB}" name="Colonne115" totalsRowFunction="sum" dataDxfId="1412" totalsRowDxfId="1411"/>
    <tableColumn id="118" xr3:uid="{9BB0CDC9-FF66-437C-B96E-D1F0181DFC83}" name="Colonne116" totalsRowFunction="sum" dataDxfId="1410" totalsRowDxfId="1409"/>
    <tableColumn id="119" xr3:uid="{FDCD1412-B43D-4784-8D9E-3BD1218AD8B8}" name="Colonne117" totalsRowFunction="sum" dataDxfId="1408" totalsRowDxfId="1407"/>
    <tableColumn id="120" xr3:uid="{5FAC107B-DC10-410F-B526-C376FC692AF9}" name="Colonne118" totalsRowFunction="sum" dataDxfId="1406" totalsRowDxfId="1405"/>
    <tableColumn id="121" xr3:uid="{E7A382EF-7EBB-49A9-810E-54E03B146DAF}" name="Colonne119" totalsRowFunction="sum" dataDxfId="1404" totalsRowDxfId="1403"/>
    <tableColumn id="122" xr3:uid="{F0BA36EB-45EB-4756-90FF-E2E50F4DBC9B}" name="Colonne120" totalsRowFunction="sum" dataDxfId="1402" totalsRowDxfId="1401"/>
    <tableColumn id="123" xr3:uid="{AFA09390-8445-4108-AB26-C0471E360C1A}" name="Colonne121" totalsRowFunction="sum" dataDxfId="1400" totalsRowDxfId="1399"/>
    <tableColumn id="124" xr3:uid="{98B289FF-5DEE-461D-B0EE-6A436ABEA11A}" name="Colonne122" totalsRowFunction="sum" dataDxfId="1398" totalsRowDxfId="1397"/>
    <tableColumn id="125" xr3:uid="{A5EBFE8C-159A-44F0-9DB5-80B2F98C9238}" name="Colonne123" totalsRowFunction="sum" dataDxfId="1396" totalsRowDxfId="1395"/>
    <tableColumn id="126" xr3:uid="{FA1D4838-C7ED-477D-9D43-E38C7EF44B9F}" name="Colonne124" totalsRowFunction="sum" dataDxfId="1394" totalsRowDxfId="1393"/>
    <tableColumn id="127" xr3:uid="{1431D41B-85F4-4B7B-A90E-96E653684A90}" name="Colonne125" totalsRowFunction="sum" dataDxfId="1392" totalsRowDxfId="1391"/>
    <tableColumn id="128" xr3:uid="{2E6E19DE-2676-413F-93A8-D503DDD2BE95}" name="Colonne126" totalsRowFunction="sum" dataDxfId="1390" totalsRowDxfId="1389"/>
    <tableColumn id="129" xr3:uid="{D33EEFA1-EFC7-4417-B94D-26AC2EF2B138}" name="Colonne127" totalsRowFunction="sum" dataDxfId="1388" totalsRowDxfId="1387"/>
    <tableColumn id="130" xr3:uid="{08BA1380-037D-4B53-BA73-99F1B681F1DC}" name="Colonne128" totalsRowFunction="sum" dataDxfId="1386" totalsRowDxfId="1385"/>
    <tableColumn id="131" xr3:uid="{1CE6F77E-F0E9-4490-8488-0341AF54413C}" name="Colonne129" totalsRowFunction="sum" dataDxfId="1384" totalsRowDxfId="1383"/>
    <tableColumn id="132" xr3:uid="{847F33A1-7B6A-4D33-971F-2E576386120D}" name="Colonne130" totalsRowFunction="sum" dataDxfId="1382" totalsRowDxfId="1381"/>
    <tableColumn id="133" xr3:uid="{64102BFB-D22D-4CF8-89A0-7592D4164661}" name="Colonne131" totalsRowFunction="sum" dataDxfId="1380" totalsRowDxfId="1379"/>
    <tableColumn id="134" xr3:uid="{2DFF0584-5BDB-4504-AECC-212945E4C714}" name="Colonne132" totalsRowFunction="sum" dataDxfId="1378" totalsRowDxfId="1377"/>
    <tableColumn id="135" xr3:uid="{BED28BBE-9FB0-4BD8-8634-9440FB749795}" name="Colonne133" totalsRowFunction="sum" dataDxfId="1376" totalsRowDxfId="1375"/>
    <tableColumn id="136" xr3:uid="{632B4E43-A438-43EC-B3B2-CD1CE6F0B72F}" name="Colonne134" totalsRowFunction="sum" dataDxfId="1374" totalsRowDxfId="1373"/>
    <tableColumn id="137" xr3:uid="{7D3A28B3-D148-4F68-8C5F-050143330474}" name="Colonne135" totalsRowFunction="sum" dataDxfId="1372" totalsRowDxfId="1371"/>
    <tableColumn id="138" xr3:uid="{10C5FB4E-7A38-4768-8066-C8BCE5DF10FC}" name="Colonne136" totalsRowFunction="sum" dataDxfId="1370" totalsRowDxfId="1369"/>
    <tableColumn id="139" xr3:uid="{52A34680-29BB-420D-9E00-44524F0D5E4C}" name="Colonne137" totalsRowFunction="sum" dataDxfId="1368" totalsRowDxfId="1367"/>
    <tableColumn id="140" xr3:uid="{DF707A9D-1513-4B3F-B6E6-6B58F7ACD410}" name="Colonne138" totalsRowFunction="sum" dataDxfId="1366" totalsRowDxfId="1365"/>
    <tableColumn id="141" xr3:uid="{7B40A70C-E4B2-4674-9481-CB4904E7D98D}" name="Colonne139" totalsRowFunction="sum" dataDxfId="1364" totalsRowDxfId="1363"/>
    <tableColumn id="142" xr3:uid="{1E3BB0B8-5857-4AC4-97B6-F6CD95A70A2D}" name="Colonne140" totalsRowFunction="sum" dataDxfId="1362" totalsRowDxfId="1361"/>
    <tableColumn id="143" xr3:uid="{D66182AE-27BA-42CC-8F6C-66217CE332C3}" name="Colonne141" totalsRowFunction="sum" dataDxfId="1360" totalsRowDxfId="1359"/>
    <tableColumn id="144" xr3:uid="{2B01CC62-EA0C-4D6C-A0DC-B48D88F75435}" name="Colonne142" totalsRowFunction="sum" dataDxfId="1358" totalsRowDxfId="1357"/>
    <tableColumn id="145" xr3:uid="{1E2DD81D-03A7-4231-B9F4-B648B66A8CEE}" name="Colonne143" totalsRowFunction="sum" dataDxfId="1356" totalsRowDxfId="1355"/>
    <tableColumn id="146" xr3:uid="{83596BBE-B426-4710-8EB6-911AA836ED21}" name="Colonne144" totalsRowFunction="sum" dataDxfId="1354" totalsRowDxfId="1353"/>
    <tableColumn id="147" xr3:uid="{177BCD01-EB73-49EC-94BB-B7800A55E590}" name="Colonne145" totalsRowFunction="sum" dataDxfId="1352" totalsRowDxfId="1351"/>
    <tableColumn id="148" xr3:uid="{28FDD61A-29F9-4A3A-9264-E917AE3FFBA5}" name="Colonne146" totalsRowFunction="sum" dataDxfId="1350" totalsRowDxfId="1349"/>
    <tableColumn id="149" xr3:uid="{9050FED8-771B-464E-9AFF-8E05005C808B}" name="Colonne147" totalsRowFunction="sum" dataDxfId="1348" totalsRowDxfId="1347"/>
    <tableColumn id="150" xr3:uid="{2CEFB86F-538B-40EE-94BE-FDA47C38390F}" name="Colonne148" totalsRowFunction="sum" dataDxfId="1346" totalsRowDxfId="1345"/>
    <tableColumn id="151" xr3:uid="{7D6F1E43-8C11-4F34-802B-DB214D1FBE0F}" name="Colonne149" totalsRowFunction="sum" dataDxfId="1344" totalsRowDxfId="1343"/>
    <tableColumn id="152" xr3:uid="{34F85FF4-2A6E-43A4-85F3-BDAFA4212019}" name="Colonne150" totalsRowFunction="sum" dataDxfId="1342" totalsRowDxfId="1341"/>
    <tableColumn id="153" xr3:uid="{8CF7C875-2C93-4505-9843-ADF2A7B2A6C1}" name="Colonne151" totalsRowFunction="sum" dataDxfId="1340" totalsRowDxfId="1339"/>
    <tableColumn id="154" xr3:uid="{821B9AF0-D546-44A1-81FD-6BDD58EF4CE5}" name="Colonne152" totalsRowFunction="sum" dataDxfId="1338" totalsRowDxfId="1337"/>
    <tableColumn id="155" xr3:uid="{14BDE9E2-EAF1-441E-953C-4D2BB8E29CA3}" name="Colonne153" totalsRowFunction="sum" dataDxfId="1336" totalsRowDxfId="1335"/>
    <tableColumn id="156" xr3:uid="{6D0C6A60-9B88-473B-93BA-530AC6033076}" name="Colonne154" totalsRowFunction="sum" dataDxfId="1334" totalsRowDxfId="1333"/>
    <tableColumn id="157" xr3:uid="{D27AF33A-2B4E-49F9-9517-54435D821056}" name="Colonne155" totalsRowFunction="sum" dataDxfId="1332" totalsRowDxfId="1331"/>
    <tableColumn id="158" xr3:uid="{1977A67A-316B-455C-A0D0-D7E48B7D8A6B}" name="Colonne156" totalsRowFunction="sum" dataDxfId="1330" totalsRowDxfId="1329"/>
    <tableColumn id="159" xr3:uid="{5D698409-F083-4EB8-B978-0283E25B2BAF}" name="Colonne157" totalsRowFunction="sum" dataDxfId="1328" totalsRowDxfId="1327"/>
    <tableColumn id="160" xr3:uid="{35FC1767-F2CA-4E86-825A-20FA512AF097}" name="Colonne158" totalsRowFunction="sum" dataDxfId="1326" totalsRowDxfId="1325"/>
    <tableColumn id="161" xr3:uid="{41919D0D-1616-4CDD-8309-1C8AC12160E2}" name="Colonne159" totalsRowFunction="sum" dataDxfId="1324" totalsRowDxfId="1323"/>
    <tableColumn id="162" xr3:uid="{5925B784-C843-4099-8921-34308C18C623}" name="Colonne160" totalsRowFunction="sum" dataDxfId="1322" totalsRowDxfId="1321"/>
    <tableColumn id="163" xr3:uid="{3622F849-E531-4763-AE1D-F26BAF86CF4D}" name="Colonne161" totalsRowFunction="sum" dataDxfId="1320" totalsRowDxfId="1319"/>
    <tableColumn id="164" xr3:uid="{1C43D06A-2E51-47B8-AB29-A73C31D6D64C}" name="Colonne162" totalsRowFunction="sum" dataDxfId="1318" totalsRowDxfId="1317"/>
    <tableColumn id="165" xr3:uid="{C548CDD7-EA74-4945-A1B8-57DA6613C002}" name="Colonne163" totalsRowFunction="sum" dataDxfId="1316" totalsRowDxfId="1315"/>
    <tableColumn id="166" xr3:uid="{DF01C54C-B6B4-4C08-A050-138BF030BD34}" name="Colonne164" totalsRowFunction="sum" dataDxfId="1314" totalsRowDxfId="1313"/>
    <tableColumn id="167" xr3:uid="{D8EF09DC-2329-4BA7-BA19-B0A3C7B332CF}" name="Colonne165" totalsRowFunction="sum" dataDxfId="1312" totalsRowDxfId="1311"/>
    <tableColumn id="168" xr3:uid="{B9085CD3-68C0-4A12-9A62-BB8388351CFA}" name="Colonne166" totalsRowFunction="sum" dataDxfId="1310" totalsRowDxfId="1309"/>
    <tableColumn id="169" xr3:uid="{0209E70C-3242-49CF-A650-54643901341C}" name="Colonne167" totalsRowFunction="sum" dataDxfId="1308" totalsRowDxfId="1307"/>
    <tableColumn id="170" xr3:uid="{C79C0AF8-401C-4496-ACC1-E5403B323090}" name="Colonne168" totalsRowFunction="sum" dataDxfId="1306" totalsRowDxfId="1305"/>
    <tableColumn id="171" xr3:uid="{3D380ED9-EEF8-4380-BE6B-C446C19A04F0}" name="Colonne169" totalsRowFunction="sum" dataDxfId="1304" totalsRowDxfId="1303"/>
    <tableColumn id="172" xr3:uid="{0D4EA9AD-2D2C-435A-9DDF-A6E96F2A3A5D}" name="Colonne170" totalsRowFunction="sum" dataDxfId="1302" totalsRowDxfId="1301"/>
    <tableColumn id="173" xr3:uid="{E7C9603A-754B-405E-B59D-D193C3036955}" name="Colonne171" totalsRowFunction="sum" dataDxfId="1300" totalsRowDxfId="1299"/>
    <tableColumn id="174" xr3:uid="{22E77783-DB91-4F06-8A44-1C18A3692CDA}" name="Colonne172" totalsRowFunction="sum" dataDxfId="1298" totalsRowDxfId="1297"/>
    <tableColumn id="175" xr3:uid="{5C78B2FF-2C9A-42A3-88BF-2B0A69DEAC87}" name="Colonne173" totalsRowFunction="sum" dataDxfId="1296" totalsRowDxfId="1295"/>
    <tableColumn id="176" xr3:uid="{98A39D1C-E7AB-41E5-A10F-6DEC1C8319E0}" name="Colonne174" totalsRowFunction="sum" dataDxfId="1294" totalsRowDxfId="1293"/>
    <tableColumn id="177" xr3:uid="{180E160E-B468-4ACE-A302-1F021329B2D3}" name="Colonne175" totalsRowFunction="sum" dataDxfId="1292" totalsRowDxfId="1291"/>
    <tableColumn id="178" xr3:uid="{16342E66-A819-4806-B006-90A22CEF82B7}" name="Colonne176" totalsRowFunction="sum" dataDxfId="1290" totalsRowDxfId="1289"/>
    <tableColumn id="179" xr3:uid="{7A0C9A56-2108-43DC-9A38-9C4300B5C5EC}" name="Colonne177" totalsRowFunction="sum" dataDxfId="1288" totalsRowDxfId="1287"/>
    <tableColumn id="180" xr3:uid="{205C4BA1-7CDC-4C47-B73F-CA35F8E07142}" name="Colonne178" totalsRowFunction="sum" dataDxfId="1286" totalsRowDxfId="1285"/>
    <tableColumn id="181" xr3:uid="{7B5D6156-F95E-4615-8A32-71A3B597E7D1}" name="Colonne179" totalsRowFunction="sum" dataDxfId="1284" totalsRowDxfId="1283"/>
    <tableColumn id="182" xr3:uid="{B2C111C2-3F49-4785-8C72-CAAABAC21E77}" name="Colonne180" totalsRowFunction="sum" dataDxfId="1282" totalsRowDxfId="1281"/>
    <tableColumn id="183" xr3:uid="{FC7B7E56-2FCD-4365-B286-CE45A9B92A14}" name="Colonne181" totalsRowFunction="sum" dataDxfId="1280" totalsRowDxfId="1279"/>
    <tableColumn id="184" xr3:uid="{1BB0CB27-D587-4440-AB15-91CF3666C0D3}" name="Colonne182" totalsRowFunction="sum" dataDxfId="1278" totalsRowDxfId="1277"/>
    <tableColumn id="185" xr3:uid="{0A99DF44-A2C2-4021-AFB7-353559EBF1EE}" name="Colonne183" totalsRowFunction="sum" dataDxfId="1276" totalsRowDxfId="1275"/>
    <tableColumn id="186" xr3:uid="{606ADAA3-2BF8-41DC-AF98-776F558896D4}" name="Colonne184" totalsRowFunction="sum" dataDxfId="1274" totalsRowDxfId="1273"/>
    <tableColumn id="187" xr3:uid="{CDE82736-502D-4110-A4C5-EBB2FE6B7C18}" name="Colonne185" totalsRowFunction="sum" dataDxfId="1272" totalsRowDxfId="1271"/>
    <tableColumn id="188" xr3:uid="{635245C5-E0F3-44BB-A35A-24941196988E}" name="Colonne186" totalsRowFunction="sum" dataDxfId="1270" totalsRowDxfId="1269"/>
    <tableColumn id="189" xr3:uid="{CBA7A0D9-B131-40B2-859A-03B387B65DE5}" name="Colonne187" totalsRowFunction="sum" dataDxfId="1268" totalsRowDxfId="1267"/>
    <tableColumn id="190" xr3:uid="{3D0089A7-5896-439B-BB6C-63E3AF77FE59}" name="Colonne188" totalsRowFunction="sum" dataDxfId="1266" totalsRowDxfId="1265"/>
    <tableColumn id="191" xr3:uid="{DC04BCE1-FD7E-43B2-B9FC-BEB0E31CF23C}" name="Colonne189" totalsRowFunction="sum" dataDxfId="1264" totalsRowDxfId="1263"/>
    <tableColumn id="192" xr3:uid="{802C9C5D-36D1-4D7D-A46D-8C001F7C0856}" name="Colonne190" totalsRowFunction="sum" dataDxfId="1262" totalsRowDxfId="1261"/>
    <tableColumn id="193" xr3:uid="{3F5BB84F-B1F1-4F3C-91FB-69793A4AC02B}" name="Colonne191" totalsRowFunction="sum" dataDxfId="1260" totalsRowDxfId="1259"/>
    <tableColumn id="194" xr3:uid="{1F188BDE-056A-4AE1-9C61-980A1D83B97E}" name="Colonne192" totalsRowFunction="sum" dataDxfId="1258" totalsRowDxfId="1257"/>
    <tableColumn id="195" xr3:uid="{0FC42794-2A70-4267-B04C-C87E34F4A014}" name="Colonne193" totalsRowFunction="sum" dataDxfId="1256" totalsRowDxfId="1255"/>
    <tableColumn id="196" xr3:uid="{5DC7357E-6F26-4DA5-BB36-68555D41F380}" name="Colonne194" totalsRowFunction="sum" dataDxfId="1254" totalsRowDxfId="1253"/>
    <tableColumn id="197" xr3:uid="{5DC9388B-8441-4946-A671-85172F1C4957}" name="Colonne195" totalsRowFunction="sum" dataDxfId="1252" totalsRowDxfId="1251"/>
    <tableColumn id="198" xr3:uid="{A63E5082-3E66-41ED-97FC-994B1540D049}" name="Colonne196" totalsRowFunction="sum" dataDxfId="1250" totalsRowDxfId="1249"/>
    <tableColumn id="199" xr3:uid="{4500CC33-1073-4E94-9643-7BDA02E1DAD1}" name="Colonne197" totalsRowFunction="sum" dataDxfId="1248" totalsRowDxfId="1247"/>
    <tableColumn id="200" xr3:uid="{937F307B-5890-499D-A0CF-08C05A7D3D68}" name="Colonne198" totalsRowFunction="sum" dataDxfId="1246" totalsRowDxfId="1245"/>
    <tableColumn id="201" xr3:uid="{1ABA3B35-4623-4B73-8F77-CE51DEAD5239}" name="Colonne199" totalsRowFunction="sum" dataDxfId="1244" totalsRowDxfId="1243"/>
    <tableColumn id="202" xr3:uid="{F0A843EF-1D77-49DA-803D-B5D6CF081391}" name="Colonne200" totalsRowFunction="sum" dataDxfId="1242" totalsRowDxfId="1241"/>
    <tableColumn id="203" xr3:uid="{3B0E4312-9952-4E5C-92AC-F7E3EB636EE3}" name="Colonne201" totalsRowFunction="sum" dataDxfId="1240" totalsRowDxfId="1239"/>
    <tableColumn id="204" xr3:uid="{D01179FC-C6DC-445B-B663-CB424BC5E54F}" name="Colonne202" totalsRowFunction="sum" dataDxfId="1238" totalsRowDxfId="1237"/>
    <tableColumn id="205" xr3:uid="{000B3CF7-6AAB-4889-AA83-61A8C6CD5416}" name="Colonne203" totalsRowFunction="sum" dataDxfId="1236" totalsRowDxfId="1235"/>
    <tableColumn id="206" xr3:uid="{656FD763-0477-4A4C-9E16-E9513A9259BF}" name="Colonne204" totalsRowFunction="sum" dataDxfId="1234" totalsRowDxfId="1233"/>
    <tableColumn id="207" xr3:uid="{49BA9511-E0A1-40CB-BD29-DE6E3E65F3C9}" name="Colonne205" totalsRowFunction="sum" dataDxfId="1232" totalsRowDxfId="1231"/>
    <tableColumn id="208" xr3:uid="{3EF891EE-2C67-4D40-94F3-A8F0F7CB72AD}" name="Colonne206" totalsRowFunction="sum" dataDxfId="1230" totalsRowDxfId="1229"/>
    <tableColumn id="209" xr3:uid="{E4C84C9B-5B88-4224-8A16-2630C22C159B}" name="Colonne207" totalsRowFunction="sum" dataDxfId="1228" totalsRowDxfId="1227"/>
    <tableColumn id="210" xr3:uid="{96F74E52-D2C4-43AA-9FBE-9CB271D5181F}" name="Colonne208" totalsRowFunction="sum" dataDxfId="1226" totalsRowDxfId="1225"/>
    <tableColumn id="211" xr3:uid="{4EA87573-880E-408C-9470-8F88E1405845}" name="Colonne209" totalsRowFunction="sum" dataDxfId="1224" totalsRowDxfId="1223"/>
    <tableColumn id="212" xr3:uid="{73131CAA-10A4-4A78-959B-6FB6C61A3CF5}" name="Colonne210" totalsRowFunction="sum" dataDxfId="1222" totalsRowDxfId="1221"/>
    <tableColumn id="213" xr3:uid="{B67AA580-2C51-4790-81EF-6C61BAAA8998}" name="Colonne211" totalsRowFunction="sum" dataDxfId="1220" totalsRowDxfId="1219"/>
    <tableColumn id="214" xr3:uid="{4B9DDA25-205A-414E-9414-A5A22020B2C1}" name="Colonne212" totalsRowFunction="sum" dataDxfId="1218" totalsRowDxfId="1217"/>
    <tableColumn id="215" xr3:uid="{06173FC4-FBEB-477A-B00A-44D91D5B07E2}" name="Colonne213" totalsRowFunction="sum" dataDxfId="1216" totalsRowDxfId="1215"/>
    <tableColumn id="216" xr3:uid="{2F93D575-6C47-4C8B-A338-5298AA044588}" name="Colonne214" totalsRowFunction="sum" dataDxfId="1214" totalsRowDxfId="1213"/>
    <tableColumn id="217" xr3:uid="{8EE6152E-9247-401E-9E08-E9A815EDD3B7}" name="Colonne215" totalsRowFunction="sum" dataDxfId="1212" totalsRowDxfId="1211"/>
    <tableColumn id="218" xr3:uid="{60CF6AAB-2D58-4D64-9F5C-E86A5B49A120}" name="Colonne216" totalsRowFunction="sum" dataDxfId="1210" totalsRowDxfId="1209"/>
    <tableColumn id="219" xr3:uid="{BA9843D3-3E9F-4935-8B5A-69BAB023C893}" name="Colonne217" totalsRowFunction="sum" dataDxfId="1208" totalsRowDxfId="1207"/>
    <tableColumn id="220" xr3:uid="{6CC52567-2AD8-4ADE-85BD-416EA74AD281}" name="Colonne218" totalsRowFunction="sum" dataDxfId="1206" totalsRowDxfId="1205"/>
    <tableColumn id="221" xr3:uid="{332157C5-2649-4622-9906-C509B9DB1A2C}" name="Colonne219" totalsRowFunction="sum" dataDxfId="1204" totalsRowDxfId="1203"/>
    <tableColumn id="222" xr3:uid="{81F17CCA-D158-4E20-9D29-E994C1672C7D}" name="Colonne220" totalsRowFunction="sum" dataDxfId="1202" totalsRowDxfId="1201"/>
    <tableColumn id="223" xr3:uid="{38B2FD75-CAE3-4423-9F1D-FF5148F57750}" name="Colonne221" totalsRowFunction="sum" dataDxfId="1200" totalsRowDxfId="1199"/>
    <tableColumn id="224" xr3:uid="{A16AEB87-1BF0-4966-9818-CC715B77AEC0}" name="Colonne222" totalsRowFunction="sum" dataDxfId="1198" totalsRowDxfId="1197"/>
    <tableColumn id="225" xr3:uid="{0BA6C63B-7ED1-40EA-97E2-CC9EE5DEAD35}" name="Colonne223" totalsRowFunction="sum" dataDxfId="1196" totalsRowDxfId="1195"/>
    <tableColumn id="226" xr3:uid="{3BB14BFC-B1B6-49D3-8ABA-3E2B3AB536E8}" name="Colonne224" totalsRowFunction="sum" dataDxfId="1194" totalsRowDxfId="1193"/>
    <tableColumn id="227" xr3:uid="{402BEB6E-F559-4923-A0E5-C790DA18BCF5}" name="Colonne225" totalsRowFunction="sum" dataDxfId="1192" totalsRowDxfId="1191"/>
    <tableColumn id="228" xr3:uid="{EF5FA30A-2AAF-4C22-8131-9506A794D4B6}" name="Colonne226" totalsRowFunction="sum" dataDxfId="1190" totalsRowDxfId="1189"/>
    <tableColumn id="229" xr3:uid="{803DDECB-DCD5-42FF-AB6E-1059D122FE8A}" name="Colonne227" totalsRowFunction="sum" dataDxfId="1188" totalsRowDxfId="1187"/>
    <tableColumn id="230" xr3:uid="{5CAEBC2B-3FA5-4E12-9E9C-2E5F1A582643}" name="Colonne228" totalsRowFunction="sum" dataDxfId="1186" totalsRowDxfId="1185"/>
    <tableColumn id="231" xr3:uid="{87AB7245-C539-4AC5-B75E-95DF90B881EF}" name="Colonne229" totalsRowFunction="sum" dataDxfId="1184" totalsRowDxfId="1183"/>
    <tableColumn id="232" xr3:uid="{46FA6CC0-8F6F-4EC2-8F56-684FC461A82A}" name="Colonne230" totalsRowFunction="sum" dataDxfId="1182" totalsRowDxfId="1181"/>
    <tableColumn id="233" xr3:uid="{BC0A0341-23CB-498C-AED7-A88717857137}" name="Colonne231" totalsRowFunction="sum" dataDxfId="1180" totalsRowDxfId="1179"/>
    <tableColumn id="234" xr3:uid="{1E29C2AC-4A57-4917-9EB5-461D1EFD9E70}" name="Colonne232" totalsRowFunction="sum" dataDxfId="1178" totalsRowDxfId="1177"/>
    <tableColumn id="235" xr3:uid="{76C238E5-FD46-42FF-BCE7-11404135065D}" name="Colonne233" totalsRowFunction="sum" dataDxfId="1176" totalsRowDxfId="1175"/>
    <tableColumn id="236" xr3:uid="{C30472B5-0960-47B0-ACC5-C84B54B0AA0A}" name="Colonne234" totalsRowFunction="sum" dataDxfId="1174" totalsRowDxfId="1173"/>
    <tableColumn id="237" xr3:uid="{1BC42E7D-E8C5-4889-9DAE-14C0D1B54A21}" name="Colonne235" totalsRowFunction="sum" dataDxfId="1172" totalsRowDxfId="1171"/>
    <tableColumn id="238" xr3:uid="{DC540D9F-C672-4902-870B-B8C9DBD6A6C3}" name="Colonne236" totalsRowFunction="sum" dataDxfId="1170" totalsRowDxfId="1169"/>
    <tableColumn id="239" xr3:uid="{4679B45A-FA0D-4E37-85A1-90FC033796CB}" name="Colonne237" totalsRowFunction="sum" dataDxfId="1168" totalsRowDxfId="1167"/>
    <tableColumn id="240" xr3:uid="{8CC797BD-F533-493D-9CDF-17FE7007C30A}" name="Colonne238" totalsRowFunction="sum" dataDxfId="1166" totalsRowDxfId="1165"/>
    <tableColumn id="241" xr3:uid="{61E5B8D1-5D61-44FD-A62F-A0D8AB108182}" name="Colonne239" totalsRowFunction="sum" dataDxfId="1164" totalsRowDxfId="1163"/>
    <tableColumn id="242" xr3:uid="{AB5E4540-0847-49B9-B104-79D92CD75DA2}" name="Colonne240" totalsRowFunction="sum" dataDxfId="1162" totalsRowDxfId="1161"/>
    <tableColumn id="243" xr3:uid="{AF83249A-F22D-4809-8749-3699D25308BD}" name="Colonne241" totalsRowFunction="sum" dataDxfId="1160" totalsRowDxfId="1159"/>
    <tableColumn id="244" xr3:uid="{8C7B37DA-EB80-4154-ACDB-0B0B03050D07}" name="Colonne242" totalsRowFunction="sum" dataDxfId="1158" totalsRowDxfId="1157"/>
    <tableColumn id="245" xr3:uid="{47B45292-1706-4ED6-AD84-27E9CFA2F6D6}" name="Colonne243" totalsRowFunction="sum" dataDxfId="1156" totalsRowDxfId="1155"/>
    <tableColumn id="246" xr3:uid="{F85C1C9F-DFCA-4491-A93C-8935CD48801E}" name="Colonne244" totalsRowFunction="sum" dataDxfId="1154" totalsRowDxfId="1153"/>
    <tableColumn id="247" xr3:uid="{B51AC878-0BF1-450B-86B7-8A0ED1CE384D}" name="Colonne245" totalsRowFunction="sum" dataDxfId="1152" totalsRowDxfId="1151"/>
    <tableColumn id="248" xr3:uid="{372C6EA0-5E50-4019-828D-6231021E4841}" name="Colonne246" totalsRowFunction="sum" dataDxfId="1150" totalsRowDxfId="1149"/>
    <tableColumn id="249" xr3:uid="{6A7485FE-D166-419A-AC8A-6E68A09FF8F0}" name="Colonne247" totalsRowFunction="sum" dataDxfId="1148" totalsRowDxfId="1147"/>
    <tableColumn id="250" xr3:uid="{1BA20144-89D2-4473-A21D-6A9925DC65F0}" name="Colonne248" totalsRowFunction="sum" dataDxfId="1146" totalsRowDxfId="1145"/>
    <tableColumn id="251" xr3:uid="{8AF3AC04-C6C9-4588-AB59-FE5EC2EB95DA}" name="Colonne249" totalsRowFunction="sum" dataDxfId="1144" totalsRowDxfId="1143"/>
    <tableColumn id="252" xr3:uid="{B627AB50-1355-4488-90D3-66660EA3FE08}" name="Colonne250" totalsRowFunction="sum" dataDxfId="1142" totalsRowDxfId="1141"/>
    <tableColumn id="253" xr3:uid="{7A32A3B9-5826-4B7A-993B-3F053396447A}" name="Colonne251" totalsRowFunction="sum" dataDxfId="1140" totalsRowDxfId="1139"/>
    <tableColumn id="254" xr3:uid="{20D5B07C-395F-43E0-8D03-5F5AE40D7206}" name="Colonne252" totalsRowFunction="sum" dataDxfId="1138" totalsRowDxfId="1137"/>
    <tableColumn id="255" xr3:uid="{A0803277-FC4C-4EBF-A421-9B9D4F581D99}" name="Colonne253" totalsRowFunction="sum" dataDxfId="1136" totalsRowDxfId="1135"/>
    <tableColumn id="256" xr3:uid="{B29302F2-9D6E-4F16-98A1-9E1CB9DC74B5}" name="Colonne254" totalsRowFunction="sum" dataDxfId="1134" totalsRowDxfId="1133"/>
    <tableColumn id="257" xr3:uid="{049C61BB-5209-44FA-84AC-DEDA3BBC37C0}" name="Colonne255" totalsRowFunction="sum" dataDxfId="1132" totalsRowDxfId="1131"/>
    <tableColumn id="258" xr3:uid="{4D827B32-58DD-45FD-99DD-98297AADF8B2}" name="Colonne256" totalsRowFunction="sum" dataDxfId="1130" totalsRowDxfId="1129"/>
    <tableColumn id="259" xr3:uid="{37661BC2-8E92-4A2D-A549-FB1D304C7B77}" name="Colonne257" totalsRowFunction="sum" dataDxfId="1128" totalsRowDxfId="1127"/>
    <tableColumn id="260" xr3:uid="{6D8E427E-F191-45AE-9043-50D32DEF3665}" name="Colonne258" totalsRowFunction="sum" dataDxfId="1126" totalsRowDxfId="1125"/>
    <tableColumn id="261" xr3:uid="{78453EC3-EC1B-4C53-B74B-DBBE589089E4}" name="Colonne259" totalsRowFunction="sum" dataDxfId="1124" totalsRowDxfId="1123"/>
    <tableColumn id="262" xr3:uid="{5162A656-657B-4AFE-B4AB-B3D68D38B274}" name="Colonne260" totalsRowFunction="sum" dataDxfId="1122" totalsRowDxfId="1121"/>
    <tableColumn id="263" xr3:uid="{56240B46-7C04-40F5-8ACB-7F73E1912144}" name="Colonne261" totalsRowFunction="sum" dataDxfId="1120" totalsRowDxfId="1119"/>
    <tableColumn id="264" xr3:uid="{E1FA00F5-5023-4A29-91E0-DA46ACF5EB23}" name="Colonne262" totalsRowFunction="sum" dataDxfId="1118" totalsRowDxfId="1117"/>
    <tableColumn id="265" xr3:uid="{FD9A5465-DD0F-47D2-93EC-16A4C4FF6EB1}" name="Colonne263" totalsRowFunction="sum" dataDxfId="1116" totalsRowDxfId="1115"/>
    <tableColumn id="266" xr3:uid="{E7F12E48-0827-4BCB-A2C7-139D5969A5E9}" name="Colonne264" totalsRowFunction="sum" dataDxfId="1114" totalsRowDxfId="1113"/>
    <tableColumn id="267" xr3:uid="{BB024133-A12F-4C2E-B8AB-9249ED082CB1}" name="Colonne265" totalsRowFunction="sum" dataDxfId="1112" totalsRowDxfId="1111"/>
    <tableColumn id="268" xr3:uid="{E35AC7C8-0E7C-493D-897C-1E538689DF52}" name="Colonne266" totalsRowFunction="sum" dataDxfId="1110" totalsRowDxfId="1109"/>
    <tableColumn id="269" xr3:uid="{1F2FE5A9-AD94-4BEC-8CBF-139AE235819B}" name="Colonne267" totalsRowFunction="sum" dataDxfId="1108" totalsRowDxfId="1107"/>
    <tableColumn id="270" xr3:uid="{CB71C668-DCC5-478F-831C-D431AE987AF7}" name="Colonne268" totalsRowFunction="sum" dataDxfId="1106" totalsRowDxfId="1105"/>
    <tableColumn id="271" xr3:uid="{CCAB7EEC-B035-4CC2-B0FA-31AEF065473A}" name="Colonne269" totalsRowFunction="sum" dataDxfId="1104" totalsRowDxfId="1103"/>
    <tableColumn id="272" xr3:uid="{FE81CB64-1B44-48AA-B6B1-ACA1A1E43B62}" name="Colonne270" totalsRowFunction="sum" dataDxfId="1102" totalsRowDxfId="1101"/>
    <tableColumn id="273" xr3:uid="{3854595A-D405-4AC0-BF50-67D9AD061D19}" name="Colonne271" totalsRowFunction="sum" dataDxfId="1100" totalsRowDxfId="1099"/>
    <tableColumn id="274" xr3:uid="{A120DF47-B108-47C2-941B-43D8FABEE4E3}" name="Colonne272" totalsRowFunction="sum" dataDxfId="1098" totalsRowDxfId="1097"/>
    <tableColumn id="275" xr3:uid="{EFAC927A-47A2-4D5F-981D-D066CD29E63F}" name="Colonne273" totalsRowFunction="sum" dataDxfId="1096" totalsRowDxfId="1095"/>
    <tableColumn id="276" xr3:uid="{822FB787-E8FD-4B01-AEAC-7E2DAE44F4AC}" name="Colonne274" totalsRowFunction="sum" dataDxfId="1094" totalsRowDxfId="1093"/>
    <tableColumn id="277" xr3:uid="{3FEF9C88-05EB-465B-9D0C-18EE5A4671E5}" name="Colonne275" totalsRowFunction="sum" dataDxfId="1092" totalsRowDxfId="1091"/>
    <tableColumn id="278" xr3:uid="{55E356AF-9425-4D6A-AA0E-A9E17E285169}" name="Colonne276" totalsRowFunction="sum" dataDxfId="1090" totalsRowDxfId="1089"/>
    <tableColumn id="279" xr3:uid="{A601556C-1BCF-40E9-9AF7-628AC7A61D64}" name="Colonne277" totalsRowFunction="sum" dataDxfId="1088" totalsRowDxfId="1087"/>
    <tableColumn id="280" xr3:uid="{50C78316-8969-45F8-A4CF-89D2B05D8FF5}" name="Colonne278" totalsRowFunction="sum" dataDxfId="1086" totalsRowDxfId="1085"/>
    <tableColumn id="281" xr3:uid="{B9F52C90-3E03-4FC6-A67D-8BB65C6FB9A2}" name="Colonne279" totalsRowFunction="sum" dataDxfId="1084" totalsRowDxfId="1083"/>
    <tableColumn id="282" xr3:uid="{19E1BF2F-E5A1-48F6-BE10-4053D6A9899A}" name="Colonne280" totalsRowFunction="sum" dataDxfId="1082" totalsRowDxfId="1081"/>
    <tableColumn id="283" xr3:uid="{C3FA1BA2-0A55-4D88-AC4E-131A8C6B9819}" name="Colonne281" totalsRowFunction="sum" dataDxfId="1080" totalsRowDxfId="1079"/>
    <tableColumn id="284" xr3:uid="{F2094FBF-F374-4E0B-80B4-9B7D43BA1773}" name="Colonne282" totalsRowFunction="sum" dataDxfId="1078" totalsRowDxfId="1077"/>
    <tableColumn id="285" xr3:uid="{ED92BD19-74CE-45EE-A48C-975373CB444F}" name="Colonne283" totalsRowFunction="sum" dataDxfId="1076" totalsRowDxfId="1075"/>
    <tableColumn id="286" xr3:uid="{B72DC85E-81CC-496C-AF02-B66642CF1407}" name="Colonne284" totalsRowFunction="sum" dataDxfId="1074" totalsRowDxfId="1073"/>
    <tableColumn id="287" xr3:uid="{44FCAEF7-AC67-492F-B610-77A7253F8C89}" name="Colonne285" totalsRowFunction="sum" dataDxfId="1072" totalsRowDxfId="1071"/>
    <tableColumn id="288" xr3:uid="{28E0D9EF-3706-4D8B-B57B-27B6F84D3C78}" name="Colonne286" totalsRowFunction="sum" dataDxfId="1070" totalsRowDxfId="1069"/>
    <tableColumn id="289" xr3:uid="{B1B5B53C-19B4-4D3D-876D-9CBCC243A7F3}" name="Colonne287" totalsRowFunction="sum" dataDxfId="1068" totalsRowDxfId="1067"/>
    <tableColumn id="290" xr3:uid="{13DE7F8B-770D-4EF1-B6AA-5789B7DDA21A}" name="Colonne288" totalsRowFunction="sum" dataDxfId="1066" totalsRowDxfId="1065"/>
    <tableColumn id="291" xr3:uid="{DD0C0195-4EB8-4536-8A90-71CD0B4E85A9}" name="Colonne289" totalsRowFunction="sum" dataDxfId="1064" totalsRowDxfId="1063"/>
    <tableColumn id="292" xr3:uid="{0535D044-673B-41F5-AE2F-3ECDDBC0112B}" name="Colonne290" totalsRowFunction="sum" dataDxfId="1062" totalsRowDxfId="1061"/>
    <tableColumn id="293" xr3:uid="{E72B275A-066D-4064-82A6-B953D7CEE647}" name="Colonne291" totalsRowFunction="sum" dataDxfId="1060" totalsRowDxfId="1059"/>
    <tableColumn id="294" xr3:uid="{88A4851B-ADEF-42FC-95B2-3FF620F04CF9}" name="Colonne292" totalsRowFunction="sum" dataDxfId="1058" totalsRowDxfId="1057"/>
    <tableColumn id="295" xr3:uid="{3ABA2850-DECB-47C3-A05F-E099242C10C1}" name="Colonne293" totalsRowFunction="sum" dataDxfId="1056" totalsRowDxfId="1055"/>
    <tableColumn id="296" xr3:uid="{A2710919-E63C-474C-9C3D-E042DBB3F731}" name="Colonne294" totalsRowFunction="sum" dataDxfId="1054" totalsRowDxfId="1053"/>
    <tableColumn id="297" xr3:uid="{E5CC4C96-DBD9-4D57-971D-364D893DE461}" name="Colonne295" totalsRowFunction="sum" dataDxfId="1052" totalsRowDxfId="1051"/>
    <tableColumn id="298" xr3:uid="{7F2D3E8D-44E5-45FC-ACF5-8CBAA41F38DC}" name="Colonne296" totalsRowFunction="sum" dataDxfId="1050" totalsRowDxfId="1049"/>
    <tableColumn id="299" xr3:uid="{46AE2891-02E9-41F5-9A46-7B6308968E46}" name="Colonne297" totalsRowFunction="sum" dataDxfId="1048" totalsRowDxfId="1047"/>
    <tableColumn id="300" xr3:uid="{AC79B5B8-F9B5-43AE-8A54-FD910C47B871}" name="Colonne298" totalsRowFunction="sum" dataDxfId="1046" totalsRowDxfId="1045"/>
    <tableColumn id="301" xr3:uid="{A450F646-D21A-443D-A33D-E46F514DC1D2}" name="Colonne299" totalsRowFunction="sum" dataDxfId="1044" totalsRowDxfId="1043"/>
    <tableColumn id="302" xr3:uid="{CB6F017A-0026-41D1-9FB5-3A5C70E430EA}" name="Colonne300" totalsRowFunction="sum" dataDxfId="1042" totalsRowDxfId="1041"/>
    <tableColumn id="303" xr3:uid="{49A05BA2-93E6-4C7F-B652-D407E2E0D385}" name="Colonne301" totalsRowFunction="sum" dataDxfId="1040" totalsRowDxfId="1039"/>
    <tableColumn id="304" xr3:uid="{7A0A1571-E375-41C4-BE38-35FD5108BD33}" name="Colonne302" totalsRowFunction="sum" dataDxfId="1038" totalsRowDxfId="1037"/>
    <tableColumn id="305" xr3:uid="{D20E8F3C-8B96-49AC-8F3B-522D4E6C4B38}" name="Colonne303" totalsRowFunction="sum" dataDxfId="1036" totalsRowDxfId="1035"/>
    <tableColumn id="306" xr3:uid="{0BD9EA80-8D75-40BD-BC15-C7C12B4D30E0}" name="Colonne304" totalsRowFunction="sum" dataDxfId="1034" totalsRowDxfId="1033"/>
    <tableColumn id="307" xr3:uid="{DEBBA38D-C14B-4111-8CB1-41D7E0D40195}" name="Colonne305" totalsRowFunction="sum" dataDxfId="1032" totalsRowDxfId="1031"/>
    <tableColumn id="308" xr3:uid="{8B64A817-7516-42BC-A917-E82E323D8D1B}" name="Colonne306" totalsRowFunction="sum" dataDxfId="1030" totalsRowDxfId="1029"/>
    <tableColumn id="309" xr3:uid="{3A3FDB29-0491-42A8-8CBF-71E32E5DBBA8}" name="Colonne307" totalsRowFunction="sum" dataDxfId="1028" totalsRowDxfId="1027"/>
    <tableColumn id="310" xr3:uid="{B6061D16-8B31-447E-B852-09DA1CCBB537}" name="Colonne308" totalsRowFunction="sum" dataDxfId="1026" totalsRowDxfId="1025"/>
    <tableColumn id="311" xr3:uid="{766511B7-8695-4E27-996D-C21E18ADD8C7}" name="Colonne309" totalsRowFunction="sum" dataDxfId="1024" totalsRowDxfId="1023"/>
    <tableColumn id="312" xr3:uid="{BAD75172-401F-4F44-9254-FD02D3E7E756}" name="Colonne310" totalsRowFunction="sum" dataDxfId="1022" totalsRowDxfId="1021"/>
    <tableColumn id="313" xr3:uid="{04BBDE40-06A7-4925-BDA7-4CD24D325C87}" name="Colonne311" totalsRowFunction="sum" dataDxfId="1020" totalsRowDxfId="1019"/>
    <tableColumn id="314" xr3:uid="{CE2679CD-E2E3-45A7-9A42-54B874BE838F}" name="Colonne312" totalsRowFunction="sum" dataDxfId="1018" totalsRowDxfId="1017"/>
    <tableColumn id="315" xr3:uid="{4D5579E2-F7C0-4522-9E54-C6D74A144DF4}" name="Colonne313" totalsRowFunction="sum" dataDxfId="1016" totalsRowDxfId="1015"/>
    <tableColumn id="316" xr3:uid="{C78715D9-8E66-4555-BF55-F38F45A35088}" name="Colonne314" totalsRowFunction="sum" dataDxfId="1014" totalsRowDxfId="1013"/>
    <tableColumn id="317" xr3:uid="{AB5BF9E6-A18C-4796-94F6-F4816CE01507}" name="Colonne315" totalsRowFunction="sum" dataDxfId="1012" totalsRowDxfId="1011"/>
    <tableColumn id="318" xr3:uid="{65B47F8D-8B32-45B4-801A-628D71FFF181}" name="Colonne316" totalsRowFunction="sum" dataDxfId="1010" totalsRowDxfId="1009"/>
    <tableColumn id="319" xr3:uid="{8E0F2F24-B7BA-482D-9800-E4C17B34C1DB}" name="Colonne317" totalsRowFunction="sum" dataDxfId="1008" totalsRowDxfId="1007"/>
    <tableColumn id="320" xr3:uid="{41F00E7A-64E9-46B1-A9AF-A61F678E9504}" name="Colonne318" totalsRowFunction="sum" dataDxfId="1006" totalsRowDxfId="1005"/>
    <tableColumn id="321" xr3:uid="{10D2F4AF-818B-4D57-967E-66E8480E6867}" name="Colonne319" totalsRowFunction="sum" dataDxfId="1004" totalsRowDxfId="1003"/>
    <tableColumn id="322" xr3:uid="{8D59E83A-C3E4-4225-A933-1254D5D546E6}" name="Colonne320" totalsRowFunction="sum" dataDxfId="1002" totalsRowDxfId="1001"/>
    <tableColumn id="323" xr3:uid="{BC6329C4-E7D4-458C-87B2-868AF782212A}" name="Colonne321" totalsRowFunction="sum" dataDxfId="1000" totalsRowDxfId="999"/>
    <tableColumn id="324" xr3:uid="{BFAFAEDF-3D4C-4F3C-B358-A1C07511DD43}" name="Colonne322" totalsRowFunction="sum" dataDxfId="998" totalsRowDxfId="997"/>
    <tableColumn id="325" xr3:uid="{38299F8F-E4D3-4842-AFBF-A81F69E4E39A}" name="Colonne323" totalsRowFunction="sum" dataDxfId="996" totalsRowDxfId="995"/>
    <tableColumn id="326" xr3:uid="{8053CC8A-551A-4377-9F0C-6754BC0BEA11}" name="Colonne324" totalsRowFunction="sum" dataDxfId="994" totalsRowDxfId="993"/>
    <tableColumn id="327" xr3:uid="{566F4E0B-4B21-493E-BB22-FCDEA63166BA}" name="Colonne325" totalsRowFunction="sum" dataDxfId="992" totalsRowDxfId="991"/>
    <tableColumn id="328" xr3:uid="{ECF0260D-90C3-430D-BECD-1C538929CBE0}" name="Colonne326" totalsRowFunction="sum" dataDxfId="990" totalsRowDxfId="989"/>
    <tableColumn id="329" xr3:uid="{A164CA29-FD6B-4C1E-B1DC-E8FBA0773693}" name="Colonne327" totalsRowFunction="sum" dataDxfId="988" totalsRowDxfId="987"/>
    <tableColumn id="330" xr3:uid="{A1080208-D29D-4EA9-953C-403E9A81DB9F}" name="Colonne328" totalsRowFunction="sum" dataDxfId="986" totalsRowDxfId="985"/>
    <tableColumn id="331" xr3:uid="{CFECAF9E-2B85-4641-978B-E04336E84DAC}" name="Colonne329" totalsRowFunction="sum" dataDxfId="984" totalsRowDxfId="983"/>
    <tableColumn id="332" xr3:uid="{57F25966-C942-4749-90F0-0787AE6C1E5B}" name="Colonne330" totalsRowFunction="sum" dataDxfId="982" totalsRowDxfId="981"/>
    <tableColumn id="333" xr3:uid="{D9CE0F5B-197D-4D26-89D1-1AA05643DA97}" name="Colonne331" totalsRowFunction="sum" dataDxfId="980" totalsRowDxfId="979"/>
    <tableColumn id="334" xr3:uid="{DE7AEEA4-28FD-4F0F-9128-9DF9D4EC7904}" name="Colonne332" totalsRowFunction="sum" dataDxfId="978" totalsRowDxfId="977"/>
    <tableColumn id="335" xr3:uid="{C2FDF160-E3BC-42C4-A243-32B17B9D3364}" name="Colonne333" totalsRowFunction="sum" dataDxfId="976" totalsRowDxfId="975"/>
    <tableColumn id="336" xr3:uid="{C10BB122-25D2-4FBB-B234-9B5A879AD1C3}" name="Colonne334" totalsRowFunction="sum" dataDxfId="974" totalsRowDxfId="973"/>
    <tableColumn id="337" xr3:uid="{A40D43E4-D1A3-4A7C-8771-3E0D586D882C}" name="Colonne335" totalsRowFunction="sum" dataDxfId="972" totalsRowDxfId="971"/>
    <tableColumn id="338" xr3:uid="{843E36EE-BE93-4D87-87E7-4268C68D8E8A}" name="Colonne336" totalsRowFunction="sum" dataDxfId="970" totalsRowDxfId="969"/>
    <tableColumn id="339" xr3:uid="{811BB397-8ABE-4705-80ED-554CACF7EE61}" name="Colonne337" totalsRowFunction="sum" dataDxfId="968" totalsRowDxfId="967"/>
    <tableColumn id="340" xr3:uid="{0394EC15-C56F-4F6F-8AA3-A900541B495B}" name="Colonne338" totalsRowFunction="sum" dataDxfId="966" totalsRowDxfId="965"/>
    <tableColumn id="341" xr3:uid="{A7BB1BFE-EE89-4B72-ABCE-99EF4174D1A4}" name="Colonne339" totalsRowFunction="sum" dataDxfId="964" totalsRowDxfId="963"/>
    <tableColumn id="342" xr3:uid="{5D31F962-6BE0-4E22-A390-AF141C0D962C}" name="Colonne340" totalsRowFunction="sum" dataDxfId="962" totalsRowDxfId="961"/>
    <tableColumn id="343" xr3:uid="{B48C4C3A-1856-45B7-9598-BC1FAE4D0727}" name="Colonne341" totalsRowFunction="sum" dataDxfId="960" totalsRowDxfId="959"/>
    <tableColumn id="344" xr3:uid="{E2DC8D56-AB2B-43AF-90CD-451EB39D3C10}" name="Colonne342" totalsRowFunction="sum" dataDxfId="958" totalsRowDxfId="957"/>
    <tableColumn id="345" xr3:uid="{93569028-AC20-4B11-B04F-3EC9EBDBB47D}" name="Colonne343" totalsRowFunction="sum" dataDxfId="956" totalsRowDxfId="955"/>
    <tableColumn id="346" xr3:uid="{AF8DF104-536F-496B-8491-2F18615E542D}" name="Colonne344" totalsRowFunction="sum" dataDxfId="954" totalsRowDxfId="953"/>
    <tableColumn id="347" xr3:uid="{55747A52-ED21-46EB-928D-CCE4F750554A}" name="Colonne345" totalsRowFunction="sum" dataDxfId="952" totalsRowDxfId="951"/>
    <tableColumn id="348" xr3:uid="{7418D240-9FC2-4C60-A0D2-2AAB8B51FFCE}" name="Colonne346" totalsRowFunction="sum" dataDxfId="950" totalsRowDxfId="949"/>
    <tableColumn id="349" xr3:uid="{A965E044-EAD1-4594-A0B7-901C4DF6BF78}" name="Colonne347" totalsRowFunction="sum" dataDxfId="948" totalsRowDxfId="947"/>
    <tableColumn id="350" xr3:uid="{4F9BE1D2-14D7-4EBF-9C6D-4686DEE8BE7D}" name="Colonne348" totalsRowFunction="sum" dataDxfId="946" totalsRowDxfId="945"/>
    <tableColumn id="351" xr3:uid="{85A9B16C-3839-4248-80F0-B3639F1809C8}" name="Colonne349" totalsRowFunction="sum" dataDxfId="944" totalsRowDxfId="943"/>
    <tableColumn id="352" xr3:uid="{E0AAB5B8-9574-4862-B677-F31383BEB359}" name="Colonne350" totalsRowFunction="sum" dataDxfId="942" totalsRowDxfId="941"/>
    <tableColumn id="353" xr3:uid="{8F66724A-0D85-4EC9-8087-34B93B3E1A63}" name="Colonne351" totalsRowFunction="sum" dataDxfId="940" totalsRowDxfId="939"/>
    <tableColumn id="354" xr3:uid="{28042E07-822F-4464-B72E-3059438D9CE2}" name="Colonne352" totalsRowFunction="sum" dataDxfId="938" totalsRowDxfId="937"/>
    <tableColumn id="355" xr3:uid="{6B99287D-194C-458D-98F9-CBDD89195126}" name="Colonne353" totalsRowFunction="sum" dataDxfId="936" totalsRowDxfId="935"/>
    <tableColumn id="356" xr3:uid="{C62300F2-3A9E-4B92-BF4E-3D5AEB641F32}" name="Colonne354" totalsRowFunction="sum" dataDxfId="934" totalsRowDxfId="933"/>
    <tableColumn id="357" xr3:uid="{DA901835-BAE5-4B39-8F03-48DC12FBC4B0}" name="Colonne355" totalsRowFunction="sum" dataDxfId="932" totalsRowDxfId="931"/>
    <tableColumn id="358" xr3:uid="{9C856BD7-A2D9-4372-A90E-A5AC03FFA124}" name="Colonne356" totalsRowFunction="sum" dataDxfId="930" totalsRowDxfId="929"/>
    <tableColumn id="359" xr3:uid="{6596790C-1ADE-43CA-8FE4-546887B4AF5B}" name="Colonne357" totalsRowFunction="sum" dataDxfId="928" totalsRowDxfId="927"/>
    <tableColumn id="360" xr3:uid="{DC5CE5AF-F6DE-4C3C-ADF4-4812018989E9}" name="Colonne358" totalsRowFunction="sum" dataDxfId="926" totalsRowDxfId="925"/>
    <tableColumn id="361" xr3:uid="{24ACB22A-9D43-48E0-8A1E-7968432D7C41}" name="Colonne359" totalsRowFunction="sum" dataDxfId="924" totalsRowDxfId="923"/>
    <tableColumn id="362" xr3:uid="{4A425582-DB1A-431D-A067-AEBB43EDEE5F}" name="Colonne360" totalsRowFunction="sum" dataDxfId="922" totalsRowDxfId="921"/>
    <tableColumn id="363" xr3:uid="{E7FDD782-D745-4225-AA7A-2D89E1AC728C}" name="Colonne361" totalsRowFunction="sum" dataDxfId="920" totalsRowDxfId="919"/>
    <tableColumn id="364" xr3:uid="{0C7A8728-446B-4077-B273-1D52690214A1}" name="Colonne362" totalsRowFunction="sum" dataDxfId="918" totalsRowDxfId="917"/>
    <tableColumn id="365" xr3:uid="{59AEABA4-99B1-4613-A6E3-51CCF2AC032C}" name="Colonne363" totalsRowFunction="sum" dataDxfId="916" totalsRowDxfId="915"/>
    <tableColumn id="366" xr3:uid="{29EB8C58-623C-45B4-9F0F-B04C28A769BD}" name="Colonne364" totalsRowFunction="sum" dataDxfId="914" totalsRowDxfId="913"/>
    <tableColumn id="367" xr3:uid="{7934613E-CA8E-4B8C-9223-7356452221A1}" name="Colonne365" totalsRowFunction="sum" dataDxfId="912" totalsRowDxfId="911"/>
    <tableColumn id="368" xr3:uid="{01DF277D-BF90-4E86-819B-193C48565BD1}" name="Colonne366" totalsRowFunction="sum" dataDxfId="910" totalsRowDxfId="909"/>
    <tableColumn id="369" xr3:uid="{D6D93AB9-F22E-4BB9-94E3-84705157FCFC}" name="Colonne367" totalsRowFunction="sum" dataDxfId="908" totalsRowDxfId="907"/>
    <tableColumn id="370" xr3:uid="{CC7C88CA-4EC0-4CED-AF41-FF17608C81B9}" name="Colonne368" totalsRowFunction="sum" dataDxfId="906" totalsRowDxfId="905"/>
    <tableColumn id="371" xr3:uid="{DD204889-8B00-4E20-BF19-7ED9C2C59352}" name="Colonne369" totalsRowFunction="sum" dataDxfId="904" totalsRowDxfId="903"/>
    <tableColumn id="372" xr3:uid="{B2ECA2F8-AA29-41D5-BA8C-D8C546BD09B8}" name="Colonne370" totalsRowFunction="sum" dataDxfId="902" totalsRowDxfId="901"/>
    <tableColumn id="373" xr3:uid="{AB61C77A-7E5A-4754-B84A-235FF3CA93B4}" name="Colonne371" totalsRowFunction="sum" dataDxfId="900" totalsRowDxfId="899"/>
    <tableColumn id="374" xr3:uid="{9DDA7D3F-07C1-4BC5-BFB5-970B91919CF8}" name="Colonne372" totalsRowFunction="sum" dataDxfId="898" totalsRowDxfId="897"/>
    <tableColumn id="375" xr3:uid="{9FAE9EB8-959B-4E94-A6A9-9F8281550865}" name="Colonne373" totalsRowFunction="sum" dataDxfId="896" totalsRowDxfId="895"/>
    <tableColumn id="376" xr3:uid="{8E0671D3-61CF-48CF-B100-E24452C87F27}" name="Colonne374" totalsRowFunction="sum" dataDxfId="894" totalsRowDxfId="893"/>
    <tableColumn id="377" xr3:uid="{D180BE5E-9DD5-4997-B7CC-171C743B8438}" name="Colonne375" totalsRowFunction="sum" dataDxfId="892" totalsRowDxfId="891"/>
    <tableColumn id="378" xr3:uid="{B8D2B228-0A5C-4316-B9D1-31534BC883AC}" name="Colonne376" totalsRowFunction="sum" dataDxfId="890" totalsRowDxfId="889"/>
    <tableColumn id="379" xr3:uid="{84A8C71D-1DA3-40C1-BD82-11A4B031FE78}" name="Colonne377" totalsRowFunction="sum" dataDxfId="888" totalsRowDxfId="887"/>
    <tableColumn id="380" xr3:uid="{68E9CECB-E8AB-4E33-B538-9DC8FF8FA043}" name="Colonne378" totalsRowFunction="sum" dataDxfId="886" totalsRowDxfId="885"/>
    <tableColumn id="381" xr3:uid="{C60ED4B7-6870-4C0A-880E-404769A84C57}" name="Colonne379" totalsRowFunction="sum" dataDxfId="884" totalsRowDxfId="883"/>
    <tableColumn id="382" xr3:uid="{DCDD61AE-FC40-4284-956C-F5A4BD8FC61E}" name="Colonne380" totalsRowFunction="sum" dataDxfId="882" totalsRowDxfId="881"/>
    <tableColumn id="383" xr3:uid="{81A3E436-536F-4FEA-8ADC-74C6EA9CD29B}" name="Colonne381" totalsRowFunction="sum" dataDxfId="880" totalsRowDxfId="879"/>
    <tableColumn id="384" xr3:uid="{501F0A49-7BBB-4628-9C41-E3FAF9C96014}" name="Colonne382" totalsRowFunction="sum" dataDxfId="878" totalsRowDxfId="877"/>
    <tableColumn id="385" xr3:uid="{CB319C12-6124-4DB0-904E-E46C5E5A0AFE}" name="Colonne383" totalsRowFunction="sum" dataDxfId="876" totalsRowDxfId="875"/>
    <tableColumn id="386" xr3:uid="{B90CCD3A-A8AA-465B-B95A-E1743A831FF1}" name="Colonne384" totalsRowFunction="sum" dataDxfId="874" totalsRowDxfId="873"/>
    <tableColumn id="387" xr3:uid="{ABE7A834-4271-47FD-B178-D8E0DF8371D5}" name="Colonne385" totalsRowFunction="sum" dataDxfId="872" totalsRowDxfId="871"/>
    <tableColumn id="388" xr3:uid="{02124BFC-EA36-47AB-8925-22295DEDF737}" name="Colonne386" totalsRowFunction="sum" dataDxfId="870" totalsRowDxfId="869"/>
    <tableColumn id="389" xr3:uid="{44006F01-631F-413A-9F2A-FF74F0C67D0B}" name="Colonne387" totalsRowFunction="sum" dataDxfId="868" totalsRowDxfId="867"/>
    <tableColumn id="390" xr3:uid="{82C5B589-A454-4BE5-817D-8A30B737C373}" name="Colonne388" totalsRowFunction="sum" dataDxfId="866" totalsRowDxfId="865"/>
    <tableColumn id="391" xr3:uid="{F3169D2C-7D09-44B4-8DF5-AA2877BF9D17}" name="Colonne389" totalsRowFunction="sum" dataDxfId="864" totalsRowDxfId="863"/>
    <tableColumn id="392" xr3:uid="{06A7A67C-509F-4EA4-B140-9F8C83363C40}" name="Colonne390" totalsRowFunction="sum" dataDxfId="862" totalsRowDxfId="861"/>
    <tableColumn id="393" xr3:uid="{F2535CA2-65B6-4589-8D73-039914544D45}" name="Colonne391" totalsRowFunction="sum" dataDxfId="860" totalsRowDxfId="859"/>
    <tableColumn id="394" xr3:uid="{DEC483FD-9622-444C-B6A2-D3B110FFB538}" name="Colonne392" totalsRowFunction="sum" dataDxfId="858" totalsRowDxfId="857"/>
    <tableColumn id="395" xr3:uid="{CD6BEBD9-BB5B-4D5C-BBB6-40A13E02698B}" name="Colonne393" totalsRowFunction="sum" dataDxfId="856" totalsRowDxfId="855"/>
    <tableColumn id="396" xr3:uid="{014B555E-3916-4378-BBE0-BB9676DE9847}" name="Colonne394" totalsRowFunction="sum" dataDxfId="854" totalsRowDxfId="853"/>
    <tableColumn id="397" xr3:uid="{5ACCB5C5-92F6-4EC4-86F9-1A7ABF9A859A}" name="Colonne395" totalsRowFunction="sum" dataDxfId="852" totalsRowDxfId="851"/>
    <tableColumn id="398" xr3:uid="{86B41E85-A1C7-4E4E-84F7-60E07E3C4192}" name="Colonne396" totalsRowFunction="sum" dataDxfId="850" totalsRowDxfId="849"/>
  </tableColumns>
  <tableStyleInfo name="TableStyleLight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1009A1C-C443-4CD2-92E7-5DD3357D1D0B}" name="JoursFeries" displayName="JoursFeries" ref="A2:C42" totalsRowShown="0" headerRowDxfId="848">
  <autoFilter ref="A2:C42" xr:uid="{B1009A1C-C443-4CD2-92E7-5DD3357D1D0B}"/>
  <tableColumns count="3">
    <tableColumn id="1" xr3:uid="{33AC8A28-4820-4779-BAE7-5571E0FCF148}" name="2024"/>
    <tableColumn id="2" xr3:uid="{1797AC40-0E80-4B8B-9E43-D08AF5B1DC3B}" name="Date" dataDxfId="847"/>
    <tableColumn id="3" xr3:uid="{F152752E-3174-410D-BD40-E90EECE0AD6C}" name="Calcul Jours férié si jour de semaine" dataDxfId="846">
      <calculatedColumnFormula>IF(WEEKDAY(B3,2)&lt;6,B3,"")</calculatedColumnFormula>
    </tableColumn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4E7A8445-64C1-4609-AB4D-3C8E5907DD78}" name="VacancesScolaires" displayName="VacancesScolaires" ref="F2:I38" totalsRowShown="0" headerRowDxfId="845" dataDxfId="844">
  <autoFilter ref="F2:I38" xr:uid="{4E7A8445-64C1-4609-AB4D-3C8E5907DD78}"/>
  <tableColumns count="4">
    <tableColumn id="1" xr3:uid="{685D97B5-65EF-4F2E-AFD7-5A227E643013}" name="Période" dataDxfId="843"/>
    <tableColumn id="2" xr3:uid="{5F84BDC0-9BA9-4149-9C5D-CA140E88E65D}" name="Zone" dataDxfId="842"/>
    <tableColumn id="5" xr3:uid="{65C7D555-C634-4A39-9E3E-CB87643E9765}" name="Date début2" dataDxfId="841"/>
    <tableColumn id="6" xr3:uid="{4838C116-95CA-49A9-99C1-FD548B50E4E2}" name="Date Fin3" dataDxfId="840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6A0EA528-A0DA-4AC3-877D-FAC713AF08AF}" name="ListePI_IT" displayName="ListePI_IT" ref="O2:T21" totalsRowShown="0" headerRowDxfId="839">
  <autoFilter ref="O2:T21" xr:uid="{6A0EA528-A0DA-4AC3-877D-FAC713AF08AF}"/>
  <tableColumns count="6">
    <tableColumn id="1" xr3:uid="{553A7DE9-3BAE-4794-A9E8-45A2FA46663C}" name="PI"/>
    <tableColumn id="4" xr3:uid="{BAE36BF9-67B2-45E3-9186-C55E7F4AF0C6}" name="Itération"/>
    <tableColumn id="2" xr3:uid="{F3F1FA9E-075D-45E5-8D4A-8E95721937BD}" name="Date Début" dataDxfId="838"/>
    <tableColumn id="3" xr3:uid="{DC53F5F4-BE0B-495A-A2FC-CB4B587D53CC}" name="Date Fin" dataDxfId="837"/>
    <tableColumn id="5" xr3:uid="{8CB7A50E-CCE6-4308-B4A4-12588D4E1FD6}" name="Nbre de jours" dataDxfId="836">
      <calculatedColumnFormula>ListePI_IT[[#This Row],[Date Fin]]-ListePI_IT[[#This Row],[Date Début]]</calculatedColumnFormula>
    </tableColumn>
    <tableColumn id="6" xr3:uid="{7949A5F3-0506-4AA9-9883-F2F81C255861}" name="Nbr Semaine" dataDxfId="835">
      <calculatedColumnFormula>ListePI_IT[[#This Row],[Nbre de jours]]/7</calculatedColumnFormula>
    </tableColumn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B42CE768-0649-4652-B650-B634ABD68A76}" name="Liste_Saisie" displayName="Liste_Saisie" ref="AA2:AA6" totalsRowShown="0">
  <autoFilter ref="AA2:AA6" xr:uid="{B42CE768-0649-4652-B650-B634ABD68A76}"/>
  <tableColumns count="1">
    <tableColumn id="1" xr3:uid="{B116A0BF-E0AF-4DBE-B133-56FDCD567B0F}" name="Saisie Presence / Absence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E653A51F-8856-4969-A9D5-C0183E3F0895}" name="Date_IA_PIP" displayName="Date_IA_PIP" ref="V2:Y11" totalsRowShown="0">
  <autoFilter ref="V2:Y11" xr:uid="{E653A51F-8856-4969-A9D5-C0183E3F0895}"/>
  <tableColumns count="4">
    <tableColumn id="1" xr3:uid="{8424E5D0-D578-4986-BF3C-1E99E29E0463}" name="PI"/>
    <tableColumn id="2" xr3:uid="{E239ACFC-B217-4E30-8CEE-D213BABC335A}" name="Cérémonie"/>
    <tableColumn id="3" xr3:uid="{A1D26688-5F39-401D-ABA1-B00052209D18}" name="Date début" dataDxfId="834"/>
    <tableColumn id="4" xr3:uid="{59E0F37B-F13E-4768-9E45-5D97A7A20044}" name="Date fin " dataDxfId="833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B6045575-33E7-4693-B191-5BA5DB5AE6F7}" name="SuiviEquipes7" displayName="SuiviEquipes7" ref="A16:OH51" totalsRowCount="1" headerRowDxfId="832" dataDxfId="831">
  <tableColumns count="398">
    <tableColumn id="1" xr3:uid="{45846671-0600-4DD7-9798-275961361461}" name="Ressources" totalsRowLabel="Total" dataDxfId="830" totalsRowDxfId="829"/>
    <tableColumn id="2" xr3:uid="{E65914FD-D3F2-4C96-BFE1-5C11FEEA660B}" name="Equipe" totalsRowFunction="count" dataDxfId="828" totalsRowDxfId="827"/>
    <tableColumn id="3" xr3:uid="{E7D5D31C-8DBF-4B35-A010-BD1F41B53098}" name="Colonne1" totalsRowFunction="sum" dataDxfId="826" totalsRowDxfId="825"/>
    <tableColumn id="4" xr3:uid="{6A18770C-344D-4C08-A83A-6C3B3F90F93F}" name="Colonne2" totalsRowFunction="sum" dataDxfId="824" totalsRowDxfId="823"/>
    <tableColumn id="5" xr3:uid="{70512C06-B031-448F-81EC-13A5B89F8921}" name="Colonne3" totalsRowFunction="sum" dataDxfId="822" totalsRowDxfId="821"/>
    <tableColumn id="6" xr3:uid="{8B9DB87E-8B89-4DB5-9507-C0031FD21D48}" name="Colonne4" totalsRowFunction="sum" dataDxfId="820" totalsRowDxfId="819"/>
    <tableColumn id="7" xr3:uid="{EA36E1DC-458D-4FEE-A2DF-41E72CAC39E2}" name="Colonne5" totalsRowFunction="sum" dataDxfId="818" totalsRowDxfId="817"/>
    <tableColumn id="8" xr3:uid="{2DE9B72A-113E-4E05-A3AA-0BB0FE7B231E}" name="Colonne6" totalsRowFunction="sum" dataDxfId="816" totalsRowDxfId="815"/>
    <tableColumn id="9" xr3:uid="{4C1F86DE-EEF7-499B-B8B8-2FAE114A5271}" name="Colonne7" totalsRowFunction="sum" dataDxfId="814" totalsRowDxfId="813"/>
    <tableColumn id="10" xr3:uid="{A20763D6-A08D-4F1F-A7AD-BD5325B0D788}" name="Colonne8" totalsRowFunction="sum" dataDxfId="812" totalsRowDxfId="811"/>
    <tableColumn id="11" xr3:uid="{0E6CF915-24A4-4A49-B2C2-1349628A4874}" name="Colonne9" totalsRowFunction="sum" dataDxfId="810" totalsRowDxfId="809"/>
    <tableColumn id="12" xr3:uid="{7D971AAB-A7BC-4BFB-902F-3240A17E7A9A}" name="Colonne10" totalsRowFunction="sum" dataDxfId="808" totalsRowDxfId="807"/>
    <tableColumn id="13" xr3:uid="{315E08AF-AD0D-4F97-BD58-5FE2B0744637}" name="Colonne11" totalsRowFunction="sum" dataDxfId="806" totalsRowDxfId="805"/>
    <tableColumn id="14" xr3:uid="{7B1D5AD2-5EA9-4462-8804-12F7ECD64162}" name="Colonne12" totalsRowFunction="sum" dataDxfId="804" totalsRowDxfId="803"/>
    <tableColumn id="15" xr3:uid="{0FADD77C-1826-4D7F-90EF-E8E329A12C9D}" name="Colonne13" totalsRowFunction="sum" dataDxfId="802" totalsRowDxfId="801"/>
    <tableColumn id="16" xr3:uid="{ECA44257-014B-4CF8-A57D-13A616E98870}" name="Colonne14" totalsRowFunction="sum" dataDxfId="800" totalsRowDxfId="799"/>
    <tableColumn id="17" xr3:uid="{2E365F5F-75CF-4A4C-A639-283F5A45D4BE}" name="Colonne15" totalsRowFunction="sum" dataDxfId="798" totalsRowDxfId="797"/>
    <tableColumn id="18" xr3:uid="{59D0C9F3-F461-4854-80F7-C9733BCEE79F}" name="Colonne16" totalsRowFunction="sum" dataDxfId="796" totalsRowDxfId="795"/>
    <tableColumn id="19" xr3:uid="{F526C539-47A9-4518-9A41-56D0891C9545}" name="Colonne17" totalsRowFunction="sum" dataDxfId="794" totalsRowDxfId="793"/>
    <tableColumn id="20" xr3:uid="{480AA4ED-9075-47B2-96B5-4B4DFCFABD86}" name="Colonne18" totalsRowFunction="sum" dataDxfId="792" totalsRowDxfId="791"/>
    <tableColumn id="21" xr3:uid="{66AA5BDC-BDBF-4985-A502-C1AD3602B665}" name="Colonne19" totalsRowFunction="sum" dataDxfId="790" totalsRowDxfId="789"/>
    <tableColumn id="22" xr3:uid="{77FDC7AA-84D0-42F9-8597-EF1A1A9A21AD}" name="Colonne20" totalsRowFunction="sum" dataDxfId="788" totalsRowDxfId="787"/>
    <tableColumn id="23" xr3:uid="{CEBB07CC-71FA-4797-BBC7-FECC8695F13E}" name="Colonne21" totalsRowFunction="sum" dataDxfId="786" totalsRowDxfId="785"/>
    <tableColumn id="24" xr3:uid="{0D30E9F1-3103-4D66-B6A3-E8EB81BBAAFC}" name="Colonne22" totalsRowFunction="sum" dataDxfId="784" totalsRowDxfId="783"/>
    <tableColumn id="25" xr3:uid="{4FAAF17B-8D98-484B-B39E-CCE2919008A8}" name="Colonne23" totalsRowFunction="sum" dataDxfId="782" totalsRowDxfId="781"/>
    <tableColumn id="26" xr3:uid="{00558FF4-8F4B-41B8-A1E2-7168CC1CF9F7}" name="Colonne24" totalsRowFunction="sum" dataDxfId="780" totalsRowDxfId="779"/>
    <tableColumn id="27" xr3:uid="{2E85D8A0-1EAF-4317-8B80-901FE7F56E1F}" name="Colonne25" totalsRowFunction="sum" dataDxfId="778" totalsRowDxfId="777"/>
    <tableColumn id="28" xr3:uid="{7B443111-413D-45AB-940C-D6D332DEB1DE}" name="Colonne26" totalsRowFunction="sum" dataDxfId="776" totalsRowDxfId="775"/>
    <tableColumn id="29" xr3:uid="{35E0E451-66EB-45D3-A52B-7126E9A3B666}" name="Colonne27" totalsRowFunction="sum" dataDxfId="774" totalsRowDxfId="773"/>
    <tableColumn id="30" xr3:uid="{0E94182F-265E-4A77-88D5-178B49A76B46}" name="Colonne28" totalsRowFunction="sum" dataDxfId="772" totalsRowDxfId="771"/>
    <tableColumn id="31" xr3:uid="{0CB46BA1-32D7-4AA2-9736-93D84AC32DF7}" name="Colonne29" totalsRowFunction="sum" dataDxfId="770" totalsRowDxfId="769"/>
    <tableColumn id="32" xr3:uid="{138DFDC0-E934-438C-B444-95F0BFF677CD}" name="Colonne30" totalsRowFunction="sum" dataDxfId="768" totalsRowDxfId="767"/>
    <tableColumn id="33" xr3:uid="{6C5DF230-B003-47AF-B65A-85EAF9B662D7}" name="Colonne31" totalsRowFunction="sum" dataDxfId="766" totalsRowDxfId="765"/>
    <tableColumn id="34" xr3:uid="{D8C4232A-812B-4146-9C36-6ADCF8B82E30}" name="Colonne32" totalsRowFunction="sum" dataDxfId="764" totalsRowDxfId="763"/>
    <tableColumn id="35" xr3:uid="{1F455DF6-2ED6-45C9-889D-C55731D32199}" name="Colonne33" totalsRowFunction="sum" dataDxfId="762" totalsRowDxfId="761"/>
    <tableColumn id="36" xr3:uid="{7192CC40-0BB3-4632-BFEA-37677DBC33CE}" name="Colonne34" totalsRowFunction="sum" dataDxfId="760" totalsRowDxfId="759"/>
    <tableColumn id="37" xr3:uid="{4B906B09-B761-4CC5-8F09-371EC790F77E}" name="Colonne35" totalsRowFunction="sum" dataDxfId="758" totalsRowDxfId="757"/>
    <tableColumn id="38" xr3:uid="{162137E0-73C3-4BA1-8420-09F64A404F61}" name="Colonne36" totalsRowFunction="sum" dataDxfId="756" totalsRowDxfId="755"/>
    <tableColumn id="39" xr3:uid="{5E5783A8-B8B7-4F92-B825-E622BE113350}" name="Colonne37" totalsRowFunction="sum" dataDxfId="754" totalsRowDxfId="753"/>
    <tableColumn id="40" xr3:uid="{4D6AAD74-BC1A-4E93-B528-6184404924F5}" name="Colonne38" totalsRowFunction="sum" dataDxfId="752" totalsRowDxfId="751"/>
    <tableColumn id="41" xr3:uid="{1A4B01AE-DACB-40D8-90A2-97FB79AFB338}" name="Colonne39" totalsRowFunction="sum" dataDxfId="750" totalsRowDxfId="749"/>
    <tableColumn id="42" xr3:uid="{6B264A79-27C4-4D84-8109-CE9FCAFF7253}" name="Colonne40" totalsRowFunction="sum" dataDxfId="748" totalsRowDxfId="747"/>
    <tableColumn id="43" xr3:uid="{C5F3786F-CCC7-49AE-A6D0-1AC0E600B8BB}" name="Colonne41" totalsRowFunction="sum" dataDxfId="746" totalsRowDxfId="745"/>
    <tableColumn id="44" xr3:uid="{15F87302-4196-452A-AB09-B190E9A3E681}" name="Colonne42" totalsRowFunction="sum" dataDxfId="744" totalsRowDxfId="743"/>
    <tableColumn id="45" xr3:uid="{6D3BBF45-5395-4939-804D-6E98F97AE5CB}" name="Colonne43" totalsRowFunction="sum" dataDxfId="742" totalsRowDxfId="741"/>
    <tableColumn id="46" xr3:uid="{0A856F87-2D8C-4921-B114-F804E59920FD}" name="Colonne44" totalsRowFunction="sum" dataDxfId="740" totalsRowDxfId="739"/>
    <tableColumn id="47" xr3:uid="{F10E4EAC-DD8F-4600-8A3C-A9B3377B6CDA}" name="Colonne45" totalsRowFunction="sum" dataDxfId="738" totalsRowDxfId="737"/>
    <tableColumn id="48" xr3:uid="{C6E9717F-0076-4E15-BA97-1E9C18079D47}" name="Colonne46" totalsRowFunction="sum" dataDxfId="736" totalsRowDxfId="735"/>
    <tableColumn id="49" xr3:uid="{F6771045-728E-476E-9A97-41EA90A42DDE}" name="Colonne47" totalsRowFunction="sum" dataDxfId="734" totalsRowDxfId="733"/>
    <tableColumn id="50" xr3:uid="{238AE40E-535A-4F51-BAD0-7CA8B03DD119}" name="Colonne48" totalsRowFunction="sum" dataDxfId="732" totalsRowDxfId="731"/>
    <tableColumn id="51" xr3:uid="{D43B6717-2D6F-40E3-9D5C-2B2102981D03}" name="Colonne49" totalsRowFunction="sum" dataDxfId="730" totalsRowDxfId="729"/>
    <tableColumn id="52" xr3:uid="{9F582106-1626-42D0-9FAF-B9AFC40AD865}" name="Colonne50" totalsRowFunction="sum" dataDxfId="728" totalsRowDxfId="727"/>
    <tableColumn id="53" xr3:uid="{4091D791-6D2F-44E5-8D87-DE51A4AB42BD}" name="Colonne51" totalsRowFunction="sum" dataDxfId="726" totalsRowDxfId="725"/>
    <tableColumn id="54" xr3:uid="{1A561FB5-C255-4978-A4DF-2D6B700C49F1}" name="Colonne52" totalsRowFunction="sum" dataDxfId="724" totalsRowDxfId="723"/>
    <tableColumn id="55" xr3:uid="{38BF514E-CD79-4E21-8833-86D0D90FCB67}" name="Colonne53" totalsRowFunction="sum" dataDxfId="722" totalsRowDxfId="721"/>
    <tableColumn id="56" xr3:uid="{B9557221-C319-47C8-9BBB-1574EB2C6F18}" name="Colonne54" totalsRowFunction="sum" dataDxfId="720" totalsRowDxfId="719"/>
    <tableColumn id="57" xr3:uid="{B123CCB5-B79B-4BBD-A9B5-F41A3F467F04}" name="Colonne55" totalsRowFunction="sum" dataDxfId="718" totalsRowDxfId="717"/>
    <tableColumn id="58" xr3:uid="{F918FAE1-C354-4788-8632-221EF40C69E0}" name="Colonne56" totalsRowFunction="sum" dataDxfId="716" totalsRowDxfId="715"/>
    <tableColumn id="59" xr3:uid="{FB985750-DDA3-4B18-8C91-4B930E2860B6}" name="Colonne57" totalsRowFunction="sum" dataDxfId="714" totalsRowDxfId="713"/>
    <tableColumn id="60" xr3:uid="{E67D7437-DE3B-4FCC-B62B-A530D607B837}" name="Colonne58" totalsRowFunction="sum" dataDxfId="712" totalsRowDxfId="711"/>
    <tableColumn id="61" xr3:uid="{22CFCDDE-A5AB-4895-9128-94F642896EAA}" name="Colonne59" totalsRowFunction="sum" dataDxfId="710" totalsRowDxfId="709"/>
    <tableColumn id="62" xr3:uid="{CA9F0E8D-13E7-45FD-BE38-2E525FD76ADC}" name="Colonne60" totalsRowFunction="sum" dataDxfId="708" totalsRowDxfId="707"/>
    <tableColumn id="63" xr3:uid="{D6C98D3A-9296-441E-8130-095074857A94}" name="Colonne61" totalsRowFunction="sum" dataDxfId="706" totalsRowDxfId="705"/>
    <tableColumn id="64" xr3:uid="{2D118C8F-C901-4339-9A3D-2DE39FED3E7E}" name="Colonne62" totalsRowFunction="sum" dataDxfId="704" totalsRowDxfId="703"/>
    <tableColumn id="65" xr3:uid="{1477B0D4-5762-4BF1-9394-0C41D1F7ED3B}" name="Colonne63" totalsRowFunction="sum" dataDxfId="702" totalsRowDxfId="701"/>
    <tableColumn id="66" xr3:uid="{B4CB7CC4-3703-43EE-89B8-27B267594F20}" name="Colonne64" totalsRowFunction="sum" dataDxfId="700" totalsRowDxfId="699"/>
    <tableColumn id="67" xr3:uid="{C9FA6383-51F4-47E7-852C-C0DDB994A2D1}" name="Colonne65" totalsRowFunction="sum" dataDxfId="698" totalsRowDxfId="697"/>
    <tableColumn id="68" xr3:uid="{F9A97A62-D08E-4BF2-AAF9-2E3217924410}" name="Colonne66" totalsRowFunction="sum" dataDxfId="696" totalsRowDxfId="695"/>
    <tableColumn id="69" xr3:uid="{146826A4-035F-445A-8DAD-77D5F419908E}" name="Colonne67" totalsRowFunction="sum" dataDxfId="694" totalsRowDxfId="693"/>
    <tableColumn id="70" xr3:uid="{3C0FE9C4-D681-4986-BA74-92CB6E980826}" name="Colonne68" totalsRowFunction="sum" dataDxfId="692" totalsRowDxfId="691"/>
    <tableColumn id="71" xr3:uid="{A28C8DCF-927B-4835-A0B9-BC22558C66EC}" name="Colonne69" totalsRowFunction="sum" dataDxfId="690" totalsRowDxfId="689"/>
    <tableColumn id="72" xr3:uid="{F7B1BAF8-9710-4526-A80C-9681DF54E670}" name="Colonne70" totalsRowFunction="sum" dataDxfId="688" totalsRowDxfId="687"/>
    <tableColumn id="73" xr3:uid="{AD103070-924A-4965-B4BC-7009A7F33343}" name="Colonne71" totalsRowFunction="sum" dataDxfId="686" totalsRowDxfId="685"/>
    <tableColumn id="74" xr3:uid="{A1EDA4D9-843C-450B-8446-77FEFB29AD09}" name="Colonne72" totalsRowFunction="sum" dataDxfId="684" totalsRowDxfId="683"/>
    <tableColumn id="75" xr3:uid="{83628160-5E79-4DA8-B0A3-233BC123F274}" name="Colonne73" totalsRowFunction="sum" dataDxfId="682" totalsRowDxfId="681"/>
    <tableColumn id="76" xr3:uid="{CDBB2A3C-E394-4C2F-BC5F-5E8478C344F6}" name="Colonne74" totalsRowFunction="sum" dataDxfId="680" totalsRowDxfId="679"/>
    <tableColumn id="77" xr3:uid="{B86E9D84-7783-4CD7-B362-862166668AB3}" name="Colonne75" totalsRowFunction="sum" dataDxfId="678" totalsRowDxfId="677"/>
    <tableColumn id="78" xr3:uid="{7505B6CA-2875-466A-B286-3F2BF71149D3}" name="Colonne76" totalsRowFunction="sum" dataDxfId="676" totalsRowDxfId="675"/>
    <tableColumn id="79" xr3:uid="{C66591DC-253D-450F-A4C0-BA8C89D31AB7}" name="Colonne77" totalsRowFunction="sum" dataDxfId="674" totalsRowDxfId="673"/>
    <tableColumn id="80" xr3:uid="{5574720B-F249-4F90-89F0-3A62551C195C}" name="Colonne78" totalsRowFunction="sum" dataDxfId="672" totalsRowDxfId="671"/>
    <tableColumn id="81" xr3:uid="{E541083E-2AC3-4983-A322-DA7D3A405FA3}" name="Colonne79" totalsRowFunction="sum" dataDxfId="670" totalsRowDxfId="669"/>
    <tableColumn id="82" xr3:uid="{890C030B-D33A-4868-8F4A-3D49B6954A21}" name="Colonne80" totalsRowFunction="sum" dataDxfId="668" totalsRowDxfId="667"/>
    <tableColumn id="83" xr3:uid="{823F0733-AAEB-4854-8C4D-E3A6C965A460}" name="Colonne81" totalsRowFunction="sum" dataDxfId="666" totalsRowDxfId="665"/>
    <tableColumn id="84" xr3:uid="{9689D1EB-A266-4577-82C0-CE86DF11FF1D}" name="Colonne82" totalsRowFunction="sum" dataDxfId="664" totalsRowDxfId="663"/>
    <tableColumn id="85" xr3:uid="{A3819646-B266-40F9-8C1F-36EB7AA7E3AB}" name="Colonne83" totalsRowFunction="sum" dataDxfId="662" totalsRowDxfId="661"/>
    <tableColumn id="86" xr3:uid="{1DC04748-DFA0-4E70-8AD8-28803657DA9E}" name="Colonne84" totalsRowFunction="sum" dataDxfId="660" totalsRowDxfId="659"/>
    <tableColumn id="87" xr3:uid="{28F9D5FA-7096-4F5C-8AB4-524A997FF033}" name="Colonne85" totalsRowFunction="sum" dataDxfId="658" totalsRowDxfId="657"/>
    <tableColumn id="88" xr3:uid="{48CD9172-69AB-4D11-819C-7B637FDFD58E}" name="Colonne86" totalsRowFunction="sum" dataDxfId="656" totalsRowDxfId="655"/>
    <tableColumn id="89" xr3:uid="{509F2A6B-C222-4A34-9C74-A183A227659B}" name="Colonne87" totalsRowFunction="sum" dataDxfId="654" totalsRowDxfId="653"/>
    <tableColumn id="90" xr3:uid="{50C938F3-2F93-4124-8487-AC43AFAEA40C}" name="Colonne88" totalsRowFunction="sum" dataDxfId="652" totalsRowDxfId="651"/>
    <tableColumn id="91" xr3:uid="{64B97846-CA59-4523-B337-636D08A3EAB0}" name="Colonne89" totalsRowFunction="sum" dataDxfId="650" totalsRowDxfId="649"/>
    <tableColumn id="92" xr3:uid="{9686F4E3-577C-4CC8-A5B8-714BDF10520E}" name="Colonne90" totalsRowFunction="sum" dataDxfId="648" totalsRowDxfId="647"/>
    <tableColumn id="93" xr3:uid="{A9A61915-21EE-4DFB-9800-7F6937AD2E02}" name="Colonne91" totalsRowFunction="sum" dataDxfId="646" totalsRowDxfId="645"/>
    <tableColumn id="94" xr3:uid="{4D88424C-9EEE-4D5C-9625-1091E3E3F54F}" name="Colonne92" totalsRowFunction="sum" dataDxfId="644" totalsRowDxfId="643"/>
    <tableColumn id="95" xr3:uid="{299D8A7B-AFFD-4EBF-AE2C-A46F1892D6BB}" name="Colonne93" totalsRowFunction="sum" dataDxfId="642" totalsRowDxfId="641"/>
    <tableColumn id="96" xr3:uid="{68C4B90A-9917-48C7-B513-393B4F70C2C0}" name="Colonne94" totalsRowFunction="sum" dataDxfId="640" totalsRowDxfId="639"/>
    <tableColumn id="97" xr3:uid="{AC23F8C5-F175-4335-A6E2-6DDAD9E92C5E}" name="Colonne95" totalsRowFunction="sum" dataDxfId="638" totalsRowDxfId="637"/>
    <tableColumn id="98" xr3:uid="{AADAAE8B-6451-420F-B0E2-394AFD2088D9}" name="Colonne96" totalsRowFunction="sum" dataDxfId="636" totalsRowDxfId="635"/>
    <tableColumn id="99" xr3:uid="{8E357541-0977-48B0-8543-DD7F92B0916E}" name="Colonne97" totalsRowFunction="sum" dataDxfId="634" totalsRowDxfId="633"/>
    <tableColumn id="100" xr3:uid="{E889C4C6-C831-4D19-8F44-1721687266EB}" name="Colonne98" totalsRowFunction="sum" dataDxfId="632" totalsRowDxfId="631"/>
    <tableColumn id="101" xr3:uid="{9D14CE6E-D92F-46DB-8057-982DD45713BC}" name="Colonne99" totalsRowFunction="sum" dataDxfId="630" totalsRowDxfId="629"/>
    <tableColumn id="102" xr3:uid="{2017A40E-2C60-4E2D-BCEF-F36DEDD64192}" name="Colonne100" totalsRowFunction="sum" dataDxfId="628" totalsRowDxfId="627"/>
    <tableColumn id="103" xr3:uid="{3AA64079-8374-4C9E-A8C5-BE7A1E5A4E91}" name="Colonne101" totalsRowFunction="sum" dataDxfId="626" totalsRowDxfId="625"/>
    <tableColumn id="104" xr3:uid="{C0E06DBD-BA13-4EBA-A497-DA6F4792D2DE}" name="Colonne102" totalsRowFunction="sum" dataDxfId="624" totalsRowDxfId="623"/>
    <tableColumn id="105" xr3:uid="{62CB2F8D-F9ED-4AF1-ADF7-8294B4074AC5}" name="Colonne103" totalsRowFunction="sum" dataDxfId="622" totalsRowDxfId="621"/>
    <tableColumn id="106" xr3:uid="{2E41BB90-C208-4353-B29E-61481309EF6A}" name="Colonne104" totalsRowFunction="sum" dataDxfId="620" totalsRowDxfId="619"/>
    <tableColumn id="107" xr3:uid="{5B2C7B25-DF1A-4B40-90BB-9791CDEBC8DC}" name="Colonne105" totalsRowFunction="sum" dataDxfId="618" totalsRowDxfId="617"/>
    <tableColumn id="108" xr3:uid="{58AE1BF4-AF17-4161-A7E5-1D72FB85E0AB}" name="Colonne106" totalsRowFunction="sum" dataDxfId="616" totalsRowDxfId="615"/>
    <tableColumn id="109" xr3:uid="{50310F67-4999-4EC8-8776-A5DCFCE35464}" name="Colonne107" totalsRowFunction="sum" dataDxfId="614" totalsRowDxfId="613"/>
    <tableColumn id="110" xr3:uid="{F2279612-BB6F-4AD6-8913-3C9B2CE42746}" name="Colonne108" totalsRowFunction="sum" dataDxfId="612" totalsRowDxfId="611"/>
    <tableColumn id="111" xr3:uid="{3D516C0D-F70F-4116-A09A-641A630F94D3}" name="Colonne109" totalsRowFunction="sum" dataDxfId="610" totalsRowDxfId="609"/>
    <tableColumn id="112" xr3:uid="{97566452-88DC-4CD0-9886-A4C4C48A230D}" name="Colonne110" totalsRowFunction="sum" dataDxfId="608" totalsRowDxfId="607"/>
    <tableColumn id="113" xr3:uid="{42EF4C87-40B4-4A87-AAE5-D09FDB518E56}" name="Colonne111" totalsRowFunction="sum" dataDxfId="606" totalsRowDxfId="605"/>
    <tableColumn id="114" xr3:uid="{2076572F-2BF0-462C-B56B-C005985B5FF2}" name="Colonne112" totalsRowFunction="sum" dataDxfId="604" totalsRowDxfId="603"/>
    <tableColumn id="115" xr3:uid="{AD4DA23A-81CB-41AA-BE1D-784F02352F12}" name="Colonne113" totalsRowFunction="sum" dataDxfId="602" totalsRowDxfId="601"/>
    <tableColumn id="116" xr3:uid="{D6ADB910-0A85-4D69-8D3B-D25633D321AD}" name="Colonne114" totalsRowFunction="sum" dataDxfId="600" totalsRowDxfId="599"/>
    <tableColumn id="117" xr3:uid="{8EBFF7F6-DA44-4273-A7E7-872099B513EC}" name="Colonne115" totalsRowFunction="sum" dataDxfId="598" totalsRowDxfId="597"/>
    <tableColumn id="118" xr3:uid="{6F36815A-2F15-462E-866E-8CACB4BC20DD}" name="Colonne116" totalsRowFunction="sum" dataDxfId="596" totalsRowDxfId="595"/>
    <tableColumn id="119" xr3:uid="{F82B7A2F-B755-44EB-A98A-94D155B2ABF7}" name="Colonne117" totalsRowFunction="sum" dataDxfId="594" totalsRowDxfId="593"/>
    <tableColumn id="120" xr3:uid="{2863AE76-1333-4874-8947-1634D88860A8}" name="Colonne118" totalsRowFunction="sum" dataDxfId="592" totalsRowDxfId="591"/>
    <tableColumn id="121" xr3:uid="{E9A5B8A8-AEE3-4B45-8ADB-07D46EFE98C1}" name="Colonne119" totalsRowFunction="sum" dataDxfId="590" totalsRowDxfId="589"/>
    <tableColumn id="122" xr3:uid="{24D9C3D1-230C-4897-B24C-DE8021E01C93}" name="Colonne120" totalsRowFunction="sum" dataDxfId="588" totalsRowDxfId="587"/>
    <tableColumn id="123" xr3:uid="{608D205A-55DB-4962-BA56-0214EA56FD07}" name="Colonne121" totalsRowFunction="sum" dataDxfId="586" totalsRowDxfId="585"/>
    <tableColumn id="124" xr3:uid="{EB38F6EC-63C8-47C1-85EF-54BB6505C04A}" name="Colonne122" totalsRowFunction="sum" dataDxfId="584" totalsRowDxfId="583"/>
    <tableColumn id="125" xr3:uid="{BCA3D1D5-3961-4760-A6CF-150105C3B7E1}" name="Colonne123" totalsRowFunction="sum" dataDxfId="582" totalsRowDxfId="581"/>
    <tableColumn id="126" xr3:uid="{AECAAE84-D9A8-4AEE-9410-9912F6A67870}" name="Colonne124" totalsRowFunction="sum" dataDxfId="580" totalsRowDxfId="579"/>
    <tableColumn id="127" xr3:uid="{972BB886-D480-46FA-9801-04D2E6DC6130}" name="Colonne125" totalsRowFunction="sum" dataDxfId="578" totalsRowDxfId="577"/>
    <tableColumn id="128" xr3:uid="{8CA18A19-731F-433A-AE0F-BB38C726309E}" name="Colonne126" totalsRowFunction="sum" dataDxfId="576" totalsRowDxfId="575"/>
    <tableColumn id="129" xr3:uid="{50021C45-4923-4111-A9BB-5AF9AB8C45AD}" name="Colonne127" totalsRowFunction="sum" dataDxfId="574" totalsRowDxfId="573"/>
    <tableColumn id="130" xr3:uid="{BF03F645-1FE6-4440-8961-9A4D7DEE7B87}" name="Colonne128" totalsRowFunction="sum" dataDxfId="572" totalsRowDxfId="571"/>
    <tableColumn id="131" xr3:uid="{69116B2A-1338-489A-BA6D-076F3304DED9}" name="Colonne129" totalsRowFunction="sum" dataDxfId="570" totalsRowDxfId="569"/>
    <tableColumn id="132" xr3:uid="{58FF7B34-464C-41DC-BB08-42D5CEF70839}" name="Colonne130" totalsRowFunction="sum" dataDxfId="568" totalsRowDxfId="567"/>
    <tableColumn id="133" xr3:uid="{B34BD8C6-3470-4500-9550-280A10BB0225}" name="Colonne131" totalsRowFunction="sum" dataDxfId="566" totalsRowDxfId="565"/>
    <tableColumn id="134" xr3:uid="{8AB9B0CB-E912-4665-8500-FBDCD7EDACAD}" name="Colonne132" totalsRowFunction="sum" dataDxfId="564" totalsRowDxfId="563"/>
    <tableColumn id="135" xr3:uid="{B96905FD-04D8-4AFB-80FD-52C7E3F14FAC}" name="Colonne133" totalsRowFunction="sum" dataDxfId="562" totalsRowDxfId="561"/>
    <tableColumn id="136" xr3:uid="{3C1B7E06-3145-45CF-AAA2-48E97152920B}" name="Colonne134" totalsRowFunction="sum" dataDxfId="560" totalsRowDxfId="559"/>
    <tableColumn id="137" xr3:uid="{95B22C56-4952-4CA2-A00C-04DD744106BC}" name="Colonne135" totalsRowFunction="sum" dataDxfId="558" totalsRowDxfId="557"/>
    <tableColumn id="138" xr3:uid="{957B2030-4621-4F9C-AEBD-5E0585313FFA}" name="Colonne136" totalsRowFunction="sum" dataDxfId="556" totalsRowDxfId="555"/>
    <tableColumn id="139" xr3:uid="{2DDE1856-5893-4762-8567-C69FE954DA23}" name="Colonne137" totalsRowFunction="sum" dataDxfId="554" totalsRowDxfId="553"/>
    <tableColumn id="140" xr3:uid="{2647E2B0-7D3C-4D16-9207-37611EFAB2EE}" name="Colonne138" totalsRowFunction="sum" dataDxfId="552" totalsRowDxfId="551"/>
    <tableColumn id="141" xr3:uid="{C3AF92FE-C8D4-40E8-8A8B-31239ED7A212}" name="Colonne139" totalsRowFunction="sum" dataDxfId="550" totalsRowDxfId="549"/>
    <tableColumn id="142" xr3:uid="{27A1A14F-78DC-4624-9CBE-6E4391EEFD1C}" name="Colonne140" totalsRowFunction="sum" dataDxfId="548" totalsRowDxfId="547"/>
    <tableColumn id="143" xr3:uid="{7B192FD4-537D-4A92-B12E-38FBC81F871D}" name="Colonne141" totalsRowFunction="sum" dataDxfId="546" totalsRowDxfId="545"/>
    <tableColumn id="144" xr3:uid="{A0B7FC4D-748A-4C02-AB70-22D10E0290EC}" name="Colonne142" totalsRowFunction="sum" dataDxfId="544" totalsRowDxfId="543"/>
    <tableColumn id="145" xr3:uid="{D095FE43-10D4-4985-A22F-E47045811955}" name="Colonne143" totalsRowFunction="sum" dataDxfId="542" totalsRowDxfId="541"/>
    <tableColumn id="146" xr3:uid="{A89D6E41-3A40-4825-8E0D-C69938BF6E1B}" name="Colonne144" totalsRowFunction="sum" dataDxfId="540" totalsRowDxfId="539"/>
    <tableColumn id="147" xr3:uid="{F33F2854-09C0-49CA-A582-6335EBEEA247}" name="Colonne145" totalsRowFunction="sum" dataDxfId="538" totalsRowDxfId="537"/>
    <tableColumn id="148" xr3:uid="{F1AD0B02-DE91-4A63-A453-F98FFA10106C}" name="Colonne146" totalsRowFunction="sum" dataDxfId="536" totalsRowDxfId="535"/>
    <tableColumn id="149" xr3:uid="{EC442D3B-4C45-4FBC-A405-DE1BEB731A0C}" name="Colonne147" totalsRowFunction="sum" dataDxfId="534" totalsRowDxfId="533"/>
    <tableColumn id="150" xr3:uid="{AFF0C45E-6CCC-4A1B-9F86-16A87DCAD007}" name="Colonne148" totalsRowFunction="sum" dataDxfId="532" totalsRowDxfId="531"/>
    <tableColumn id="151" xr3:uid="{C39CA029-C476-4C07-899A-6F658E038205}" name="Colonne149" totalsRowFunction="sum" dataDxfId="530" totalsRowDxfId="529"/>
    <tableColumn id="152" xr3:uid="{AF4E1CE8-C407-4A06-B9A7-0D8F1030410B}" name="Colonne150" totalsRowFunction="sum" dataDxfId="528" totalsRowDxfId="527"/>
    <tableColumn id="153" xr3:uid="{30BD604E-7F6D-473B-8942-15601B25D0AB}" name="Colonne151" totalsRowFunction="sum" dataDxfId="526" totalsRowDxfId="525"/>
    <tableColumn id="154" xr3:uid="{B08FBDAB-6F80-454F-AD81-8C9759588394}" name="Colonne152" totalsRowFunction="sum" dataDxfId="524" totalsRowDxfId="523"/>
    <tableColumn id="155" xr3:uid="{857F51EB-EAC0-408F-93A0-EF57A2700736}" name="Colonne153" totalsRowFunction="sum" dataDxfId="522" totalsRowDxfId="521"/>
    <tableColumn id="156" xr3:uid="{7E51E553-66D7-4FD4-9E1C-67D788322633}" name="Colonne154" totalsRowFunction="sum" dataDxfId="520" totalsRowDxfId="519"/>
    <tableColumn id="157" xr3:uid="{4C0C3FAB-D441-4332-9D82-ABA9CAC51414}" name="Colonne155" totalsRowFunction="sum" dataDxfId="518" totalsRowDxfId="517"/>
    <tableColumn id="158" xr3:uid="{A0AE4CDB-FA7C-4260-A2D8-0822DD602C74}" name="Colonne156" totalsRowFunction="sum" dataDxfId="516" totalsRowDxfId="515"/>
    <tableColumn id="159" xr3:uid="{2A576810-FFB3-4E1E-B774-95F07860234F}" name="Colonne157" totalsRowFunction="sum" dataDxfId="514" totalsRowDxfId="513"/>
    <tableColumn id="160" xr3:uid="{9893A0F6-C23F-4CB9-A7C2-EDB3869857D4}" name="Colonne158" totalsRowFunction="sum" dataDxfId="512" totalsRowDxfId="511"/>
    <tableColumn id="161" xr3:uid="{D82BCC58-90CB-4BA2-9043-6EB85DA8040C}" name="Colonne159" totalsRowFunction="sum" dataDxfId="510" totalsRowDxfId="509"/>
    <tableColumn id="162" xr3:uid="{59B39D20-1D1D-4F98-B3F4-DBAC750D8FA2}" name="Colonne160" totalsRowFunction="sum" dataDxfId="508" totalsRowDxfId="507"/>
    <tableColumn id="163" xr3:uid="{5DAF8A04-8B89-42EE-9E5C-2CC39C2E497D}" name="Colonne161" totalsRowFunction="sum" dataDxfId="506" totalsRowDxfId="505"/>
    <tableColumn id="164" xr3:uid="{B7D093F4-0856-4C60-B1BC-A1A551D295BE}" name="Colonne162" totalsRowFunction="sum" dataDxfId="504" totalsRowDxfId="503"/>
    <tableColumn id="165" xr3:uid="{15C70177-AFEF-4A04-B410-2D6B45A4F5E0}" name="Colonne163" totalsRowFunction="sum" dataDxfId="502" totalsRowDxfId="501"/>
    <tableColumn id="166" xr3:uid="{4B929708-4DD2-4BED-AE09-430A738E0D5C}" name="Colonne164" totalsRowFunction="sum" dataDxfId="500" totalsRowDxfId="499"/>
    <tableColumn id="167" xr3:uid="{0CB2C9BE-31F8-41B8-860F-04F096E49FCC}" name="Colonne165" totalsRowFunction="sum" dataDxfId="498" totalsRowDxfId="497"/>
    <tableColumn id="168" xr3:uid="{309CFEFC-925A-4990-9AD0-A2754A45624E}" name="Colonne166" totalsRowFunction="sum" dataDxfId="496" totalsRowDxfId="495"/>
    <tableColumn id="169" xr3:uid="{561C944A-9CC2-4347-BBC1-9A5468726295}" name="Colonne167" totalsRowFunction="sum" dataDxfId="494" totalsRowDxfId="493"/>
    <tableColumn id="170" xr3:uid="{40B0D0CC-8840-44CB-B30C-79E7F1C6A1C3}" name="Colonne168" totalsRowFunction="sum" dataDxfId="492" totalsRowDxfId="491"/>
    <tableColumn id="171" xr3:uid="{64E2B9A0-AC6E-425C-A926-40E8645F0E6C}" name="Colonne169" totalsRowFunction="sum" dataDxfId="490" totalsRowDxfId="489"/>
    <tableColumn id="172" xr3:uid="{48130538-DE6F-48EA-AAA0-0D1238D3F32E}" name="Colonne170" totalsRowFunction="sum" dataDxfId="488" totalsRowDxfId="487"/>
    <tableColumn id="173" xr3:uid="{FE6F4DFA-609C-4AAB-8098-3BF0A533F1F3}" name="Colonne171" totalsRowFunction="sum" dataDxfId="486" totalsRowDxfId="485"/>
    <tableColumn id="174" xr3:uid="{17C8F82D-7529-49B0-95E0-FFC881D12674}" name="Colonne172" totalsRowFunction="sum" dataDxfId="484" totalsRowDxfId="483"/>
    <tableColumn id="175" xr3:uid="{76293242-C524-45DD-B4EC-78E6E8FA402C}" name="Colonne173" totalsRowFunction="sum" dataDxfId="482" totalsRowDxfId="481"/>
    <tableColumn id="176" xr3:uid="{3B25E6A4-46FF-4C22-9C85-66C5C914F079}" name="Colonne174" totalsRowFunction="sum" dataDxfId="480" totalsRowDxfId="479"/>
    <tableColumn id="177" xr3:uid="{928DC4E6-E743-4AB1-8AD9-052B6E357794}" name="Colonne175" totalsRowFunction="sum" dataDxfId="478" totalsRowDxfId="477"/>
    <tableColumn id="178" xr3:uid="{2075A4B4-08A7-4B3B-B89C-AFAC4331709D}" name="Colonne176" totalsRowFunction="sum" dataDxfId="476" totalsRowDxfId="475"/>
    <tableColumn id="179" xr3:uid="{1FF4B357-F2CA-4CB1-BA53-5408E3C4D958}" name="Colonne177" totalsRowFunction="sum" dataDxfId="474" totalsRowDxfId="473"/>
    <tableColumn id="180" xr3:uid="{A07B142D-9D72-4C84-B99A-87EA23B68A37}" name="Colonne178" totalsRowFunction="sum" dataDxfId="472" totalsRowDxfId="471"/>
    <tableColumn id="181" xr3:uid="{5479311C-73B7-4FCF-8E91-BD0FF5C58480}" name="Colonne179" totalsRowFunction="sum" dataDxfId="470" totalsRowDxfId="469"/>
    <tableColumn id="182" xr3:uid="{8CB20BE7-5FD4-495A-9F31-95C8884F816E}" name="Colonne180" totalsRowFunction="sum" dataDxfId="468" totalsRowDxfId="467"/>
    <tableColumn id="183" xr3:uid="{F0A4342A-1899-4AE2-8369-C48E89EAE61F}" name="Colonne181" totalsRowFunction="sum" dataDxfId="466" totalsRowDxfId="465"/>
    <tableColumn id="184" xr3:uid="{10C62F88-079D-4A7E-982B-BBDD5672B05D}" name="Colonne182" totalsRowFunction="sum" dataDxfId="464" totalsRowDxfId="463"/>
    <tableColumn id="185" xr3:uid="{50DFF5C7-BBC8-4EBC-848F-AF4BE3C353B5}" name="Colonne183" totalsRowFunction="sum" dataDxfId="462" totalsRowDxfId="461"/>
    <tableColumn id="186" xr3:uid="{365027B7-EE50-42D5-93CC-1B2D9776B560}" name="Colonne184" totalsRowFunction="sum" dataDxfId="460" totalsRowDxfId="459"/>
    <tableColumn id="187" xr3:uid="{E678EA5D-EEEF-4DF9-B916-4BD2F2B9EBF1}" name="Colonne185" totalsRowFunction="sum" dataDxfId="458" totalsRowDxfId="457"/>
    <tableColumn id="188" xr3:uid="{F26EC95C-9160-40F0-8CFC-BC2266A0CA5D}" name="Colonne186" totalsRowFunction="sum" dataDxfId="456" totalsRowDxfId="455"/>
    <tableColumn id="189" xr3:uid="{4A0DBF9E-1522-415F-9F65-19EB526ECB52}" name="Colonne187" totalsRowFunction="sum" dataDxfId="454" totalsRowDxfId="453"/>
    <tableColumn id="190" xr3:uid="{E7EABD53-F8E6-412D-9004-4A2A164D95C6}" name="Colonne188" totalsRowFunction="sum" dataDxfId="452" totalsRowDxfId="451"/>
    <tableColumn id="191" xr3:uid="{21CC07E9-90E5-4A2D-AF20-D60EEA766F5E}" name="Colonne189" totalsRowFunction="sum" dataDxfId="450" totalsRowDxfId="449"/>
    <tableColumn id="192" xr3:uid="{CCB487D3-B9D0-441C-AA4B-033BD71E78D4}" name="Colonne190" totalsRowFunction="sum" dataDxfId="448" totalsRowDxfId="447"/>
    <tableColumn id="193" xr3:uid="{3DDD3C1A-5397-40F6-BC35-2AF4027CDE8A}" name="Colonne191" totalsRowFunction="sum" dataDxfId="446" totalsRowDxfId="445"/>
    <tableColumn id="194" xr3:uid="{F7058698-A450-4C45-94D4-CDB8241FCF0F}" name="Colonne192" totalsRowFunction="sum" dataDxfId="444" totalsRowDxfId="443"/>
    <tableColumn id="195" xr3:uid="{260EA96A-4097-4E39-9949-41C22EEF089A}" name="Colonne193" totalsRowFunction="sum" dataDxfId="442" totalsRowDxfId="441"/>
    <tableColumn id="196" xr3:uid="{B32B3FD4-E85F-4F32-AB10-9F9A3DB0C7A1}" name="Colonne194" totalsRowFunction="sum" dataDxfId="440" totalsRowDxfId="439"/>
    <tableColumn id="197" xr3:uid="{84F43122-DA0C-4CBA-9303-7560E1F46B22}" name="Colonne195" totalsRowFunction="sum" dataDxfId="438" totalsRowDxfId="437"/>
    <tableColumn id="198" xr3:uid="{A082924A-5AD2-42E6-9F9B-3815A3165614}" name="Colonne196" totalsRowFunction="sum" dataDxfId="436" totalsRowDxfId="435"/>
    <tableColumn id="199" xr3:uid="{D67BC82A-111A-4B2A-B87C-E7D6FB6CA8BE}" name="Colonne197" totalsRowFunction="sum" dataDxfId="434" totalsRowDxfId="433"/>
    <tableColumn id="200" xr3:uid="{ACA7E326-6BE7-40E5-AE49-599C95613758}" name="Colonne198" totalsRowFunction="sum" dataDxfId="432" totalsRowDxfId="431"/>
    <tableColumn id="201" xr3:uid="{845A9574-B217-4B51-82A8-C638CDF41D85}" name="Colonne199" totalsRowFunction="sum" dataDxfId="430" totalsRowDxfId="429"/>
    <tableColumn id="202" xr3:uid="{39266753-2AED-42D3-9FAF-61DE08C152E6}" name="Colonne200" totalsRowFunction="sum" dataDxfId="428" totalsRowDxfId="427"/>
    <tableColumn id="203" xr3:uid="{421ADF33-FCCC-424E-A6DB-94570D4722F4}" name="Colonne201" totalsRowFunction="sum" dataDxfId="426" totalsRowDxfId="425"/>
    <tableColumn id="204" xr3:uid="{ADCA1D28-6C24-4B2F-BF06-D4E801AF5B15}" name="Colonne202" totalsRowFunction="sum" dataDxfId="424" totalsRowDxfId="423"/>
    <tableColumn id="205" xr3:uid="{60F1C376-77DD-4507-8BF1-B905D35FEB22}" name="Colonne203" totalsRowFunction="sum" dataDxfId="422" totalsRowDxfId="421"/>
    <tableColumn id="206" xr3:uid="{9BC619FE-EA95-4F5C-8147-D2EC2409B76B}" name="Colonne204" totalsRowFunction="sum" dataDxfId="420" totalsRowDxfId="419"/>
    <tableColumn id="207" xr3:uid="{296F23F0-9356-425C-AB51-97B5413754A1}" name="Colonne205" totalsRowFunction="sum" dataDxfId="418" totalsRowDxfId="417"/>
    <tableColumn id="208" xr3:uid="{3BD5AAFA-06DC-4CD6-B40F-C8C7B56C1F1A}" name="Colonne206" totalsRowFunction="sum" dataDxfId="416" totalsRowDxfId="415"/>
    <tableColumn id="209" xr3:uid="{B89B969A-C4A9-4B4C-AE20-9827665FC78A}" name="Colonne207" totalsRowFunction="sum" dataDxfId="414" totalsRowDxfId="413"/>
    <tableColumn id="210" xr3:uid="{9F2C3077-AF5A-4BA4-8F69-E5BE59258B21}" name="Colonne208" totalsRowFunction="sum" dataDxfId="412" totalsRowDxfId="411"/>
    <tableColumn id="211" xr3:uid="{C4FC2A83-6064-4CC4-889A-3817B70A7FB9}" name="Colonne209" totalsRowFunction="sum" dataDxfId="410" totalsRowDxfId="409"/>
    <tableColumn id="212" xr3:uid="{91582875-6D90-4735-B5B7-B9B8F52A8733}" name="Colonne210" totalsRowFunction="sum" dataDxfId="408" totalsRowDxfId="407"/>
    <tableColumn id="213" xr3:uid="{40D5CEED-A6FF-43E4-88B1-EABC6C99876B}" name="Colonne211" totalsRowFunction="sum" dataDxfId="406" totalsRowDxfId="405"/>
    <tableColumn id="214" xr3:uid="{C6A83380-7AE4-47C2-B109-DAA3D9BC5253}" name="Colonne212" totalsRowFunction="sum" dataDxfId="404" totalsRowDxfId="403"/>
    <tableColumn id="215" xr3:uid="{5DDDA1D8-D76A-4070-9946-1F7667D6FB8B}" name="Colonne213" totalsRowFunction="sum" dataDxfId="402" totalsRowDxfId="401"/>
    <tableColumn id="216" xr3:uid="{7E1FF0D8-5826-4910-AE9B-895CE54210EA}" name="Colonne214" totalsRowFunction="sum" dataDxfId="400" totalsRowDxfId="399"/>
    <tableColumn id="217" xr3:uid="{CABD761B-7E9A-481A-9E69-8989312636CD}" name="Colonne215" totalsRowFunction="sum" dataDxfId="398" totalsRowDxfId="397"/>
    <tableColumn id="218" xr3:uid="{8394CA6A-CD27-400A-95C2-E9D5B1ADCD18}" name="Colonne216" totalsRowFunction="sum" dataDxfId="396" totalsRowDxfId="395"/>
    <tableColumn id="219" xr3:uid="{D1DEBD6A-A58B-4E86-95FD-FC088FD80E09}" name="Colonne217" totalsRowFunction="sum" dataDxfId="394" totalsRowDxfId="393"/>
    <tableColumn id="220" xr3:uid="{5B4AA523-041A-46C8-B695-0563DCBE9DD8}" name="Colonne218" totalsRowFunction="sum" dataDxfId="392" totalsRowDxfId="391"/>
    <tableColumn id="221" xr3:uid="{790D7039-91F7-4400-931F-24BC0D51FA9B}" name="Colonne219" totalsRowFunction="sum" dataDxfId="390" totalsRowDxfId="389"/>
    <tableColumn id="222" xr3:uid="{4AB6486E-84CD-4C62-A617-6B1B6A9A9C6F}" name="Colonne220" totalsRowFunction="sum" dataDxfId="388" totalsRowDxfId="387"/>
    <tableColumn id="223" xr3:uid="{15BDE7C7-9D04-4B73-9F92-2854ED5557A3}" name="Colonne221" totalsRowFunction="sum" dataDxfId="386" totalsRowDxfId="385"/>
    <tableColumn id="224" xr3:uid="{1DA9D53C-B9AC-431E-B8CC-9B211D98332C}" name="Colonne222" totalsRowFunction="sum" dataDxfId="384" totalsRowDxfId="383"/>
    <tableColumn id="225" xr3:uid="{9E35228D-1669-468A-90AE-30CD153497E9}" name="Colonne223" totalsRowFunction="sum" dataDxfId="382" totalsRowDxfId="381"/>
    <tableColumn id="226" xr3:uid="{ABDA1538-1FEB-4C7E-8740-CD3861E6D536}" name="Colonne224" totalsRowFunction="sum" dataDxfId="380" totalsRowDxfId="379"/>
    <tableColumn id="227" xr3:uid="{31E4DD48-5499-400F-BAFB-4DED7F00865F}" name="Colonne225" totalsRowFunction="sum" dataDxfId="378" totalsRowDxfId="377"/>
    <tableColumn id="228" xr3:uid="{4B54C66E-3269-4EE0-BAE7-0F7139E2FAC5}" name="Colonne226" totalsRowFunction="sum" dataDxfId="376" totalsRowDxfId="375"/>
    <tableColumn id="229" xr3:uid="{6FE1F364-07E6-4ABE-BCC8-A394C69D63BB}" name="Colonne227" totalsRowFunction="sum" dataDxfId="374" totalsRowDxfId="373"/>
    <tableColumn id="230" xr3:uid="{81B87C34-B318-411D-A3D9-CEE74FC7410D}" name="Colonne228" totalsRowFunction="sum" dataDxfId="372" totalsRowDxfId="371"/>
    <tableColumn id="231" xr3:uid="{B50CD4DB-D736-4602-9899-B671BBB5D964}" name="Colonne229" totalsRowFunction="sum" dataDxfId="370" totalsRowDxfId="369"/>
    <tableColumn id="232" xr3:uid="{943CA101-7E8A-4AEA-BFA2-034D5A47EC1F}" name="Colonne230" totalsRowFunction="sum" dataDxfId="368" totalsRowDxfId="367"/>
    <tableColumn id="233" xr3:uid="{89C0762F-A139-4FC7-9048-B09F3B48FB70}" name="Colonne231" totalsRowFunction="sum" dataDxfId="366" totalsRowDxfId="365"/>
    <tableColumn id="234" xr3:uid="{96F39AAF-E020-4223-9C09-B45E4CBF969F}" name="Colonne232" totalsRowFunction="sum" dataDxfId="364" totalsRowDxfId="363"/>
    <tableColumn id="235" xr3:uid="{48E795C3-3280-4262-A9C9-D58C25F5D8C7}" name="Colonne233" totalsRowFunction="sum" dataDxfId="362" totalsRowDxfId="361"/>
    <tableColumn id="236" xr3:uid="{ADBE2CC9-BE63-420A-B574-F3C6C0BC4505}" name="Colonne234" totalsRowFunction="sum" dataDxfId="360" totalsRowDxfId="359"/>
    <tableColumn id="237" xr3:uid="{E4461C04-C20B-404B-B5CD-10BFE3C8CB24}" name="Colonne235" totalsRowFunction="sum" dataDxfId="358" totalsRowDxfId="357"/>
    <tableColumn id="238" xr3:uid="{4A93B806-94A2-411B-8A9B-D9C81D938D9A}" name="Colonne236" totalsRowFunction="sum" dataDxfId="356" totalsRowDxfId="355"/>
    <tableColumn id="239" xr3:uid="{73D47004-AD84-4611-AA64-D922A56F1E8B}" name="Colonne237" totalsRowFunction="sum" dataDxfId="354" totalsRowDxfId="353"/>
    <tableColumn id="240" xr3:uid="{408AA1B3-BFC9-4FA2-97CA-AFEC23CA7BE0}" name="Colonne238" totalsRowFunction="sum" dataDxfId="352" totalsRowDxfId="351"/>
    <tableColumn id="241" xr3:uid="{594C001E-838B-45E7-A62C-703EC0ABFC5B}" name="Colonne239" totalsRowFunction="sum" dataDxfId="350" totalsRowDxfId="349"/>
    <tableColumn id="242" xr3:uid="{BDFA26EF-5288-40D7-B600-14D6529D9F7A}" name="Colonne240" totalsRowFunction="sum" dataDxfId="348" totalsRowDxfId="347"/>
    <tableColumn id="243" xr3:uid="{63D2AD62-4A45-40D6-9B08-6BDA3668E153}" name="Colonne241" totalsRowFunction="sum" dataDxfId="346" totalsRowDxfId="345"/>
    <tableColumn id="244" xr3:uid="{51D98F38-590A-4CDC-9545-A8341069AFBD}" name="Colonne242" totalsRowFunction="sum" dataDxfId="344" totalsRowDxfId="343"/>
    <tableColumn id="245" xr3:uid="{E0EDAC4E-32A7-43FA-8EEC-84689B62639D}" name="Colonne243" totalsRowFunction="sum" dataDxfId="342" totalsRowDxfId="341"/>
    <tableColumn id="246" xr3:uid="{5BD428C7-1A90-4887-82D8-CDD783E3C2C7}" name="Colonne244" totalsRowFunction="sum" dataDxfId="340" totalsRowDxfId="339"/>
    <tableColumn id="247" xr3:uid="{C8ABED3F-5638-4B3C-B51C-013D7331DF01}" name="Colonne245" totalsRowFunction="sum" dataDxfId="338" totalsRowDxfId="337"/>
    <tableColumn id="248" xr3:uid="{2A5DDF6C-DBE2-44B4-AFB4-21203A705394}" name="Colonne246" totalsRowFunction="sum" dataDxfId="336" totalsRowDxfId="335"/>
    <tableColumn id="249" xr3:uid="{8C764C71-7689-4EB9-B084-2EA3E5A85BB8}" name="Colonne247" totalsRowFunction="sum" dataDxfId="334" totalsRowDxfId="333"/>
    <tableColumn id="250" xr3:uid="{18E3713D-852F-4D9B-AC37-765CD9825500}" name="Colonne248" totalsRowFunction="sum" dataDxfId="332" totalsRowDxfId="331"/>
    <tableColumn id="251" xr3:uid="{6BD658B8-6640-41A3-959D-D4CD813E2E6E}" name="Colonne249" totalsRowFunction="sum" dataDxfId="330" totalsRowDxfId="329"/>
    <tableColumn id="252" xr3:uid="{895EDE40-C44C-4C19-A40E-5D7BA806338F}" name="Colonne250" totalsRowFunction="sum" dataDxfId="328" totalsRowDxfId="327"/>
    <tableColumn id="253" xr3:uid="{9F83D168-93AB-4E4F-B3EA-77E1176C4421}" name="Colonne251" totalsRowFunction="sum" dataDxfId="326" totalsRowDxfId="325"/>
    <tableColumn id="254" xr3:uid="{EFE8AA6D-D4E8-4934-9352-6EF9BC5EA93E}" name="Colonne252" totalsRowFunction="sum" dataDxfId="324" totalsRowDxfId="323"/>
    <tableColumn id="255" xr3:uid="{2BE4F990-ED3B-403C-B33B-83A03483C84B}" name="Colonne253" totalsRowFunction="sum" dataDxfId="322" totalsRowDxfId="321"/>
    <tableColumn id="256" xr3:uid="{E9912F3B-E88F-4DFF-8DF9-E389FF0D91E1}" name="Colonne254" totalsRowFunction="sum" dataDxfId="320" totalsRowDxfId="319"/>
    <tableColumn id="257" xr3:uid="{6EB29E8F-5F46-480F-B853-57001D60B37A}" name="Colonne255" totalsRowFunction="sum" dataDxfId="318" totalsRowDxfId="317"/>
    <tableColumn id="258" xr3:uid="{7B9695AD-7758-4DDC-A7C3-39AE0582E95A}" name="Colonne256" totalsRowFunction="sum" dataDxfId="316" totalsRowDxfId="315"/>
    <tableColumn id="259" xr3:uid="{87D90C45-EB50-4E68-8405-BF1604BA3781}" name="Colonne257" totalsRowFunction="sum" dataDxfId="314" totalsRowDxfId="313"/>
    <tableColumn id="260" xr3:uid="{F2F993CE-43F8-4DD2-936F-FB93138F888D}" name="Colonne258" totalsRowFunction="sum" dataDxfId="312" totalsRowDxfId="311"/>
    <tableColumn id="261" xr3:uid="{ADEAEF2D-8861-4ADD-9E95-9CBB2387B761}" name="Colonne259" totalsRowFunction="sum" dataDxfId="310" totalsRowDxfId="309"/>
    <tableColumn id="262" xr3:uid="{6E3BF10E-5DFB-4055-9434-8A2A2C2A4172}" name="Colonne260" totalsRowFunction="sum" dataDxfId="308" totalsRowDxfId="307"/>
    <tableColumn id="263" xr3:uid="{4194B9D0-EE45-4CE1-89FF-34582BC063F6}" name="Colonne261" totalsRowFunction="sum" dataDxfId="306" totalsRowDxfId="305"/>
    <tableColumn id="264" xr3:uid="{E4BBB8B9-4522-41EA-9D80-6C33B26437A1}" name="Colonne262" totalsRowFunction="sum" dataDxfId="304" totalsRowDxfId="303"/>
    <tableColumn id="265" xr3:uid="{E8F73B12-DC7E-424F-9FB3-D82F0222B629}" name="Colonne263" totalsRowFunction="sum" dataDxfId="302" totalsRowDxfId="301"/>
    <tableColumn id="266" xr3:uid="{20676E47-3091-4326-8415-7EC841A09448}" name="Colonne264" totalsRowFunction="sum" dataDxfId="300" totalsRowDxfId="299"/>
    <tableColumn id="267" xr3:uid="{64BEAF77-8181-46C1-B74F-48685BAD0D74}" name="Colonne265" totalsRowFunction="sum" dataDxfId="298" totalsRowDxfId="297"/>
    <tableColumn id="268" xr3:uid="{FABC4D66-10E4-4D01-BCA9-1E332FACB4A2}" name="Colonne266" totalsRowFunction="sum" dataDxfId="296" totalsRowDxfId="295"/>
    <tableColumn id="269" xr3:uid="{078FD0F5-E795-4F17-8465-5E6794C333A7}" name="Colonne267" totalsRowFunction="sum" dataDxfId="294" totalsRowDxfId="293"/>
    <tableColumn id="270" xr3:uid="{8352F7F3-E7FB-4A43-B069-66410FC12B8D}" name="Colonne268" totalsRowFunction="sum" dataDxfId="292" totalsRowDxfId="291"/>
    <tableColumn id="271" xr3:uid="{5367855E-B7D3-497D-ADA0-1527B7244F8F}" name="Colonne269" totalsRowFunction="sum" dataDxfId="290" totalsRowDxfId="289"/>
    <tableColumn id="272" xr3:uid="{EC9A453B-4756-47C9-B722-2FBF914DDE3A}" name="Colonne270" totalsRowFunction="sum" dataDxfId="288" totalsRowDxfId="287"/>
    <tableColumn id="273" xr3:uid="{5CA33AA4-D623-456E-B72C-A4C6B9B4DE83}" name="Colonne271" totalsRowFunction="sum" dataDxfId="286" totalsRowDxfId="285"/>
    <tableColumn id="274" xr3:uid="{6E0F7788-9D6D-4386-899B-E5679BBDFE9E}" name="Colonne272" totalsRowFunction="sum" dataDxfId="284" totalsRowDxfId="283"/>
    <tableColumn id="275" xr3:uid="{5BA41D78-2431-4A60-A51C-3CD10B0E318E}" name="Colonne273" totalsRowFunction="sum" dataDxfId="282" totalsRowDxfId="281"/>
    <tableColumn id="276" xr3:uid="{1EC7F7F1-8373-441F-B893-3CCE82DF9115}" name="Colonne274" totalsRowFunction="sum" dataDxfId="280" totalsRowDxfId="279"/>
    <tableColumn id="277" xr3:uid="{D579F8CA-A28D-49A9-BDB2-27F6C91B9441}" name="Colonne275" totalsRowFunction="sum" dataDxfId="278" totalsRowDxfId="277"/>
    <tableColumn id="278" xr3:uid="{657BF098-0E1E-41BB-9E06-BE0553E58D70}" name="Colonne276" totalsRowFunction="sum" dataDxfId="276" totalsRowDxfId="275"/>
    <tableColumn id="279" xr3:uid="{2C16BAB3-AFF7-48B3-90CB-2165B4A57843}" name="Colonne277" totalsRowFunction="sum" dataDxfId="274" totalsRowDxfId="273"/>
    <tableColumn id="280" xr3:uid="{3826A786-E953-49E0-89F7-8ADE3DF2B934}" name="Colonne278" totalsRowFunction="sum" dataDxfId="272" totalsRowDxfId="271"/>
    <tableColumn id="281" xr3:uid="{5C623808-7D12-4EEE-B834-52D1AF2C138C}" name="Colonne279" totalsRowFunction="sum" dataDxfId="270" totalsRowDxfId="269"/>
    <tableColumn id="282" xr3:uid="{A9EB1F48-01BD-4D53-A33C-2E7C0736B781}" name="Colonne280" totalsRowFunction="sum" dataDxfId="268" totalsRowDxfId="267"/>
    <tableColumn id="283" xr3:uid="{6B120B75-7E06-4CA1-90E6-46C54481A7DD}" name="Colonne281" totalsRowFunction="sum" dataDxfId="266" totalsRowDxfId="265"/>
    <tableColumn id="284" xr3:uid="{215EDFF7-0A4A-405B-82F6-8BA587C483FC}" name="Colonne282" totalsRowFunction="sum" dataDxfId="264" totalsRowDxfId="263"/>
    <tableColumn id="285" xr3:uid="{EC610239-1869-4615-A39F-899948AFA631}" name="Colonne283" totalsRowFunction="sum" dataDxfId="262" totalsRowDxfId="261"/>
    <tableColumn id="286" xr3:uid="{E5552317-AE99-4D7D-A793-1A3A2338123D}" name="Colonne284" totalsRowFunction="sum" dataDxfId="260" totalsRowDxfId="259"/>
    <tableColumn id="287" xr3:uid="{1AF04DF9-F444-46F9-93AA-92C240995FEA}" name="Colonne285" totalsRowFunction="sum" dataDxfId="258" totalsRowDxfId="257"/>
    <tableColumn id="288" xr3:uid="{E1ABDA4F-8B2E-418F-8E95-3C5371EDF85D}" name="Colonne286" totalsRowFunction="sum" dataDxfId="256" totalsRowDxfId="255"/>
    <tableColumn id="289" xr3:uid="{A740075E-F87E-4288-8145-78ADAE349571}" name="Colonne287" totalsRowFunction="sum" dataDxfId="254" totalsRowDxfId="253"/>
    <tableColumn id="290" xr3:uid="{CBAB7AD3-8B29-476F-9E34-ADF04F90DD35}" name="Colonne288" totalsRowFunction="sum" dataDxfId="252" totalsRowDxfId="251"/>
    <tableColumn id="291" xr3:uid="{DC338D59-E71C-4E43-8535-005EDBDA6271}" name="Colonne289" totalsRowFunction="sum" dataDxfId="250" totalsRowDxfId="249"/>
    <tableColumn id="292" xr3:uid="{4A7BB91D-A041-4461-9673-7F117AB7F89F}" name="Colonne290" totalsRowFunction="sum" dataDxfId="248" totalsRowDxfId="247"/>
    <tableColumn id="293" xr3:uid="{DECF7077-01D8-41EE-806D-77B2F52385F0}" name="Colonne291" totalsRowFunction="sum" dataDxfId="246" totalsRowDxfId="245"/>
    <tableColumn id="294" xr3:uid="{5E961644-A4E3-4883-BBF4-F99B3959AFB5}" name="Colonne292" totalsRowFunction="sum" dataDxfId="244" totalsRowDxfId="243"/>
    <tableColumn id="295" xr3:uid="{CEF3E117-7A14-4B5D-B8EF-6C0162C169D5}" name="Colonne293" totalsRowFunction="sum" dataDxfId="242" totalsRowDxfId="241"/>
    <tableColumn id="296" xr3:uid="{495BDEB1-2562-4797-8F70-9B52ADB7F255}" name="Colonne294" totalsRowFunction="sum" dataDxfId="240" totalsRowDxfId="239"/>
    <tableColumn id="297" xr3:uid="{4FC291D3-03A2-433A-8654-01D14D42BB51}" name="Colonne295" totalsRowFunction="sum" dataDxfId="238" totalsRowDxfId="237"/>
    <tableColumn id="298" xr3:uid="{293A49A0-9014-430B-A5E8-13AFA3438F8A}" name="Colonne296" totalsRowFunction="sum" dataDxfId="236" totalsRowDxfId="235"/>
    <tableColumn id="299" xr3:uid="{69BF151D-5DF5-439F-BD75-F9661E8F8F6C}" name="Colonne297" totalsRowFunction="sum" dataDxfId="234" totalsRowDxfId="233"/>
    <tableColumn id="300" xr3:uid="{DEE3573E-F2DE-4074-9E36-AE2587952403}" name="Colonne298" totalsRowFunction="sum" dataDxfId="232" totalsRowDxfId="231"/>
    <tableColumn id="301" xr3:uid="{5CE3A0B1-2B50-4A71-A930-EE76FDBFCDE7}" name="Colonne299" totalsRowFunction="sum" dataDxfId="230" totalsRowDxfId="229"/>
    <tableColumn id="302" xr3:uid="{66A5464F-951E-4771-8D95-F41291F10988}" name="Colonne300" totalsRowFunction="sum" dataDxfId="228" totalsRowDxfId="227"/>
    <tableColumn id="303" xr3:uid="{29C9F1E5-FE76-4909-8034-0E7EED644E00}" name="Colonne301" totalsRowFunction="sum" dataDxfId="226" totalsRowDxfId="225"/>
    <tableColumn id="304" xr3:uid="{F913926A-8015-4766-86DC-4D269DA02EC5}" name="Colonne302" totalsRowFunction="sum" dataDxfId="224" totalsRowDxfId="223"/>
    <tableColumn id="305" xr3:uid="{80BF8EC1-0B80-4D69-A9AA-A6417419CB64}" name="Colonne303" totalsRowFunction="sum" dataDxfId="222" totalsRowDxfId="221"/>
    <tableColumn id="306" xr3:uid="{23452386-FAF2-41A3-9FFD-B0074CB190CD}" name="Colonne304" totalsRowFunction="sum" dataDxfId="220" totalsRowDxfId="219"/>
    <tableColumn id="307" xr3:uid="{ED954363-4CCC-4C04-B838-6C1BC6D0BC3A}" name="Colonne305" totalsRowFunction="sum" dataDxfId="218" totalsRowDxfId="217"/>
    <tableColumn id="308" xr3:uid="{A6C5EED1-F8B6-414E-BF7C-9C3C7F08B5BA}" name="Colonne306" totalsRowFunction="sum" dataDxfId="216" totalsRowDxfId="215"/>
    <tableColumn id="309" xr3:uid="{FF48F2A5-072B-4860-9E01-F35F06EA4718}" name="Colonne307" totalsRowFunction="sum" dataDxfId="214" totalsRowDxfId="213"/>
    <tableColumn id="310" xr3:uid="{5EBEDDBB-6F27-4957-98D3-144904E74230}" name="Colonne308" totalsRowFunction="sum" dataDxfId="212" totalsRowDxfId="211"/>
    <tableColumn id="311" xr3:uid="{0AFE4382-1AAF-4C32-AB58-430034E21760}" name="Colonne309" totalsRowFunction="sum" dataDxfId="210" totalsRowDxfId="209"/>
    <tableColumn id="312" xr3:uid="{9CD83AD8-016D-4792-89E9-64FDFA2D2222}" name="Colonne310" totalsRowFunction="sum" dataDxfId="208" totalsRowDxfId="207"/>
    <tableColumn id="313" xr3:uid="{AC350A29-A70D-4249-8E9B-AEB66FDEAD85}" name="Colonne311" totalsRowFunction="sum" dataDxfId="206" totalsRowDxfId="205"/>
    <tableColumn id="314" xr3:uid="{7010268D-47C1-4DDB-AF00-EFA2F871C0CA}" name="Colonne312" totalsRowFunction="sum" dataDxfId="204" totalsRowDxfId="203"/>
    <tableColumn id="315" xr3:uid="{ED236FB8-4EE9-40AD-9E3B-FA20B08B95C2}" name="Colonne313" totalsRowFunction="sum" dataDxfId="202" totalsRowDxfId="201"/>
    <tableColumn id="316" xr3:uid="{6C67836A-B312-4CC3-A5D2-36796F6F1BB5}" name="Colonne314" totalsRowFunction="sum" dataDxfId="200" totalsRowDxfId="199"/>
    <tableColumn id="317" xr3:uid="{74C2269F-3E57-491E-A1C2-150349437899}" name="Colonne315" totalsRowFunction="sum" dataDxfId="198" totalsRowDxfId="197"/>
    <tableColumn id="318" xr3:uid="{62093AC7-B0B3-42DF-8D51-4C39794EF1C7}" name="Colonne316" totalsRowFunction="sum" dataDxfId="196" totalsRowDxfId="195"/>
    <tableColumn id="319" xr3:uid="{D7D63388-BD7B-46D4-9851-C9C6CE596CD4}" name="Colonne317" totalsRowFunction="sum" dataDxfId="194" totalsRowDxfId="193"/>
    <tableColumn id="320" xr3:uid="{0D439877-A425-4E9B-8F2A-D93B79D1A9D9}" name="Colonne318" totalsRowFunction="sum" dataDxfId="192" totalsRowDxfId="191"/>
    <tableColumn id="321" xr3:uid="{15DF2ED4-D642-4FBB-8CEC-75D5CBB27D49}" name="Colonne319" totalsRowFunction="sum" dataDxfId="190" totalsRowDxfId="189"/>
    <tableColumn id="322" xr3:uid="{365C6CFD-220D-48F6-B6EA-1B58332C107F}" name="Colonne320" totalsRowFunction="sum" dataDxfId="188" totalsRowDxfId="187"/>
    <tableColumn id="323" xr3:uid="{249E6626-519F-47A2-8655-158DE3C43B70}" name="Colonne321" totalsRowFunction="sum" dataDxfId="186" totalsRowDxfId="185"/>
    <tableColumn id="324" xr3:uid="{DE994334-C55F-4090-AE57-DF84FFFAA86C}" name="Colonne322" totalsRowFunction="sum" dataDxfId="184" totalsRowDxfId="183"/>
    <tableColumn id="325" xr3:uid="{0A3C3187-F283-4846-9E92-BD7B1048F8A4}" name="Colonne323" totalsRowFunction="sum" dataDxfId="182" totalsRowDxfId="181"/>
    <tableColumn id="326" xr3:uid="{68BF15A2-0C04-4FE6-AF63-6AB7F3A446E2}" name="Colonne324" totalsRowFunction="sum" dataDxfId="180" totalsRowDxfId="179"/>
    <tableColumn id="327" xr3:uid="{1149D6B8-A3D2-4CAE-A476-1ED5D0F93206}" name="Colonne325" totalsRowFunction="sum" dataDxfId="178" totalsRowDxfId="177"/>
    <tableColumn id="328" xr3:uid="{F09E7C5E-EB57-42E5-8D10-F354A61F4520}" name="Colonne326" totalsRowFunction="sum" dataDxfId="176" totalsRowDxfId="175"/>
    <tableColumn id="329" xr3:uid="{EE671559-7384-463A-B559-538A3C6F1AE2}" name="Colonne327" totalsRowFunction="sum" dataDxfId="174" totalsRowDxfId="173"/>
    <tableColumn id="330" xr3:uid="{403BE12B-6BAD-4F76-B0BB-1D6744861270}" name="Colonne328" totalsRowFunction="sum" dataDxfId="172" totalsRowDxfId="171"/>
    <tableColumn id="331" xr3:uid="{75A3EC77-D4A3-4187-BD2E-08BEF5FFC0E9}" name="Colonne329" totalsRowFunction="sum" dataDxfId="170" totalsRowDxfId="169"/>
    <tableColumn id="332" xr3:uid="{1C2FE676-F2D6-4698-AA2F-17C59FAF3640}" name="Colonne330" totalsRowFunction="sum" dataDxfId="168" totalsRowDxfId="167"/>
    <tableColumn id="333" xr3:uid="{761DB252-E6D1-4D80-9211-544B0BB36A3E}" name="Colonne331" totalsRowFunction="sum" dataDxfId="166" totalsRowDxfId="165"/>
    <tableColumn id="334" xr3:uid="{1C276E84-8A8B-438F-B061-0FB04A794374}" name="Colonne332" totalsRowFunction="sum" dataDxfId="164" totalsRowDxfId="163"/>
    <tableColumn id="335" xr3:uid="{4706BC4A-72E6-4C06-B867-3CABCD6063CC}" name="Colonne333" totalsRowFunction="sum" dataDxfId="162" totalsRowDxfId="161"/>
    <tableColumn id="336" xr3:uid="{5B962ADA-5E97-4CD3-9FE5-9B0808D521F0}" name="Colonne334" totalsRowFunction="sum" dataDxfId="160" totalsRowDxfId="159"/>
    <tableColumn id="337" xr3:uid="{F9A24026-8802-4FB8-8D25-BDAC5950DF18}" name="Colonne335" totalsRowFunction="sum" dataDxfId="158" totalsRowDxfId="157"/>
    <tableColumn id="338" xr3:uid="{9B9B7BBE-D0D2-4DE6-A8C8-3566B88B450D}" name="Colonne336" totalsRowFunction="sum" dataDxfId="156" totalsRowDxfId="155"/>
    <tableColumn id="339" xr3:uid="{A0DD4A42-E69D-422E-BD78-F2F28596F421}" name="Colonne337" totalsRowFunction="sum" dataDxfId="154" totalsRowDxfId="153"/>
    <tableColumn id="340" xr3:uid="{1F87A1D6-37DD-4A1F-87F7-96A43D378076}" name="Colonne338" totalsRowFunction="sum" dataDxfId="152" totalsRowDxfId="151"/>
    <tableColumn id="341" xr3:uid="{1345CC9E-2655-4A21-9D75-95341ED24487}" name="Colonne339" totalsRowFunction="sum" dataDxfId="150" totalsRowDxfId="149"/>
    <tableColumn id="342" xr3:uid="{41A4A326-08B3-4461-B91E-8F015F892C65}" name="Colonne340" totalsRowFunction="sum" dataDxfId="148" totalsRowDxfId="147"/>
    <tableColumn id="343" xr3:uid="{3E04735B-6E70-446C-BDA0-0DB52D904BAC}" name="Colonne341" totalsRowFunction="sum" dataDxfId="146" totalsRowDxfId="145"/>
    <tableColumn id="344" xr3:uid="{216EB37F-5CD0-42D2-9CF5-29A7A1135077}" name="Colonne342" totalsRowFunction="sum" dataDxfId="144" totalsRowDxfId="143"/>
    <tableColumn id="345" xr3:uid="{EF5B91D3-83F2-4912-8815-063617626B9D}" name="Colonne343" totalsRowFunction="sum" dataDxfId="142" totalsRowDxfId="141"/>
    <tableColumn id="346" xr3:uid="{3CA111A1-066D-42F8-802D-091D50F9491F}" name="Colonne344" totalsRowFunction="sum" dataDxfId="140" totalsRowDxfId="139"/>
    <tableColumn id="347" xr3:uid="{5E0DCFEC-9D7D-4BFE-A65B-30FCE960ED9A}" name="Colonne345" totalsRowFunction="sum" dataDxfId="138" totalsRowDxfId="137"/>
    <tableColumn id="348" xr3:uid="{EE7ADFBD-4728-4D68-A076-215701FD009B}" name="Colonne346" totalsRowFunction="sum" dataDxfId="136" totalsRowDxfId="135"/>
    <tableColumn id="349" xr3:uid="{337CE2EB-0C58-4CF2-A8FB-2678080F9279}" name="Colonne347" totalsRowFunction="sum" dataDxfId="134" totalsRowDxfId="133"/>
    <tableColumn id="350" xr3:uid="{290600FD-BDB5-4A69-9235-9D7925857E8A}" name="Colonne348" totalsRowFunction="sum" dataDxfId="132" totalsRowDxfId="131"/>
    <tableColumn id="351" xr3:uid="{4FD065C4-C01D-4A50-8D24-B69F2EF8F9BA}" name="Colonne349" totalsRowFunction="sum" dataDxfId="130" totalsRowDxfId="129"/>
    <tableColumn id="352" xr3:uid="{7E07B967-245C-4758-955E-FCB51CD37619}" name="Colonne350" totalsRowFunction="sum" dataDxfId="128" totalsRowDxfId="127"/>
    <tableColumn id="353" xr3:uid="{816A8361-4B1E-459C-92EE-DB954C451846}" name="Colonne351" totalsRowFunction="sum" dataDxfId="126" totalsRowDxfId="125"/>
    <tableColumn id="354" xr3:uid="{9A001C25-5146-4487-9895-C02DE7997B09}" name="Colonne352" totalsRowFunction="sum" dataDxfId="124" totalsRowDxfId="123"/>
    <tableColumn id="355" xr3:uid="{8ECF6991-F0F1-4A85-9576-E995426D557A}" name="Colonne353" totalsRowFunction="sum" dataDxfId="122" totalsRowDxfId="121"/>
    <tableColumn id="356" xr3:uid="{A05A2771-FD39-4B9E-B833-3E2A892BC13F}" name="Colonne354" totalsRowFunction="sum" dataDxfId="120" totalsRowDxfId="119"/>
    <tableColumn id="357" xr3:uid="{F1EA4671-2868-4ED4-AC9E-C8D78285FF74}" name="Colonne355" totalsRowFunction="sum" dataDxfId="118" totalsRowDxfId="117"/>
    <tableColumn id="358" xr3:uid="{816EE4E2-C7FA-4E0A-8EA8-4F7828857809}" name="Colonne356" totalsRowFunction="sum" dataDxfId="116" totalsRowDxfId="115"/>
    <tableColumn id="359" xr3:uid="{A1EA9FD2-DACB-45A5-B178-D4B8507302D2}" name="Colonne357" totalsRowFunction="sum" dataDxfId="114" totalsRowDxfId="113"/>
    <tableColumn id="360" xr3:uid="{A5C99ABB-82E7-452B-BF1C-849BE4F036ED}" name="Colonne358" totalsRowFunction="sum" dataDxfId="112" totalsRowDxfId="111"/>
    <tableColumn id="361" xr3:uid="{D4858C43-3259-4748-AAA8-BCD4F51F5D4C}" name="Colonne359" totalsRowFunction="sum" dataDxfId="110" totalsRowDxfId="109"/>
    <tableColumn id="362" xr3:uid="{161148F8-507A-4E73-85B6-2E0C1772E231}" name="Colonne360" totalsRowFunction="sum" dataDxfId="108" totalsRowDxfId="107"/>
    <tableColumn id="363" xr3:uid="{0ED31F4A-658F-46BB-B6D6-B86B698EEB4F}" name="Colonne361" totalsRowFunction="sum" dataDxfId="106" totalsRowDxfId="105"/>
    <tableColumn id="364" xr3:uid="{AACC040D-FD19-4039-892C-5F434F0D27E5}" name="Colonne362" totalsRowFunction="sum" dataDxfId="104" totalsRowDxfId="103"/>
    <tableColumn id="365" xr3:uid="{9445B7BD-4F12-4840-98A1-73653E93B156}" name="Colonne363" totalsRowFunction="sum" dataDxfId="102" totalsRowDxfId="101"/>
    <tableColumn id="366" xr3:uid="{CADED868-9600-4DD8-8554-AB6AB261987B}" name="Colonne364" totalsRowFunction="sum" dataDxfId="100" totalsRowDxfId="99"/>
    <tableColumn id="367" xr3:uid="{E1C1533F-B3EA-4B12-A512-993C7D9F799C}" name="Colonne365" totalsRowFunction="sum" dataDxfId="98" totalsRowDxfId="97"/>
    <tableColumn id="368" xr3:uid="{7B9DA720-8089-46F3-890B-387660D3F58A}" name="Colonne366" totalsRowFunction="sum" dataDxfId="96" totalsRowDxfId="95"/>
    <tableColumn id="369" xr3:uid="{DED8F3C3-5ECE-42EC-A295-D2A6C708725C}" name="Colonne367" totalsRowFunction="sum" dataDxfId="94" totalsRowDxfId="93"/>
    <tableColumn id="370" xr3:uid="{B4370568-965F-43EA-A588-2D44CB36E056}" name="Colonne368" totalsRowFunction="sum" dataDxfId="92" totalsRowDxfId="91"/>
    <tableColumn id="371" xr3:uid="{782D61AC-2D79-404D-9C86-C771A9BCCA6A}" name="Colonne369" totalsRowFunction="sum" dataDxfId="90" totalsRowDxfId="89"/>
    <tableColumn id="372" xr3:uid="{D0014E0F-5043-4652-A7E6-324C6A446F7C}" name="Colonne370" totalsRowFunction="sum" dataDxfId="88" totalsRowDxfId="87"/>
    <tableColumn id="373" xr3:uid="{CF823FF7-FE34-4995-A99E-CD6C88BAB193}" name="Colonne371" totalsRowFunction="sum" dataDxfId="86" totalsRowDxfId="85"/>
    <tableColumn id="374" xr3:uid="{FBC98A0E-E623-49A2-9C3C-D5A7AF31CE92}" name="Colonne372" totalsRowFunction="sum" dataDxfId="84" totalsRowDxfId="83"/>
    <tableColumn id="375" xr3:uid="{EF733B15-1F02-4928-86B4-E0F126BA2D09}" name="Colonne373" totalsRowFunction="sum" dataDxfId="82" totalsRowDxfId="81"/>
    <tableColumn id="376" xr3:uid="{73ECEEA0-C2CE-41B2-9BE4-9872453106F5}" name="Colonne374" totalsRowFunction="sum" dataDxfId="80" totalsRowDxfId="79"/>
    <tableColumn id="377" xr3:uid="{ED25D7C0-D901-4FE3-9C3E-D24B98C07453}" name="Colonne375" totalsRowFunction="sum" dataDxfId="78" totalsRowDxfId="77"/>
    <tableColumn id="378" xr3:uid="{A705ACFD-BA6D-47E7-84A6-91D3AC6E7FFB}" name="Colonne376" totalsRowFunction="sum" dataDxfId="76" totalsRowDxfId="75"/>
    <tableColumn id="379" xr3:uid="{2CB5EC87-6A2E-404E-8A6F-2CC023DA2603}" name="Colonne377" totalsRowFunction="sum" dataDxfId="74" totalsRowDxfId="73"/>
    <tableColumn id="380" xr3:uid="{1EA03FA9-1E98-411F-A44B-44821A49733C}" name="Colonne378" totalsRowFunction="sum" dataDxfId="72" totalsRowDxfId="71"/>
    <tableColumn id="381" xr3:uid="{8D60340C-DFE1-4D22-A388-DD6448AB8D24}" name="Colonne379" totalsRowFunction="sum" dataDxfId="70" totalsRowDxfId="69"/>
    <tableColumn id="382" xr3:uid="{F55897A5-0FF0-43FA-9034-DD5824BA6BD1}" name="Colonne380" totalsRowFunction="sum" dataDxfId="68" totalsRowDxfId="67"/>
    <tableColumn id="383" xr3:uid="{EEB03824-7D98-46CF-B6DC-1473AA19D82E}" name="Colonne381" totalsRowFunction="sum" dataDxfId="66" totalsRowDxfId="65"/>
    <tableColumn id="384" xr3:uid="{BAC0CFEB-61DF-4EF7-BAA8-420309FD8A30}" name="Colonne382" totalsRowFunction="sum" dataDxfId="64" totalsRowDxfId="63"/>
    <tableColumn id="385" xr3:uid="{91469F9F-6694-4617-A263-B6E3556DB336}" name="Colonne383" totalsRowFunction="sum" dataDxfId="62" totalsRowDxfId="61"/>
    <tableColumn id="386" xr3:uid="{64E83572-C6E7-4295-8A13-837CE594309E}" name="Colonne384" totalsRowFunction="sum" dataDxfId="60" totalsRowDxfId="59"/>
    <tableColumn id="387" xr3:uid="{E928509D-7722-4F4B-A886-B21A0E33DC26}" name="Colonne385" totalsRowFunction="sum" dataDxfId="58" totalsRowDxfId="57"/>
    <tableColumn id="388" xr3:uid="{541CFC42-4A8F-4D44-8F0D-F7FD873CE64B}" name="Colonne386" totalsRowFunction="sum" dataDxfId="56" totalsRowDxfId="55"/>
    <tableColumn id="389" xr3:uid="{5115A939-C8BA-46DE-95A2-C7A81A329C2B}" name="Colonne387" totalsRowFunction="sum" dataDxfId="54" totalsRowDxfId="53"/>
    <tableColumn id="390" xr3:uid="{013ED36D-748B-42F8-B2AB-51C4BBA19202}" name="Colonne388" totalsRowFunction="sum" dataDxfId="52" totalsRowDxfId="51"/>
    <tableColumn id="391" xr3:uid="{655BCC9D-F4AC-4B0D-8237-50CADD396DC9}" name="Colonne389" totalsRowFunction="sum" dataDxfId="50" totalsRowDxfId="49"/>
    <tableColumn id="392" xr3:uid="{598D4EFC-2927-4A4F-BAA1-56DDBC6907DC}" name="Colonne390" totalsRowFunction="sum" dataDxfId="48" totalsRowDxfId="47"/>
    <tableColumn id="393" xr3:uid="{6C227064-7A61-47FE-9E71-CEA912A9EE53}" name="Colonne391" totalsRowFunction="sum" dataDxfId="46" totalsRowDxfId="45"/>
    <tableColumn id="394" xr3:uid="{69B74DDB-9B2E-4E07-AAFC-D9C992405F59}" name="Colonne392" totalsRowFunction="sum" dataDxfId="44" totalsRowDxfId="43"/>
    <tableColumn id="395" xr3:uid="{152AA20E-47FE-45E1-A3FF-B3A618F289B6}" name="Colonne393" totalsRowFunction="sum" dataDxfId="42" totalsRowDxfId="41"/>
    <tableColumn id="396" xr3:uid="{9C835CBB-7334-4178-9023-B293F361B475}" name="Colonne394" totalsRowFunction="sum" dataDxfId="40" totalsRowDxfId="39"/>
    <tableColumn id="397" xr3:uid="{2604AE08-97A5-4D5D-AD19-FB45EB1FACB3}" name="Colonne395" totalsRowFunction="sum" dataDxfId="38" totalsRowDxfId="37"/>
    <tableColumn id="398" xr3:uid="{E4E428C2-2866-4EA4-9B05-CE1427D70B21}" name="Colonne396" totalsRowFunction="sum" dataDxfId="36" totalsRowDxfId="35"/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3" Type="http://schemas.microsoft.com/office/2011/relationships/webextension" Target="webextension3.xml"/><Relationship Id="rId2" Type="http://schemas.microsoft.com/office/2011/relationships/webextension" Target="webextension2.xml"/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2">
    <wetp:webextensionref xmlns:r="http://schemas.openxmlformats.org/officeDocument/2006/relationships" r:id="rId1"/>
  </wetp:taskpane>
  <wetp:taskpane dockstate="right" visibility="0" width="350" row="2">
    <wetp:webextensionref xmlns:r="http://schemas.openxmlformats.org/officeDocument/2006/relationships" r:id="rId2"/>
  </wetp:taskpane>
  <wetp:taskpane dockstate="right" visibility="0" width="0" row="0">
    <wetp:webextensionref xmlns:r="http://schemas.openxmlformats.org/officeDocument/2006/relationships" r:id="rId3"/>
  </wetp:taskpane>
</wetp:taskpanes>
</file>

<file path=xl/webextensions/webextension1.xml><?xml version="1.0" encoding="utf-8"?>
<we:webextension xmlns:we="http://schemas.microsoft.com/office/webextensions/webextension/2010/11" id="{8A28A4A6-A104-4175-AC63-4E8CA4299792}">
  <we:reference id="df76232d-21a6-4463-9d19-0518ac5aab5d" version="1.1.0.0" store="excatalog" storeType="excatalog"/>
  <we:alternateReferences>
    <we:reference id="WA200000556" version="1.1.0.0" store="fr-FR" storeType="omex"/>
  </we:alternateReferences>
  <we:properties>
    <we:property name="Office.AutoShowTaskpaneWithDocument" value="true"/>
    <we:property name="documentId" value="&quot;97ab61ce-d36c-4280-91d8-ac3e5a817137&quot;"/>
  </we:properties>
  <we:bindings/>
  <we:snapshot xmlns:r="http://schemas.openxmlformats.org/officeDocument/2006/relationships"/>
  <we:extLst>
    <a:ext xmlns:a="http://schemas.openxmlformats.org/drawingml/2006/main" uri="{D87F86FE-615C-45B5-9D79-34F1136793EB}">
      <we:containsCustomFunctions/>
    </a:ext>
    <a:ext xmlns:a="http://schemas.openxmlformats.org/drawingml/2006/main" uri="{7C84B067-C214-45C3-A712-C9D94CD141B2}">
      <we:customFunctionIdList>
        <we:customFunctionIds>_xldudf_JIRA_JQL</we:customFunctionIds>
      </we:customFunctionIdList>
    </a:ext>
  </we:extLst>
</we:webextension>
</file>

<file path=xl/webextensions/webextension2.xml><?xml version="1.0" encoding="utf-8"?>
<we:webextension xmlns:we="http://schemas.microsoft.com/office/webextensions/webextension/2010/11" id="{CA722BC3-9A81-4523-B972-68C728C7CAC2}">
  <we:reference id="wa200003696" version="1.3.0.0" store="en-US" storeType="OMEX"/>
  <we:alternateReferences>
    <we:reference id="WA200003696" version="1.3.0.0" store="" storeType="OMEX"/>
  </we:alternateReferences>
  <we:properties/>
  <we:bindings/>
  <we:snapshot xmlns:r="http://schemas.openxmlformats.org/officeDocument/2006/relationships"/>
  <we:extLst>
    <a:ext xmlns:a="http://schemas.openxmlformats.org/drawingml/2006/main" uri="{D87F86FE-615C-45B5-9D79-34F1136793EB}">
      <we:containsCustomFunctions/>
    </a:ext>
    <a:ext xmlns:a="http://schemas.openxmlformats.org/drawingml/2006/main" uri="{7C84B067-C214-45C3-A712-C9D94CD141B2}">
      <we:customFunctionIdList>
        <we:customFunctionIds>_xldudf_LABS_GENERATIVEAI</we:customFunctionIds>
      </we:customFunctionIdList>
    </a:ext>
  </we:extLst>
</we:webextension>
</file>

<file path=xl/webextensions/webextension3.xml><?xml version="1.0" encoding="utf-8"?>
<we:webextension xmlns:we="http://schemas.microsoft.com/office/webextensions/webextension/2010/11" id="{1306D84F-D942-42A6-AAD7-E63D5F7DC703}">
  <we:reference id="wa200005271" version="2.5.5.0" store="fr-FR" storeType="OMEX"/>
  <we:alternateReferences>
    <we:reference id="WA200005271" version="2.5.5.0" store="" storeType="OMEX"/>
  </we:alternateReferences>
  <we:properties/>
  <we:bindings/>
  <we:snapshot xmlns:r="http://schemas.openxmlformats.org/officeDocument/2006/relationships"/>
  <we:extLst>
    <a:ext xmlns:a="http://schemas.openxmlformats.org/drawingml/2006/main" uri="{D87F86FE-615C-45B5-9D79-34F1136793EB}">
      <we:containsCustomFunctions/>
    </a:ext>
    <a:ext xmlns:a="http://schemas.openxmlformats.org/drawingml/2006/main" uri="{7C84B067-C214-45C3-A712-C9D94CD141B2}">
      <we:customFunctionIdList>
        <we:customFunctionIds>_xldudf_AI_TABLE</we:customFunctionIds>
        <we:customFunctionIds>_xldudf_AI_FILL</we:customFunctionIds>
        <we:customFunctionIds>_xldudf_AI_LIST</we:customFunctionIds>
        <we:customFunctionIds>_xldudf_AI_ASK</we:customFunctionIds>
        <we:customFunctionIds>_xldudf_AI_FORMAT</we:customFunctionIds>
        <we:customFunctionIds>_xldudf_AI_EXTRACT</we:customFunctionIds>
        <we:customFunctionIds>_xldudf_AI_TRANSLATE</we:customFunctionIds>
        <we:customFunctionIds>_xldudf_AI_CHOICE</we:customFunctionIds>
      </we:customFunctionIdList>
    </a:ext>
  </we:extLst>
</we:webextension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table" Target="../tables/table6.xml"/><Relationship Id="rId3" Type="http://schemas.openxmlformats.org/officeDocument/2006/relationships/drawing" Target="../drawings/drawing2.xml"/><Relationship Id="rId7" Type="http://schemas.openxmlformats.org/officeDocument/2006/relationships/table" Target="../tables/table5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service-public.fr/particuliers/vosdroits/F31952" TargetMode="External"/><Relationship Id="rId6" Type="http://schemas.openxmlformats.org/officeDocument/2006/relationships/table" Target="../tables/table4.xml"/><Relationship Id="rId5" Type="http://schemas.openxmlformats.org/officeDocument/2006/relationships/table" Target="../tables/table3.xml"/><Relationship Id="rId4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/>
  <dimension ref="A1:QM68"/>
  <sheetViews>
    <sheetView zoomScaleNormal="100" workbookViewId="0">
      <pane xSplit="2" ySplit="16" topLeftCell="C17" activePane="bottomRight" state="frozen"/>
      <selection pane="topRight"/>
      <selection pane="bottomLeft"/>
      <selection pane="bottomRight" activeCell="C7" sqref="C7"/>
    </sheetView>
  </sheetViews>
  <sheetFormatPr baseColWidth="10" defaultColWidth="13" defaultRowHeight="18.75" x14ac:dyDescent="0.3"/>
  <cols>
    <col min="1" max="1" width="38.42578125" style="1" bestFit="1" customWidth="1"/>
    <col min="2" max="2" width="23" style="2" bestFit="1" customWidth="1"/>
    <col min="3" max="38" width="13" style="15"/>
    <col min="39" max="46" width="13" style="14"/>
    <col min="47" max="47" width="15.85546875" style="14" bestFit="1" customWidth="1"/>
    <col min="48" max="48" width="13" style="14"/>
    <col min="49" max="49" width="15.85546875" style="14" bestFit="1" customWidth="1"/>
    <col min="50" max="121" width="13" style="14"/>
    <col min="122" max="379" width="13" style="15"/>
    <col min="380" max="393" width="13" style="14"/>
    <col min="394" max="398" width="13" style="15"/>
    <col min="399" max="16384" width="13" style="1"/>
  </cols>
  <sheetData>
    <row r="1" spans="1:455" s="110" customFormat="1" ht="11.25" customHeight="1" x14ac:dyDescent="0.2">
      <c r="B1" s="111"/>
      <c r="C1" s="112" t="s">
        <v>0</v>
      </c>
      <c r="D1" s="112" t="s">
        <v>1</v>
      </c>
      <c r="E1" s="112" t="s">
        <v>2</v>
      </c>
      <c r="F1" s="113"/>
      <c r="G1" s="113"/>
      <c r="H1" s="113"/>
      <c r="I1" s="113"/>
      <c r="J1" s="113"/>
      <c r="K1" s="113"/>
      <c r="L1" s="113"/>
      <c r="M1" s="113"/>
      <c r="N1" s="113"/>
      <c r="O1" s="113"/>
      <c r="P1" s="113"/>
      <c r="Q1" s="113"/>
      <c r="R1" s="113"/>
      <c r="S1" s="113"/>
      <c r="T1" s="113"/>
      <c r="U1" s="113"/>
      <c r="V1" s="113"/>
      <c r="W1" s="113"/>
      <c r="X1" s="113"/>
      <c r="Y1" s="113"/>
      <c r="Z1" s="113"/>
      <c r="AA1" s="113"/>
      <c r="AB1" s="113"/>
      <c r="AC1" s="113"/>
      <c r="AD1" s="113"/>
      <c r="AE1" s="113"/>
      <c r="AF1" s="113"/>
      <c r="AG1" s="113"/>
      <c r="AH1" s="113"/>
      <c r="AI1" s="113"/>
      <c r="AJ1" s="113"/>
      <c r="AK1" s="113"/>
      <c r="AL1" s="113"/>
      <c r="AM1" s="113"/>
      <c r="AN1" s="113"/>
      <c r="AO1" s="113"/>
      <c r="AP1" s="113"/>
      <c r="AQ1" s="113"/>
      <c r="AR1" s="113"/>
      <c r="AS1" s="113"/>
      <c r="AT1" s="113"/>
      <c r="AU1" s="113"/>
      <c r="AV1" s="113"/>
      <c r="AW1" s="113"/>
      <c r="AX1" s="113"/>
      <c r="AY1" s="113"/>
      <c r="AZ1" s="113"/>
      <c r="BA1" s="113"/>
      <c r="BB1" s="113"/>
      <c r="BC1" s="113"/>
      <c r="BD1" s="113"/>
      <c r="BE1" s="113"/>
      <c r="BF1" s="113"/>
      <c r="BG1" s="113"/>
      <c r="BH1" s="113"/>
      <c r="BI1" s="113"/>
      <c r="BJ1" s="113"/>
      <c r="BK1" s="113"/>
      <c r="BL1" s="113"/>
      <c r="BM1" s="113"/>
      <c r="BN1" s="113"/>
      <c r="BO1" s="113"/>
      <c r="BP1" s="113"/>
      <c r="BQ1" s="113"/>
      <c r="BR1" s="113"/>
      <c r="BS1" s="113"/>
      <c r="BT1" s="113"/>
      <c r="BU1" s="113"/>
      <c r="BV1" s="113"/>
      <c r="BW1" s="113"/>
      <c r="BX1" s="113"/>
      <c r="BY1" s="113"/>
      <c r="BZ1" s="113"/>
      <c r="CA1" s="113"/>
      <c r="CB1" s="113"/>
      <c r="CC1" s="113"/>
      <c r="CD1" s="113"/>
      <c r="CE1" s="113"/>
      <c r="CF1" s="113"/>
      <c r="CG1" s="113"/>
      <c r="CH1" s="113"/>
      <c r="CI1" s="113"/>
      <c r="CJ1" s="113"/>
      <c r="CK1" s="113"/>
      <c r="CL1" s="113"/>
      <c r="CM1" s="113"/>
      <c r="CN1" s="113"/>
      <c r="CO1" s="113"/>
      <c r="CP1" s="113"/>
      <c r="CQ1" s="113"/>
      <c r="CR1" s="113"/>
      <c r="CS1" s="113"/>
      <c r="CT1" s="113"/>
      <c r="CU1" s="113"/>
      <c r="CV1" s="113"/>
      <c r="CW1" s="113"/>
      <c r="CX1" s="113"/>
      <c r="CY1" s="113"/>
      <c r="CZ1" s="113"/>
      <c r="DA1" s="113"/>
      <c r="DB1" s="113"/>
      <c r="DC1" s="113"/>
      <c r="DD1" s="113"/>
      <c r="DE1" s="113"/>
      <c r="DF1" s="113"/>
      <c r="DG1" s="113"/>
      <c r="DH1" s="113"/>
      <c r="DI1" s="113"/>
      <c r="DJ1" s="113"/>
      <c r="DK1" s="113"/>
      <c r="DL1" s="113"/>
      <c r="DM1" s="113"/>
      <c r="DN1" s="113"/>
      <c r="DO1" s="113"/>
      <c r="DP1" s="113"/>
      <c r="DQ1" s="113"/>
      <c r="DR1" s="113"/>
      <c r="DS1" s="113"/>
      <c r="DT1" s="113"/>
      <c r="DU1" s="113"/>
      <c r="DV1" s="113"/>
      <c r="DW1" s="113"/>
      <c r="DX1" s="113"/>
      <c r="DY1" s="113"/>
      <c r="DZ1" s="113"/>
      <c r="EA1" s="113"/>
      <c r="EB1" s="113"/>
      <c r="EC1" s="113"/>
      <c r="ED1" s="113"/>
      <c r="EE1" s="113"/>
      <c r="EF1" s="113"/>
      <c r="EG1" s="113"/>
      <c r="EH1" s="113"/>
      <c r="EI1" s="113"/>
      <c r="EJ1" s="113"/>
      <c r="EK1" s="113"/>
      <c r="EL1" s="113"/>
      <c r="EM1" s="113"/>
      <c r="EN1" s="113"/>
      <c r="EO1" s="113"/>
      <c r="EP1" s="113"/>
      <c r="EQ1" s="113"/>
      <c r="ER1" s="113"/>
      <c r="ES1" s="113"/>
      <c r="ET1" s="113"/>
      <c r="EU1" s="113"/>
      <c r="EV1" s="113"/>
      <c r="EW1" s="113"/>
      <c r="EX1" s="113"/>
      <c r="EY1" s="113"/>
      <c r="EZ1" s="113"/>
      <c r="FA1" s="113"/>
      <c r="FB1" s="113"/>
      <c r="FC1" s="113"/>
      <c r="FD1" s="113"/>
      <c r="FE1" s="113"/>
      <c r="FF1" s="113"/>
      <c r="FG1" s="113"/>
      <c r="FH1" s="113"/>
      <c r="FI1" s="113"/>
      <c r="FJ1" s="113"/>
      <c r="FK1" s="113"/>
      <c r="FL1" s="113"/>
      <c r="FM1" s="113"/>
      <c r="FN1" s="113"/>
      <c r="FO1" s="113"/>
      <c r="FP1" s="113"/>
      <c r="FQ1" s="113"/>
      <c r="FR1" s="113"/>
      <c r="FS1" s="113"/>
      <c r="FT1" s="113"/>
      <c r="FU1" s="113"/>
      <c r="FV1" s="113"/>
      <c r="FW1" s="113"/>
      <c r="FX1" s="113"/>
      <c r="FY1" s="113"/>
      <c r="FZ1" s="113"/>
      <c r="GA1" s="113"/>
      <c r="GB1" s="113"/>
      <c r="GC1" s="113"/>
      <c r="GD1" s="113"/>
      <c r="GE1" s="113"/>
      <c r="GF1" s="113"/>
      <c r="GG1" s="113"/>
      <c r="GH1" s="113"/>
      <c r="GI1" s="113"/>
      <c r="GJ1" s="113"/>
      <c r="GK1" s="113"/>
      <c r="GL1" s="113"/>
      <c r="GM1" s="113"/>
      <c r="GN1" s="113"/>
      <c r="GO1" s="113"/>
      <c r="GP1" s="113"/>
      <c r="GQ1" s="113"/>
      <c r="GR1" s="113"/>
      <c r="GS1" s="113"/>
      <c r="GT1" s="113"/>
      <c r="GU1" s="113"/>
      <c r="GV1" s="113"/>
      <c r="GW1" s="113"/>
      <c r="GX1" s="113"/>
      <c r="GY1" s="113"/>
      <c r="GZ1" s="113"/>
      <c r="HA1" s="113"/>
      <c r="HB1" s="113"/>
      <c r="HC1" s="113"/>
      <c r="HD1" s="113"/>
      <c r="HE1" s="113"/>
      <c r="HF1" s="113"/>
      <c r="HG1" s="113"/>
      <c r="HH1" s="113"/>
      <c r="HI1" s="113"/>
      <c r="HJ1" s="113"/>
      <c r="HK1" s="113"/>
      <c r="HL1" s="113"/>
      <c r="HM1" s="113"/>
      <c r="HN1" s="113"/>
      <c r="HO1" s="113"/>
      <c r="HP1" s="113"/>
      <c r="HQ1" s="113"/>
      <c r="HR1" s="113"/>
      <c r="HS1" s="113"/>
      <c r="HT1" s="113"/>
      <c r="HU1" s="113"/>
      <c r="HV1" s="113"/>
      <c r="HW1" s="113"/>
      <c r="HX1" s="113"/>
      <c r="HY1" s="113"/>
      <c r="HZ1" s="113"/>
      <c r="IA1" s="113"/>
      <c r="IB1" s="113"/>
      <c r="IC1" s="113"/>
      <c r="ID1" s="113"/>
      <c r="IE1" s="113"/>
      <c r="IF1" s="113"/>
      <c r="IG1" s="113"/>
      <c r="IH1" s="113"/>
      <c r="II1" s="113"/>
      <c r="IJ1" s="113"/>
      <c r="IK1" s="113"/>
      <c r="IL1" s="113"/>
      <c r="IM1" s="113"/>
      <c r="IN1" s="113"/>
      <c r="IO1" s="113"/>
      <c r="IP1" s="113"/>
      <c r="IQ1" s="113"/>
      <c r="IR1" s="113"/>
      <c r="IS1" s="113"/>
      <c r="IT1" s="113"/>
      <c r="IU1" s="113"/>
      <c r="IV1" s="113"/>
      <c r="IW1" s="113"/>
      <c r="IX1" s="113"/>
      <c r="IY1" s="113"/>
      <c r="IZ1" s="113"/>
      <c r="JA1" s="113"/>
      <c r="JB1" s="113"/>
      <c r="JC1" s="113"/>
      <c r="JD1" s="113"/>
      <c r="JE1" s="113"/>
      <c r="JF1" s="113"/>
      <c r="JG1" s="113"/>
      <c r="JH1" s="113"/>
      <c r="JI1" s="113"/>
      <c r="JJ1" s="113"/>
      <c r="JK1" s="113"/>
      <c r="JL1" s="113"/>
      <c r="JM1" s="113"/>
      <c r="JN1" s="113"/>
      <c r="JO1" s="113"/>
      <c r="JP1" s="113"/>
      <c r="JQ1" s="113"/>
      <c r="JR1" s="113"/>
      <c r="JS1" s="113"/>
      <c r="JT1" s="113"/>
      <c r="JU1" s="113"/>
      <c r="JV1" s="113"/>
      <c r="JW1" s="113"/>
      <c r="JX1" s="113"/>
      <c r="JY1" s="113"/>
      <c r="JZ1" s="113"/>
      <c r="KA1" s="113"/>
      <c r="KB1" s="113"/>
      <c r="KC1" s="113"/>
      <c r="KD1" s="113"/>
      <c r="KE1" s="113"/>
      <c r="KF1" s="113"/>
      <c r="KG1" s="113"/>
      <c r="KH1" s="113"/>
      <c r="KI1" s="113"/>
      <c r="KJ1" s="113"/>
      <c r="KK1" s="113"/>
      <c r="KL1" s="113"/>
      <c r="KM1" s="113"/>
      <c r="KN1" s="113"/>
      <c r="KO1" s="113"/>
      <c r="KP1" s="113"/>
      <c r="KQ1" s="113"/>
      <c r="KR1" s="113"/>
      <c r="KS1" s="113"/>
      <c r="KT1" s="113"/>
      <c r="KU1" s="113"/>
      <c r="KV1" s="113"/>
      <c r="KW1" s="113"/>
      <c r="KX1" s="113"/>
      <c r="KY1" s="113"/>
      <c r="KZ1" s="113"/>
      <c r="LA1" s="113"/>
      <c r="LB1" s="113"/>
      <c r="LC1" s="113"/>
      <c r="LD1" s="113"/>
      <c r="LE1" s="113"/>
      <c r="LF1" s="113"/>
      <c r="LG1" s="113"/>
      <c r="LH1" s="113"/>
      <c r="LI1" s="113"/>
      <c r="LJ1" s="113"/>
      <c r="LK1" s="113"/>
      <c r="LL1" s="113"/>
      <c r="LM1" s="113"/>
      <c r="LN1" s="113"/>
      <c r="LO1" s="113"/>
      <c r="LP1" s="113"/>
      <c r="LQ1" s="113"/>
      <c r="LR1" s="113"/>
      <c r="LS1" s="113"/>
      <c r="LT1" s="113"/>
      <c r="LU1" s="113"/>
      <c r="LV1" s="113"/>
      <c r="LW1" s="113"/>
      <c r="LX1" s="113"/>
      <c r="LY1" s="113"/>
      <c r="LZ1" s="113"/>
      <c r="MA1" s="113"/>
      <c r="MB1" s="113"/>
      <c r="MC1" s="113"/>
      <c r="MD1" s="113"/>
      <c r="ME1" s="113"/>
      <c r="MF1" s="113"/>
      <c r="MG1" s="113"/>
      <c r="MH1" s="113"/>
      <c r="MI1" s="113"/>
      <c r="MJ1" s="113"/>
      <c r="MK1" s="113"/>
      <c r="ML1" s="113"/>
      <c r="MM1" s="113"/>
      <c r="MN1" s="113"/>
      <c r="MO1" s="113"/>
      <c r="MP1" s="113"/>
      <c r="MQ1" s="113"/>
      <c r="MR1" s="113"/>
      <c r="MS1" s="113"/>
      <c r="MT1" s="113"/>
      <c r="MU1" s="113"/>
      <c r="MV1" s="113"/>
      <c r="MW1" s="113"/>
      <c r="MX1" s="113"/>
      <c r="MY1" s="113"/>
      <c r="MZ1" s="113"/>
      <c r="NA1" s="113"/>
      <c r="NB1" s="113"/>
      <c r="NC1" s="113"/>
      <c r="ND1" s="113"/>
      <c r="NE1" s="113"/>
      <c r="NF1" s="113"/>
      <c r="NG1" s="113"/>
      <c r="NH1" s="113"/>
      <c r="NI1" s="113"/>
      <c r="NJ1" s="113"/>
      <c r="NK1" s="113"/>
      <c r="NL1" s="113"/>
      <c r="NM1" s="113"/>
      <c r="NN1" s="113"/>
      <c r="NO1" s="113"/>
      <c r="NP1" s="113"/>
      <c r="NQ1" s="113"/>
      <c r="NR1" s="113"/>
      <c r="NS1" s="113"/>
      <c r="NT1" s="113"/>
      <c r="NU1" s="113"/>
      <c r="NV1" s="113"/>
      <c r="NW1" s="113"/>
      <c r="NX1" s="113"/>
      <c r="NY1" s="113"/>
      <c r="NZ1" s="113"/>
      <c r="OA1" s="113"/>
      <c r="OB1" s="113"/>
      <c r="OC1" s="113"/>
      <c r="OD1" s="113"/>
      <c r="OE1" s="113"/>
      <c r="OF1" s="113"/>
      <c r="OG1" s="113"/>
      <c r="OH1" s="113"/>
    </row>
    <row r="2" spans="1:455" s="114" customFormat="1" ht="11.25" customHeight="1" x14ac:dyDescent="0.2">
      <c r="B2" s="115" t="s">
        <v>3</v>
      </c>
      <c r="C2" s="116">
        <f>C3+C4+C5+C6</f>
        <v>8632</v>
      </c>
      <c r="D2" s="116">
        <f>D3+D4+D5+D6</f>
        <v>8350</v>
      </c>
      <c r="E2" s="116">
        <f>E3+E4+E5+E6</f>
        <v>282</v>
      </c>
      <c r="F2" s="113"/>
      <c r="G2" s="113"/>
      <c r="H2" s="113"/>
      <c r="I2" s="113"/>
      <c r="J2" s="113"/>
      <c r="K2" s="113"/>
      <c r="L2" s="113"/>
      <c r="M2" s="113"/>
      <c r="N2" s="113"/>
      <c r="O2" s="113"/>
      <c r="P2" s="113"/>
      <c r="Q2" s="113"/>
      <c r="R2" s="113"/>
      <c r="S2" s="113"/>
      <c r="T2" s="113"/>
      <c r="U2" s="113"/>
      <c r="V2" s="113"/>
      <c r="W2" s="113"/>
      <c r="X2" s="113"/>
      <c r="Y2" s="113"/>
      <c r="Z2" s="113"/>
      <c r="AA2" s="113"/>
      <c r="AB2" s="113"/>
      <c r="AC2" s="113"/>
      <c r="AD2" s="113"/>
      <c r="AE2" s="113"/>
      <c r="AF2" s="113"/>
      <c r="AG2" s="113"/>
      <c r="AH2" s="113"/>
      <c r="AI2" s="113"/>
      <c r="AJ2" s="113"/>
      <c r="AK2" s="113"/>
      <c r="AL2" s="113"/>
      <c r="AM2" s="113"/>
      <c r="AN2" s="113"/>
      <c r="AO2" s="113"/>
      <c r="AP2" s="113"/>
      <c r="AQ2" s="113"/>
      <c r="AR2" s="113"/>
      <c r="AS2" s="113"/>
      <c r="AT2" s="113"/>
      <c r="AU2" s="113"/>
      <c r="AV2" s="113"/>
      <c r="AW2" s="113"/>
      <c r="AX2" s="113"/>
      <c r="AY2" s="113"/>
      <c r="AZ2" s="113"/>
      <c r="BA2" s="113"/>
      <c r="BB2" s="113"/>
      <c r="BC2" s="113"/>
      <c r="BD2" s="113"/>
      <c r="BE2" s="113"/>
      <c r="BF2" s="113"/>
      <c r="BG2" s="113"/>
      <c r="BH2" s="113"/>
      <c r="BI2" s="113"/>
      <c r="BJ2" s="113"/>
      <c r="BK2" s="113"/>
      <c r="BL2" s="113"/>
      <c r="BM2" s="113"/>
      <c r="BN2" s="113"/>
      <c r="BO2" s="113"/>
      <c r="BP2" s="113"/>
      <c r="BQ2" s="113"/>
      <c r="BR2" s="113"/>
      <c r="BS2" s="113"/>
      <c r="BT2" s="113"/>
      <c r="BU2" s="113"/>
      <c r="BV2" s="113"/>
      <c r="BW2" s="113"/>
      <c r="BX2" s="113"/>
      <c r="BY2" s="113"/>
      <c r="BZ2" s="113"/>
      <c r="CA2" s="113"/>
      <c r="CB2" s="113"/>
      <c r="CC2" s="113"/>
      <c r="CD2" s="113"/>
      <c r="CE2" s="113"/>
      <c r="CF2" s="113"/>
      <c r="CG2" s="113"/>
      <c r="CH2" s="113"/>
      <c r="CI2" s="113"/>
      <c r="CJ2" s="113"/>
      <c r="CK2" s="113"/>
      <c r="CL2" s="113"/>
      <c r="CM2" s="113"/>
      <c r="CN2" s="113"/>
      <c r="CO2" s="113"/>
      <c r="CP2" s="113"/>
      <c r="CQ2" s="113"/>
      <c r="CR2" s="113"/>
      <c r="CS2" s="113"/>
      <c r="CT2" s="113"/>
      <c r="CU2" s="113"/>
      <c r="CV2" s="113"/>
      <c r="CW2" s="113"/>
      <c r="CX2" s="113"/>
      <c r="CY2" s="113"/>
      <c r="CZ2" s="113"/>
      <c r="DA2" s="113"/>
      <c r="DB2" s="113"/>
      <c r="DC2" s="113"/>
      <c r="DD2" s="113"/>
      <c r="DE2" s="113"/>
      <c r="DF2" s="113"/>
      <c r="DG2" s="113"/>
      <c r="DH2" s="113"/>
      <c r="DI2" s="113"/>
      <c r="DJ2" s="113"/>
      <c r="DK2" s="113"/>
      <c r="DL2" s="113"/>
      <c r="DM2" s="113"/>
      <c r="DN2" s="113"/>
      <c r="DO2" s="113"/>
      <c r="DP2" s="113"/>
      <c r="DQ2" s="113"/>
      <c r="DR2" s="113"/>
      <c r="DS2" s="113"/>
      <c r="DT2" s="113"/>
      <c r="DU2" s="113"/>
      <c r="DV2" s="113"/>
      <c r="DW2" s="113"/>
      <c r="DX2" s="113"/>
      <c r="DY2" s="113"/>
      <c r="DZ2" s="113"/>
      <c r="EA2" s="113"/>
      <c r="EB2" s="113"/>
      <c r="EC2" s="113"/>
      <c r="ED2" s="113"/>
      <c r="EE2" s="113"/>
      <c r="EF2" s="113"/>
      <c r="EG2" s="113"/>
      <c r="EH2" s="113"/>
      <c r="EI2" s="113"/>
      <c r="EJ2" s="113"/>
      <c r="EK2" s="113"/>
      <c r="EL2" s="113"/>
      <c r="EM2" s="113"/>
      <c r="EN2" s="113"/>
      <c r="EO2" s="113"/>
      <c r="EP2" s="113"/>
      <c r="EQ2" s="113"/>
      <c r="ER2" s="113"/>
      <c r="ES2" s="113"/>
      <c r="ET2" s="113"/>
      <c r="EU2" s="113"/>
      <c r="EV2" s="113"/>
      <c r="EW2" s="113"/>
      <c r="EX2" s="113"/>
      <c r="EY2" s="113"/>
      <c r="EZ2" s="113"/>
      <c r="FA2" s="113"/>
      <c r="FB2" s="113"/>
      <c r="FC2" s="113"/>
      <c r="FD2" s="113"/>
      <c r="FE2" s="113"/>
      <c r="FF2" s="113"/>
      <c r="FG2" s="113"/>
      <c r="FH2" s="113"/>
      <c r="FI2" s="113"/>
      <c r="FJ2" s="113"/>
      <c r="FK2" s="113"/>
      <c r="FL2" s="113"/>
      <c r="FM2" s="113"/>
      <c r="FN2" s="113"/>
      <c r="FO2" s="113"/>
      <c r="FP2" s="113"/>
      <c r="FQ2" s="113"/>
      <c r="FR2" s="113"/>
      <c r="FS2" s="113"/>
      <c r="FT2" s="113"/>
      <c r="FU2" s="113"/>
      <c r="FV2" s="113"/>
      <c r="FW2" s="113"/>
      <c r="FX2" s="113"/>
      <c r="FY2" s="113"/>
      <c r="FZ2" s="113"/>
      <c r="GA2" s="113"/>
      <c r="GB2" s="113"/>
      <c r="GC2" s="113"/>
      <c r="GD2" s="113"/>
      <c r="GE2" s="113"/>
      <c r="GF2" s="113"/>
      <c r="GG2" s="113"/>
      <c r="GH2" s="113"/>
      <c r="GI2" s="113"/>
      <c r="GJ2" s="113"/>
      <c r="GK2" s="113"/>
      <c r="GL2" s="113"/>
      <c r="GM2" s="113"/>
      <c r="GN2" s="113"/>
      <c r="GO2" s="113"/>
      <c r="GP2" s="113"/>
      <c r="GQ2" s="113"/>
      <c r="GR2" s="113"/>
      <c r="GS2" s="113"/>
      <c r="GT2" s="113"/>
      <c r="GU2" s="113"/>
      <c r="GV2" s="113"/>
      <c r="GW2" s="113"/>
      <c r="GX2" s="113"/>
      <c r="GY2" s="113"/>
      <c r="GZ2" s="113"/>
      <c r="HA2" s="113"/>
      <c r="HB2" s="113"/>
      <c r="HC2" s="113"/>
      <c r="HD2" s="113"/>
      <c r="HE2" s="113"/>
      <c r="HF2" s="113"/>
      <c r="HG2" s="113"/>
      <c r="HH2" s="113"/>
      <c r="HI2" s="113"/>
      <c r="HJ2" s="113"/>
      <c r="HK2" s="113"/>
      <c r="HL2" s="113"/>
      <c r="HM2" s="113"/>
      <c r="HN2" s="113"/>
      <c r="HO2" s="113"/>
      <c r="HP2" s="113"/>
      <c r="HQ2" s="113"/>
      <c r="HR2" s="113"/>
      <c r="HS2" s="113"/>
      <c r="HT2" s="113"/>
      <c r="HU2" s="113"/>
      <c r="HV2" s="113"/>
      <c r="HW2" s="113"/>
      <c r="HX2" s="113"/>
      <c r="HY2" s="113"/>
      <c r="HZ2" s="113"/>
      <c r="IA2" s="113"/>
      <c r="IB2" s="113"/>
      <c r="IC2" s="113"/>
      <c r="ID2" s="113"/>
      <c r="IE2" s="113"/>
      <c r="IF2" s="113"/>
      <c r="IG2" s="113"/>
      <c r="IH2" s="113"/>
      <c r="II2" s="113"/>
      <c r="IJ2" s="113"/>
      <c r="IK2" s="113"/>
      <c r="IL2" s="113"/>
      <c r="IM2" s="113"/>
      <c r="IN2" s="113"/>
      <c r="IO2" s="113"/>
      <c r="IP2" s="113"/>
      <c r="IQ2" s="113"/>
      <c r="IR2" s="113"/>
      <c r="IS2" s="113"/>
      <c r="IT2" s="113"/>
      <c r="IU2" s="113"/>
      <c r="IV2" s="113"/>
      <c r="IW2" s="113"/>
      <c r="IX2" s="113"/>
      <c r="IY2" s="113"/>
      <c r="IZ2" s="113"/>
      <c r="JA2" s="113"/>
      <c r="JB2" s="113"/>
      <c r="JC2" s="113"/>
      <c r="JD2" s="113"/>
      <c r="JE2" s="113"/>
      <c r="JF2" s="113"/>
      <c r="JG2" s="113"/>
      <c r="JH2" s="113"/>
      <c r="JI2" s="113"/>
      <c r="JJ2" s="113"/>
      <c r="JK2" s="113"/>
      <c r="JL2" s="113"/>
      <c r="JM2" s="113"/>
      <c r="JN2" s="113"/>
      <c r="JO2" s="113"/>
      <c r="JP2" s="113"/>
      <c r="JQ2" s="113"/>
      <c r="JR2" s="113"/>
      <c r="JS2" s="113"/>
      <c r="JT2" s="113"/>
      <c r="JU2" s="113"/>
      <c r="JV2" s="113"/>
      <c r="JW2" s="113"/>
      <c r="JX2" s="113"/>
      <c r="JY2" s="113"/>
      <c r="JZ2" s="113"/>
      <c r="KA2" s="113"/>
      <c r="KB2" s="113"/>
      <c r="KC2" s="113"/>
      <c r="KD2" s="113"/>
      <c r="KE2" s="113"/>
      <c r="KF2" s="113"/>
      <c r="KG2" s="113"/>
      <c r="KH2" s="113"/>
      <c r="KI2" s="113"/>
      <c r="KJ2" s="113"/>
      <c r="KK2" s="113"/>
      <c r="KL2" s="113"/>
      <c r="KM2" s="113"/>
      <c r="KN2" s="113"/>
      <c r="KO2" s="113"/>
      <c r="KP2" s="113"/>
      <c r="KQ2" s="113"/>
      <c r="KR2" s="113"/>
      <c r="KS2" s="113"/>
      <c r="KT2" s="113"/>
      <c r="KU2" s="113"/>
      <c r="KV2" s="113"/>
      <c r="KW2" s="113"/>
      <c r="KX2" s="113"/>
      <c r="KY2" s="113"/>
      <c r="KZ2" s="113"/>
      <c r="LA2" s="113"/>
      <c r="LB2" s="113"/>
      <c r="LC2" s="113"/>
      <c r="LD2" s="113"/>
      <c r="LE2" s="113"/>
      <c r="LF2" s="113"/>
      <c r="LG2" s="113"/>
      <c r="LH2" s="113"/>
      <c r="LI2" s="113"/>
      <c r="LJ2" s="113"/>
      <c r="LK2" s="113"/>
      <c r="LL2" s="113"/>
      <c r="LM2" s="113"/>
      <c r="LN2" s="113"/>
      <c r="LO2" s="113"/>
      <c r="LP2" s="113"/>
      <c r="LQ2" s="113"/>
      <c r="LR2" s="113"/>
      <c r="LS2" s="113"/>
      <c r="LT2" s="113"/>
      <c r="LU2" s="113"/>
      <c r="LV2" s="113"/>
      <c r="LW2" s="113"/>
      <c r="LX2" s="113"/>
      <c r="LY2" s="113"/>
      <c r="LZ2" s="117"/>
      <c r="MA2" s="117"/>
      <c r="MB2" s="117"/>
      <c r="MC2" s="117"/>
      <c r="MD2" s="117"/>
      <c r="ME2" s="117"/>
      <c r="MF2" s="117"/>
      <c r="MG2" s="117"/>
      <c r="MH2" s="117"/>
      <c r="MI2" s="117"/>
      <c r="MJ2" s="117"/>
      <c r="MK2" s="117"/>
      <c r="ML2" s="117"/>
      <c r="MM2" s="117"/>
      <c r="MN2" s="117"/>
      <c r="MO2" s="117"/>
      <c r="MP2" s="117"/>
      <c r="MQ2" s="117"/>
      <c r="MR2" s="117"/>
      <c r="MS2" s="117"/>
      <c r="MT2" s="117"/>
      <c r="MU2" s="117"/>
      <c r="MV2" s="117"/>
      <c r="MW2" s="117"/>
      <c r="MX2" s="117"/>
      <c r="MY2" s="117"/>
      <c r="MZ2" s="117"/>
      <c r="NA2" s="117"/>
      <c r="NB2" s="117"/>
      <c r="NC2" s="117"/>
      <c r="ND2" s="117"/>
      <c r="NE2" s="117"/>
      <c r="NF2" s="117"/>
      <c r="NG2" s="117"/>
      <c r="NH2" s="117"/>
      <c r="NI2" s="117"/>
      <c r="NJ2" s="117"/>
      <c r="NK2" s="117"/>
      <c r="NL2" s="117"/>
      <c r="NM2" s="117"/>
      <c r="NN2" s="117"/>
      <c r="NO2" s="117"/>
      <c r="NP2" s="117"/>
      <c r="NQ2" s="117"/>
      <c r="NR2" s="117"/>
      <c r="NS2" s="117"/>
      <c r="NT2" s="117"/>
      <c r="NU2" s="117"/>
      <c r="NV2" s="117"/>
      <c r="NW2" s="117"/>
      <c r="NX2" s="117"/>
      <c r="NY2" s="117"/>
      <c r="NZ2" s="117"/>
      <c r="OA2" s="117"/>
      <c r="OB2" s="117"/>
      <c r="OC2" s="117"/>
      <c r="OD2" s="117"/>
      <c r="OE2" s="117"/>
      <c r="OF2" s="117"/>
      <c r="OG2" s="117"/>
      <c r="OH2" s="117"/>
    </row>
    <row r="3" spans="1:455" s="114" customFormat="1" ht="11.25" customHeight="1" x14ac:dyDescent="0.2">
      <c r="B3" s="115" t="s">
        <v>4</v>
      </c>
      <c r="C3" s="116">
        <f>AN15+BS15+CU15</f>
        <v>2140</v>
      </c>
      <c r="D3" s="116">
        <f>BF15+CK15+DM15</f>
        <v>2010.5</v>
      </c>
      <c r="E3" s="116">
        <f>AW15+CB15+DD15</f>
        <v>129.5</v>
      </c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  <c r="U3" s="113"/>
      <c r="V3" s="113"/>
      <c r="W3" s="113"/>
      <c r="X3" s="113"/>
      <c r="Y3" s="113"/>
      <c r="Z3" s="113"/>
      <c r="AA3" s="113"/>
      <c r="AB3" s="113"/>
      <c r="AC3" s="113"/>
      <c r="AD3" s="113"/>
      <c r="AE3" s="113"/>
      <c r="AF3" s="113"/>
      <c r="AG3" s="113"/>
      <c r="AH3" s="113"/>
      <c r="AI3" s="113"/>
      <c r="AJ3" s="113"/>
      <c r="AK3" s="113"/>
      <c r="AL3" s="113"/>
      <c r="AM3" s="113"/>
      <c r="AN3" s="113"/>
      <c r="AO3" s="113"/>
      <c r="AP3" s="113"/>
      <c r="AQ3" s="113"/>
      <c r="AR3" s="113"/>
      <c r="AS3" s="113"/>
      <c r="AT3" s="113"/>
      <c r="AU3" s="113"/>
      <c r="AV3" s="113"/>
      <c r="AW3" s="113"/>
      <c r="AX3" s="113"/>
      <c r="AY3" s="113"/>
      <c r="AZ3" s="113"/>
      <c r="BA3" s="113"/>
      <c r="BB3" s="113"/>
      <c r="BC3" s="113"/>
      <c r="BD3" s="113"/>
      <c r="BE3" s="113"/>
      <c r="BF3" s="113"/>
      <c r="BG3" s="113"/>
      <c r="BH3" s="113"/>
      <c r="BI3" s="113"/>
      <c r="BJ3" s="113"/>
      <c r="BK3" s="113"/>
      <c r="BL3" s="113"/>
      <c r="BM3" s="113"/>
      <c r="BN3" s="113"/>
      <c r="BO3" s="113"/>
      <c r="BP3" s="113"/>
      <c r="BQ3" s="113"/>
      <c r="BR3" s="113"/>
      <c r="BS3" s="113"/>
      <c r="BT3" s="113"/>
      <c r="BU3" s="113"/>
      <c r="BV3" s="113"/>
      <c r="BW3" s="113"/>
      <c r="BX3" s="113"/>
      <c r="BY3" s="113"/>
      <c r="BZ3" s="113"/>
      <c r="CA3" s="113"/>
      <c r="CB3" s="113"/>
      <c r="CC3" s="113"/>
      <c r="CD3" s="113"/>
      <c r="CE3" s="113"/>
      <c r="CF3" s="113"/>
      <c r="CG3" s="113"/>
      <c r="CH3" s="113"/>
      <c r="CI3" s="113"/>
      <c r="CJ3" s="113"/>
      <c r="CK3" s="113"/>
      <c r="CL3" s="113"/>
      <c r="CM3" s="113"/>
      <c r="CN3" s="113"/>
      <c r="CO3" s="113"/>
      <c r="CP3" s="113"/>
      <c r="CQ3" s="113"/>
      <c r="CR3" s="113"/>
      <c r="CS3" s="113"/>
      <c r="CT3" s="113"/>
      <c r="CU3" s="113"/>
      <c r="CV3" s="113"/>
      <c r="CW3" s="113"/>
      <c r="CX3" s="113"/>
      <c r="CY3" s="113"/>
      <c r="CZ3" s="113"/>
      <c r="DA3" s="113"/>
      <c r="DB3" s="113"/>
      <c r="DC3" s="113"/>
      <c r="DD3" s="113"/>
      <c r="DE3" s="113"/>
      <c r="DF3" s="113"/>
      <c r="DG3" s="113"/>
      <c r="DH3" s="113"/>
      <c r="DI3" s="113"/>
      <c r="DJ3" s="113"/>
      <c r="DK3" s="113"/>
      <c r="DL3" s="113"/>
      <c r="DM3" s="113"/>
      <c r="DN3" s="113"/>
      <c r="DO3" s="113"/>
      <c r="DP3" s="113"/>
      <c r="DQ3" s="113"/>
      <c r="DR3" s="113"/>
      <c r="DS3" s="113"/>
      <c r="DT3" s="113"/>
      <c r="DU3" s="113"/>
      <c r="DV3" s="113"/>
      <c r="DW3" s="113"/>
      <c r="DX3" s="113"/>
      <c r="DY3" s="113"/>
      <c r="DZ3" s="113"/>
      <c r="EA3" s="113"/>
      <c r="EB3" s="113"/>
      <c r="EC3" s="113"/>
      <c r="ED3" s="113"/>
      <c r="EE3" s="113"/>
      <c r="EF3" s="113"/>
      <c r="EG3" s="113"/>
      <c r="EH3" s="113"/>
      <c r="EI3" s="113"/>
      <c r="EJ3" s="113"/>
      <c r="EK3" s="113"/>
      <c r="EL3" s="113"/>
      <c r="EM3" s="113"/>
      <c r="EN3" s="113"/>
      <c r="EO3" s="113"/>
      <c r="EP3" s="113"/>
      <c r="EQ3" s="113"/>
      <c r="ER3" s="113"/>
      <c r="ES3" s="113"/>
      <c r="ET3" s="113"/>
      <c r="EU3" s="113"/>
      <c r="EV3" s="113"/>
      <c r="EW3" s="113"/>
      <c r="EX3" s="113"/>
      <c r="EY3" s="113"/>
      <c r="EZ3" s="113"/>
      <c r="FA3" s="113"/>
      <c r="FB3" s="113"/>
      <c r="FC3" s="113"/>
      <c r="FD3" s="113"/>
      <c r="FE3" s="113"/>
      <c r="FF3" s="113"/>
      <c r="FG3" s="113"/>
      <c r="FH3" s="113"/>
      <c r="FI3" s="113"/>
      <c r="FJ3" s="113"/>
      <c r="FK3" s="113"/>
      <c r="FL3" s="113"/>
      <c r="FM3" s="113"/>
      <c r="FN3" s="113"/>
      <c r="FO3" s="113"/>
      <c r="FP3" s="113"/>
      <c r="FQ3" s="113"/>
      <c r="FR3" s="113"/>
      <c r="FS3" s="113"/>
      <c r="FT3" s="113"/>
      <c r="FU3" s="113"/>
      <c r="FV3" s="113"/>
      <c r="FW3" s="113"/>
      <c r="FX3" s="113"/>
      <c r="FY3" s="113"/>
      <c r="FZ3" s="113"/>
      <c r="GA3" s="113"/>
      <c r="GB3" s="113"/>
      <c r="GC3" s="113"/>
      <c r="GD3" s="113"/>
      <c r="GE3" s="113"/>
      <c r="GF3" s="113"/>
      <c r="GG3" s="113"/>
      <c r="GH3" s="113"/>
      <c r="GI3" s="113"/>
      <c r="GJ3" s="113"/>
      <c r="GK3" s="113"/>
      <c r="GL3" s="113"/>
      <c r="GM3" s="113"/>
      <c r="GN3" s="113"/>
      <c r="GO3" s="113"/>
      <c r="GP3" s="113"/>
      <c r="GQ3" s="113"/>
      <c r="GR3" s="113"/>
      <c r="GS3" s="113"/>
      <c r="GT3" s="113"/>
      <c r="GU3" s="113"/>
      <c r="GV3" s="113"/>
      <c r="GW3" s="113"/>
      <c r="GX3" s="113"/>
      <c r="GY3" s="113"/>
      <c r="GZ3" s="113"/>
      <c r="HA3" s="113"/>
      <c r="HB3" s="113"/>
      <c r="HC3" s="113"/>
      <c r="HD3" s="113"/>
      <c r="HE3" s="113"/>
      <c r="HF3" s="113"/>
      <c r="HG3" s="113"/>
      <c r="HH3" s="113"/>
      <c r="HI3" s="113"/>
      <c r="HJ3" s="113"/>
      <c r="HK3" s="113"/>
      <c r="HL3" s="113"/>
      <c r="HM3" s="113"/>
      <c r="HN3" s="113"/>
      <c r="HO3" s="113"/>
      <c r="HP3" s="113"/>
      <c r="HQ3" s="113"/>
      <c r="HR3" s="113"/>
      <c r="HS3" s="113"/>
      <c r="HT3" s="113"/>
      <c r="HU3" s="113"/>
      <c r="HV3" s="113"/>
      <c r="HW3" s="113"/>
      <c r="HX3" s="113"/>
      <c r="HY3" s="113"/>
      <c r="HZ3" s="113"/>
      <c r="IA3" s="113"/>
      <c r="IB3" s="113"/>
      <c r="IC3" s="113"/>
      <c r="ID3" s="113"/>
      <c r="IE3" s="113"/>
      <c r="IF3" s="113"/>
      <c r="IG3" s="113"/>
      <c r="IH3" s="113"/>
      <c r="II3" s="113"/>
      <c r="IJ3" s="113"/>
      <c r="IK3" s="113"/>
      <c r="IL3" s="113"/>
      <c r="IM3" s="113"/>
      <c r="IN3" s="113"/>
      <c r="IO3" s="113"/>
      <c r="IP3" s="113"/>
      <c r="IQ3" s="113"/>
      <c r="IR3" s="113"/>
      <c r="IS3" s="113"/>
      <c r="IT3" s="113"/>
      <c r="IU3" s="113"/>
      <c r="IV3" s="113"/>
      <c r="IW3" s="113"/>
      <c r="IX3" s="113"/>
      <c r="IY3" s="113"/>
      <c r="IZ3" s="113"/>
      <c r="JA3" s="113"/>
      <c r="JB3" s="113"/>
      <c r="JC3" s="113"/>
      <c r="JD3" s="113"/>
      <c r="JE3" s="113"/>
      <c r="JF3" s="113"/>
      <c r="JG3" s="113"/>
      <c r="JH3" s="113"/>
      <c r="JI3" s="113"/>
      <c r="JJ3" s="113"/>
      <c r="JK3" s="113"/>
      <c r="JL3" s="113"/>
      <c r="JM3" s="113"/>
      <c r="JN3" s="113"/>
      <c r="JO3" s="113"/>
      <c r="JP3" s="113"/>
      <c r="JQ3" s="113"/>
      <c r="JR3" s="113"/>
      <c r="JS3" s="113"/>
      <c r="JT3" s="113"/>
      <c r="JU3" s="113"/>
      <c r="JV3" s="113"/>
      <c r="JW3" s="113"/>
      <c r="JX3" s="113"/>
      <c r="JY3" s="113"/>
      <c r="JZ3" s="113"/>
      <c r="KA3" s="113"/>
      <c r="KB3" s="113"/>
      <c r="KC3" s="113"/>
      <c r="KD3" s="113"/>
      <c r="KE3" s="113"/>
      <c r="KF3" s="113"/>
      <c r="KG3" s="113"/>
      <c r="KH3" s="113"/>
      <c r="KI3" s="113"/>
      <c r="KJ3" s="113"/>
      <c r="KK3" s="113"/>
      <c r="KL3" s="113"/>
      <c r="KM3" s="113"/>
      <c r="KN3" s="113"/>
      <c r="KO3" s="113"/>
      <c r="KP3" s="113"/>
      <c r="KQ3" s="113"/>
      <c r="KR3" s="113"/>
      <c r="KS3" s="113"/>
      <c r="KT3" s="113"/>
      <c r="KU3" s="113"/>
      <c r="KV3" s="113"/>
      <c r="KW3" s="113"/>
      <c r="KX3" s="113"/>
      <c r="KY3" s="113"/>
      <c r="KZ3" s="113"/>
      <c r="LA3" s="113"/>
      <c r="LB3" s="113"/>
      <c r="LC3" s="113"/>
      <c r="LD3" s="113"/>
      <c r="LE3" s="113"/>
      <c r="LF3" s="113"/>
      <c r="LG3" s="113"/>
      <c r="LH3" s="113"/>
      <c r="LI3" s="113"/>
      <c r="LJ3" s="113"/>
      <c r="LK3" s="113"/>
      <c r="LL3" s="113"/>
      <c r="LM3" s="113"/>
      <c r="LN3" s="113"/>
      <c r="LO3" s="113"/>
      <c r="LP3" s="113"/>
      <c r="LQ3" s="113"/>
      <c r="LR3" s="113"/>
      <c r="LS3" s="113"/>
      <c r="LT3" s="113"/>
      <c r="LU3" s="113"/>
      <c r="LV3" s="113"/>
      <c r="LW3" s="113"/>
      <c r="LX3" s="113"/>
      <c r="LY3" s="113"/>
      <c r="LZ3" s="117"/>
      <c r="MA3" s="117"/>
      <c r="MB3" s="117"/>
      <c r="MC3" s="117"/>
      <c r="MD3" s="117"/>
      <c r="ME3" s="117"/>
      <c r="MF3" s="117"/>
      <c r="MG3" s="117"/>
      <c r="MH3" s="117"/>
      <c r="MI3" s="117"/>
      <c r="MJ3" s="117"/>
      <c r="MK3" s="117"/>
      <c r="ML3" s="117"/>
      <c r="MM3" s="117"/>
      <c r="MN3" s="117"/>
      <c r="MO3" s="117"/>
      <c r="MP3" s="117"/>
      <c r="MQ3" s="117"/>
      <c r="MR3" s="117"/>
      <c r="MS3" s="117"/>
      <c r="MT3" s="117"/>
      <c r="MU3" s="117"/>
      <c r="MV3" s="117"/>
      <c r="MW3" s="117"/>
      <c r="MX3" s="117"/>
      <c r="MY3" s="117"/>
      <c r="MZ3" s="117"/>
      <c r="NA3" s="117"/>
      <c r="NB3" s="117"/>
      <c r="NC3" s="117"/>
      <c r="ND3" s="117"/>
      <c r="NE3" s="117"/>
      <c r="NF3" s="117"/>
      <c r="NG3" s="117"/>
      <c r="NH3" s="117"/>
      <c r="NI3" s="117"/>
      <c r="NJ3" s="117"/>
      <c r="NK3" s="117"/>
      <c r="NL3" s="117"/>
      <c r="NM3" s="117"/>
      <c r="NN3" s="117"/>
      <c r="NO3" s="117"/>
      <c r="NP3" s="117"/>
      <c r="NQ3" s="117"/>
      <c r="NR3" s="117"/>
      <c r="NS3" s="117"/>
      <c r="NT3" s="117"/>
      <c r="NU3" s="117"/>
      <c r="NV3" s="117"/>
      <c r="NW3" s="117"/>
      <c r="NX3" s="117"/>
      <c r="NY3" s="117"/>
      <c r="NZ3" s="117"/>
      <c r="OA3" s="117"/>
      <c r="OB3" s="117"/>
      <c r="OC3" s="117"/>
      <c r="OD3" s="117"/>
      <c r="OE3" s="117"/>
      <c r="OF3" s="117"/>
      <c r="OG3" s="117"/>
      <c r="OH3" s="117"/>
    </row>
    <row r="4" spans="1:455" s="110" customFormat="1" ht="11.25" customHeight="1" x14ac:dyDescent="0.2">
      <c r="A4" s="114"/>
      <c r="B4" s="115" t="s">
        <v>5</v>
      </c>
      <c r="C4" s="116">
        <f>DZ15+FD15+GI15</f>
        <v>2039</v>
      </c>
      <c r="D4" s="116">
        <f>ER15+FV15+HA15</f>
        <v>2026</v>
      </c>
      <c r="E4" s="116">
        <f>EI15+FM15+GR15</f>
        <v>13</v>
      </c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  <c r="U4" s="113"/>
      <c r="V4" s="113"/>
      <c r="W4" s="113"/>
      <c r="X4" s="113"/>
      <c r="Y4" s="113"/>
      <c r="Z4" s="113"/>
      <c r="AA4" s="113"/>
      <c r="AB4" s="113"/>
      <c r="AC4" s="113"/>
      <c r="AD4" s="113"/>
      <c r="AE4" s="113"/>
      <c r="AF4" s="113"/>
      <c r="AG4" s="113"/>
      <c r="AH4" s="113"/>
      <c r="AI4" s="113"/>
      <c r="AJ4" s="113"/>
      <c r="AK4" s="113"/>
      <c r="AL4" s="113"/>
      <c r="AM4" s="113"/>
      <c r="AN4" s="113"/>
      <c r="AO4" s="113"/>
      <c r="AP4" s="113"/>
      <c r="AQ4" s="113"/>
      <c r="AR4" s="113"/>
      <c r="AS4" s="113"/>
      <c r="AT4" s="113"/>
      <c r="AU4" s="113"/>
      <c r="AV4" s="113"/>
      <c r="AW4" s="113"/>
      <c r="AX4" s="113"/>
      <c r="AY4" s="113"/>
      <c r="AZ4" s="113"/>
      <c r="BA4" s="113"/>
      <c r="BB4" s="113"/>
      <c r="BC4" s="113"/>
      <c r="BD4" s="113"/>
      <c r="BE4" s="113"/>
      <c r="BF4" s="113"/>
      <c r="BG4" s="113"/>
      <c r="BH4" s="113"/>
      <c r="BI4" s="113"/>
      <c r="BJ4" s="113"/>
      <c r="BK4" s="113"/>
      <c r="BL4" s="113"/>
      <c r="BM4" s="113"/>
      <c r="BN4" s="113"/>
      <c r="BO4" s="113"/>
      <c r="BP4" s="113"/>
      <c r="BQ4" s="113"/>
      <c r="BR4" s="113"/>
      <c r="BS4" s="113"/>
      <c r="BT4" s="113"/>
      <c r="BU4" s="113"/>
      <c r="BV4" s="113"/>
      <c r="BW4" s="113"/>
      <c r="BX4" s="113"/>
      <c r="BY4" s="113"/>
      <c r="BZ4" s="113"/>
      <c r="CA4" s="113"/>
      <c r="CB4" s="113"/>
      <c r="CC4" s="113"/>
      <c r="CD4" s="113"/>
      <c r="CE4" s="113"/>
      <c r="CF4" s="113"/>
      <c r="CG4" s="113"/>
      <c r="CH4" s="113"/>
      <c r="CI4" s="113"/>
      <c r="CJ4" s="113"/>
      <c r="CK4" s="113"/>
      <c r="CL4" s="113"/>
      <c r="CM4" s="113"/>
      <c r="CN4" s="113"/>
      <c r="CO4" s="113"/>
      <c r="CP4" s="113"/>
      <c r="CQ4" s="113"/>
      <c r="CR4" s="113"/>
      <c r="CS4" s="113"/>
      <c r="CT4" s="113"/>
      <c r="CU4" s="113"/>
      <c r="CV4" s="113"/>
      <c r="CW4" s="113"/>
      <c r="CX4" s="113"/>
      <c r="CY4" s="113"/>
      <c r="CZ4" s="113"/>
      <c r="DA4" s="113"/>
      <c r="DB4" s="113"/>
      <c r="DC4" s="113"/>
      <c r="DD4" s="113"/>
      <c r="DE4" s="113"/>
      <c r="DF4" s="113"/>
      <c r="DG4" s="113"/>
      <c r="DH4" s="113"/>
      <c r="DI4" s="113"/>
      <c r="DJ4" s="113"/>
      <c r="DK4" s="113"/>
      <c r="DL4" s="113"/>
      <c r="DM4" s="113"/>
      <c r="DN4" s="113"/>
      <c r="DO4" s="113"/>
      <c r="DP4" s="113"/>
      <c r="DQ4" s="113"/>
      <c r="DR4" s="113"/>
      <c r="DS4" s="113"/>
      <c r="DT4" s="113"/>
      <c r="DU4" s="113"/>
      <c r="DV4" s="113"/>
      <c r="DW4" s="113"/>
      <c r="DX4" s="113"/>
      <c r="DY4" s="113"/>
      <c r="DZ4" s="113"/>
      <c r="EA4" s="113"/>
      <c r="EB4" s="113"/>
      <c r="EC4" s="113"/>
      <c r="ED4" s="113"/>
      <c r="EE4" s="113"/>
      <c r="EF4" s="113"/>
      <c r="EG4" s="113"/>
      <c r="EH4" s="113"/>
      <c r="EI4" s="113"/>
      <c r="EJ4" s="113"/>
      <c r="EK4" s="113"/>
      <c r="EL4" s="113"/>
      <c r="EM4" s="113"/>
      <c r="EN4" s="113"/>
      <c r="EO4" s="113"/>
      <c r="EP4" s="113"/>
      <c r="EQ4" s="113"/>
      <c r="ER4" s="113"/>
      <c r="ES4" s="113"/>
      <c r="ET4" s="113"/>
      <c r="EU4" s="113"/>
      <c r="EV4" s="113"/>
      <c r="EW4" s="113"/>
      <c r="EX4" s="113"/>
      <c r="EY4" s="113"/>
      <c r="EZ4" s="113"/>
      <c r="FA4" s="113"/>
      <c r="FB4" s="113"/>
      <c r="FC4" s="113"/>
      <c r="FD4" s="113"/>
      <c r="FE4" s="113"/>
      <c r="FF4" s="113"/>
      <c r="FG4" s="113"/>
      <c r="FH4" s="113"/>
      <c r="FI4" s="113"/>
      <c r="FJ4" s="113"/>
      <c r="FK4" s="113"/>
      <c r="FL4" s="113"/>
      <c r="FM4" s="113"/>
      <c r="FN4" s="113"/>
      <c r="FO4" s="113"/>
      <c r="FP4" s="113"/>
      <c r="FQ4" s="113"/>
      <c r="FR4" s="113"/>
      <c r="FS4" s="113"/>
      <c r="FT4" s="113"/>
      <c r="FU4" s="113"/>
      <c r="FV4" s="113"/>
      <c r="FW4" s="113"/>
      <c r="FX4" s="113"/>
      <c r="FY4" s="113"/>
      <c r="FZ4" s="113"/>
      <c r="GA4" s="113"/>
      <c r="GB4" s="113"/>
      <c r="GC4" s="113"/>
      <c r="GD4" s="113"/>
      <c r="GE4" s="113"/>
      <c r="GF4" s="113"/>
      <c r="GG4" s="113"/>
      <c r="GH4" s="113"/>
      <c r="GI4" s="113"/>
      <c r="GJ4" s="113"/>
      <c r="GK4" s="113"/>
      <c r="GL4" s="113"/>
      <c r="GM4" s="113"/>
      <c r="GN4" s="113"/>
      <c r="GO4" s="113"/>
      <c r="GP4" s="113"/>
      <c r="GQ4" s="113"/>
      <c r="GR4" s="113"/>
      <c r="GS4" s="113"/>
      <c r="GT4" s="113"/>
      <c r="GU4" s="113"/>
      <c r="GV4" s="113"/>
      <c r="GW4" s="113"/>
      <c r="GX4" s="113"/>
      <c r="GY4" s="113"/>
      <c r="GZ4" s="113"/>
      <c r="HA4" s="113"/>
      <c r="HB4" s="113"/>
      <c r="HC4" s="113"/>
      <c r="HD4" s="113"/>
      <c r="HE4" s="113"/>
      <c r="HF4" s="113"/>
      <c r="HG4" s="113"/>
      <c r="HH4" s="113"/>
      <c r="HI4" s="113"/>
      <c r="HJ4" s="113"/>
      <c r="HK4" s="113"/>
      <c r="HL4" s="113"/>
      <c r="HM4" s="113"/>
      <c r="HN4" s="113"/>
      <c r="HO4" s="113"/>
      <c r="HP4" s="113"/>
      <c r="HQ4" s="113"/>
      <c r="HR4" s="113"/>
      <c r="HS4" s="113"/>
      <c r="HT4" s="113"/>
      <c r="HU4" s="113"/>
      <c r="HV4" s="113"/>
      <c r="HW4" s="113"/>
      <c r="HX4" s="113"/>
      <c r="HY4" s="113"/>
      <c r="HZ4" s="113"/>
      <c r="IA4" s="113"/>
      <c r="IB4" s="113"/>
      <c r="IC4" s="113"/>
      <c r="ID4" s="113"/>
      <c r="IE4" s="113"/>
      <c r="IF4" s="113"/>
      <c r="IG4" s="113"/>
      <c r="IH4" s="113"/>
      <c r="II4" s="113"/>
      <c r="IJ4" s="113"/>
      <c r="IK4" s="113"/>
      <c r="IL4" s="113"/>
      <c r="IM4" s="113"/>
      <c r="IN4" s="113"/>
      <c r="IO4" s="113"/>
      <c r="IP4" s="113"/>
      <c r="IQ4" s="113"/>
      <c r="IR4" s="113"/>
      <c r="IS4" s="113"/>
      <c r="IT4" s="113"/>
      <c r="IU4" s="113"/>
      <c r="IV4" s="113"/>
      <c r="IW4" s="113"/>
      <c r="IX4" s="113"/>
      <c r="IY4" s="113"/>
      <c r="IZ4" s="113"/>
      <c r="JA4" s="113"/>
      <c r="JB4" s="113"/>
      <c r="JC4" s="113"/>
      <c r="JD4" s="113"/>
      <c r="JE4" s="113"/>
      <c r="JF4" s="113"/>
      <c r="JG4" s="113"/>
      <c r="JH4" s="113"/>
      <c r="JI4" s="113"/>
      <c r="JJ4" s="113"/>
      <c r="JK4" s="113"/>
      <c r="JL4" s="113"/>
      <c r="JM4" s="113"/>
      <c r="JN4" s="113"/>
      <c r="JO4" s="113"/>
      <c r="JP4" s="113"/>
      <c r="JQ4" s="113"/>
      <c r="JR4" s="113"/>
      <c r="JS4" s="113"/>
      <c r="JT4" s="113"/>
      <c r="JU4" s="113"/>
      <c r="JV4" s="113"/>
      <c r="JW4" s="113"/>
      <c r="JX4" s="113"/>
      <c r="JY4" s="113"/>
      <c r="JZ4" s="113"/>
      <c r="KA4" s="113"/>
      <c r="KB4" s="113"/>
      <c r="KC4" s="113"/>
      <c r="KD4" s="113"/>
      <c r="KE4" s="113"/>
      <c r="KF4" s="113"/>
      <c r="KG4" s="113"/>
      <c r="KH4" s="113"/>
      <c r="KI4" s="113"/>
      <c r="KJ4" s="113"/>
      <c r="KK4" s="113"/>
      <c r="KL4" s="113"/>
      <c r="KM4" s="113"/>
      <c r="KN4" s="113"/>
      <c r="KO4" s="113"/>
      <c r="KP4" s="113"/>
      <c r="KQ4" s="113"/>
      <c r="KR4" s="113"/>
      <c r="KS4" s="113"/>
      <c r="KT4" s="113"/>
      <c r="KU4" s="113"/>
      <c r="KV4" s="113"/>
      <c r="KW4" s="113"/>
      <c r="KX4" s="113"/>
      <c r="KY4" s="113"/>
      <c r="KZ4" s="113"/>
      <c r="LA4" s="113"/>
      <c r="LB4" s="113"/>
      <c r="LC4" s="113"/>
      <c r="LD4" s="113"/>
      <c r="LE4" s="113"/>
      <c r="LF4" s="113"/>
      <c r="LG4" s="113"/>
      <c r="LH4" s="113"/>
      <c r="LI4" s="113"/>
      <c r="LJ4" s="113"/>
      <c r="LK4" s="113"/>
      <c r="LL4" s="113"/>
      <c r="LM4" s="113"/>
      <c r="LN4" s="113"/>
      <c r="LO4" s="113"/>
      <c r="LP4" s="113"/>
      <c r="LQ4" s="113"/>
      <c r="LR4" s="113"/>
      <c r="LS4" s="113"/>
      <c r="LT4" s="113"/>
      <c r="LU4" s="113"/>
      <c r="LV4" s="113"/>
      <c r="LW4" s="113"/>
      <c r="LX4" s="113"/>
      <c r="LY4" s="113"/>
      <c r="LZ4" s="118"/>
      <c r="MA4" s="118"/>
      <c r="MB4" s="118"/>
      <c r="MC4" s="118"/>
      <c r="MD4" s="118"/>
      <c r="ME4" s="118"/>
      <c r="MF4" s="118"/>
      <c r="MG4" s="118"/>
      <c r="MH4" s="118"/>
      <c r="MI4" s="118"/>
      <c r="MJ4" s="118"/>
      <c r="MK4" s="118"/>
      <c r="ML4" s="118"/>
      <c r="MM4" s="118"/>
      <c r="MN4" s="118"/>
      <c r="MO4" s="118"/>
      <c r="MP4" s="118"/>
      <c r="MQ4" s="118"/>
      <c r="MR4" s="118"/>
      <c r="MS4" s="118"/>
      <c r="MT4" s="118"/>
      <c r="MU4" s="118"/>
      <c r="MV4" s="118"/>
      <c r="MW4" s="118"/>
      <c r="MX4" s="118"/>
      <c r="MY4" s="118"/>
      <c r="MZ4" s="118"/>
      <c r="NA4" s="118"/>
      <c r="NB4" s="118"/>
      <c r="NC4" s="118"/>
      <c r="ND4" s="118"/>
      <c r="NE4" s="117"/>
      <c r="NF4" s="117"/>
      <c r="NG4" s="117"/>
      <c r="NH4" s="117"/>
      <c r="NI4" s="117"/>
      <c r="NJ4" s="117"/>
      <c r="NK4" s="117"/>
      <c r="NL4" s="117"/>
      <c r="NM4" s="117"/>
      <c r="NN4" s="117"/>
      <c r="NO4" s="117"/>
      <c r="NP4" s="117"/>
      <c r="NQ4" s="117"/>
      <c r="NR4" s="117"/>
      <c r="NS4" s="117"/>
      <c r="NT4" s="117"/>
      <c r="NU4" s="117"/>
      <c r="NV4" s="117"/>
      <c r="NW4" s="117"/>
      <c r="NX4" s="117"/>
      <c r="NY4" s="117"/>
      <c r="NZ4" s="117"/>
      <c r="OA4" s="117"/>
      <c r="OB4" s="117"/>
      <c r="OC4" s="117"/>
      <c r="OD4" s="117"/>
      <c r="OE4" s="117"/>
      <c r="OF4" s="117"/>
      <c r="OG4" s="117"/>
      <c r="OH4" s="117"/>
      <c r="OI4" s="114"/>
      <c r="OJ4" s="114"/>
      <c r="OK4" s="114"/>
      <c r="OL4" s="114"/>
      <c r="OM4" s="114"/>
      <c r="ON4" s="114"/>
      <c r="OO4" s="114"/>
      <c r="OP4" s="114"/>
      <c r="OQ4" s="114"/>
      <c r="OR4" s="114"/>
      <c r="OS4" s="114"/>
      <c r="OT4" s="114"/>
      <c r="OU4" s="114"/>
      <c r="OV4" s="114"/>
      <c r="OW4" s="114"/>
      <c r="OX4" s="114"/>
      <c r="OY4" s="114"/>
      <c r="OZ4" s="114"/>
      <c r="PA4" s="114"/>
      <c r="PB4" s="114"/>
      <c r="PC4" s="114"/>
      <c r="PD4" s="114"/>
    </row>
    <row r="5" spans="1:455" s="110" customFormat="1" ht="11.25" customHeight="1" x14ac:dyDescent="0.2">
      <c r="A5" s="114"/>
      <c r="B5" s="115" t="s">
        <v>6</v>
      </c>
      <c r="C5" s="116">
        <f>HM15+IR15+JW15</f>
        <v>2209</v>
      </c>
      <c r="D5" s="116">
        <f>IE15+JJ15+KO15</f>
        <v>2127</v>
      </c>
      <c r="E5" s="116">
        <f>HV15+JA15+KF15</f>
        <v>82</v>
      </c>
      <c r="F5" s="113"/>
      <c r="G5" s="113"/>
      <c r="H5" s="113"/>
      <c r="I5" s="113"/>
      <c r="J5" s="113"/>
      <c r="K5" s="113"/>
      <c r="L5" s="113"/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3"/>
      <c r="AB5" s="113"/>
      <c r="AC5" s="113"/>
      <c r="AD5" s="113"/>
      <c r="AE5" s="113"/>
      <c r="AF5" s="113"/>
      <c r="AG5" s="113"/>
      <c r="AH5" s="113"/>
      <c r="AI5" s="113"/>
      <c r="AJ5" s="113"/>
      <c r="AK5" s="113"/>
      <c r="AL5" s="113"/>
      <c r="AM5" s="113"/>
      <c r="AN5" s="113"/>
      <c r="AO5" s="113"/>
      <c r="AP5" s="113"/>
      <c r="AQ5" s="113"/>
      <c r="AR5" s="113"/>
      <c r="AS5" s="113"/>
      <c r="AT5" s="113"/>
      <c r="AU5" s="113"/>
      <c r="AV5" s="113"/>
      <c r="AW5" s="113"/>
      <c r="AX5" s="113"/>
      <c r="AY5" s="113"/>
      <c r="AZ5" s="113"/>
      <c r="BA5" s="113"/>
      <c r="BB5" s="113"/>
      <c r="BC5" s="113"/>
      <c r="BD5" s="113"/>
      <c r="BE5" s="113"/>
      <c r="BF5" s="113"/>
      <c r="BG5" s="113"/>
      <c r="BH5" s="113"/>
      <c r="BI5" s="113"/>
      <c r="BJ5" s="113"/>
      <c r="BK5" s="113"/>
      <c r="BL5" s="113"/>
      <c r="BM5" s="113"/>
      <c r="BN5" s="113"/>
      <c r="BO5" s="113"/>
      <c r="BP5" s="113"/>
      <c r="BQ5" s="113"/>
      <c r="BR5" s="113"/>
      <c r="BS5" s="113"/>
      <c r="BT5" s="113"/>
      <c r="BU5" s="113"/>
      <c r="BV5" s="113"/>
      <c r="BW5" s="113"/>
      <c r="BX5" s="113"/>
      <c r="BY5" s="113"/>
      <c r="BZ5" s="113"/>
      <c r="CA5" s="113"/>
      <c r="CB5" s="113"/>
      <c r="CC5" s="113"/>
      <c r="CD5" s="113"/>
      <c r="CE5" s="113"/>
      <c r="CF5" s="113"/>
      <c r="CG5" s="113"/>
      <c r="CH5" s="113"/>
      <c r="CI5" s="113"/>
      <c r="CJ5" s="113"/>
      <c r="CK5" s="113"/>
      <c r="CL5" s="113"/>
      <c r="CM5" s="113"/>
      <c r="CN5" s="113"/>
      <c r="CO5" s="113"/>
      <c r="CP5" s="113"/>
      <c r="CQ5" s="113"/>
      <c r="CR5" s="113"/>
      <c r="CS5" s="113"/>
      <c r="CT5" s="113"/>
      <c r="CU5" s="113"/>
      <c r="CV5" s="113"/>
      <c r="CW5" s="113"/>
      <c r="CX5" s="113"/>
      <c r="CY5" s="113"/>
      <c r="CZ5" s="113"/>
      <c r="DA5" s="113"/>
      <c r="DB5" s="113"/>
      <c r="DC5" s="113"/>
      <c r="DD5" s="113"/>
      <c r="DE5" s="113"/>
      <c r="DF5" s="113"/>
      <c r="DG5" s="113"/>
      <c r="DH5" s="113"/>
      <c r="DI5" s="113"/>
      <c r="DJ5" s="113"/>
      <c r="DK5" s="113"/>
      <c r="DL5" s="113"/>
      <c r="DM5" s="113"/>
      <c r="DN5" s="113"/>
      <c r="DO5" s="113"/>
      <c r="DP5" s="113"/>
      <c r="DQ5" s="113"/>
      <c r="DR5" s="113"/>
      <c r="DS5" s="113"/>
      <c r="DT5" s="113"/>
      <c r="DU5" s="113"/>
      <c r="DV5" s="113"/>
      <c r="DW5" s="113"/>
      <c r="DX5" s="113"/>
      <c r="DY5" s="113"/>
      <c r="DZ5" s="113"/>
      <c r="EA5" s="113"/>
      <c r="EB5" s="113"/>
      <c r="EC5" s="113"/>
      <c r="ED5" s="113"/>
      <c r="EE5" s="113"/>
      <c r="EF5" s="113"/>
      <c r="EG5" s="113"/>
      <c r="EH5" s="113"/>
      <c r="EI5" s="113"/>
      <c r="EJ5" s="113"/>
      <c r="EK5" s="113"/>
      <c r="EL5" s="113"/>
      <c r="EM5" s="113"/>
      <c r="EN5" s="113"/>
      <c r="EO5" s="113"/>
      <c r="EP5" s="113"/>
      <c r="EQ5" s="113"/>
      <c r="ER5" s="113"/>
      <c r="ES5" s="113"/>
      <c r="ET5" s="113"/>
      <c r="EU5" s="113"/>
      <c r="EV5" s="113"/>
      <c r="EW5" s="113"/>
      <c r="EX5" s="113"/>
      <c r="EY5" s="113"/>
      <c r="EZ5" s="113"/>
      <c r="FA5" s="113"/>
      <c r="FB5" s="113"/>
      <c r="FC5" s="113"/>
      <c r="FD5" s="113"/>
      <c r="FE5" s="113"/>
      <c r="FF5" s="113"/>
      <c r="FG5" s="113"/>
      <c r="FH5" s="113"/>
      <c r="FI5" s="113"/>
      <c r="FJ5" s="113"/>
      <c r="FK5" s="113"/>
      <c r="FL5" s="113"/>
      <c r="FM5" s="113"/>
      <c r="FN5" s="113"/>
      <c r="FO5" s="113"/>
      <c r="FP5" s="113"/>
      <c r="FQ5" s="113"/>
      <c r="FR5" s="113"/>
      <c r="FS5" s="113"/>
      <c r="FT5" s="113"/>
      <c r="FU5" s="113"/>
      <c r="FV5" s="113"/>
      <c r="FW5" s="113"/>
      <c r="FX5" s="113"/>
      <c r="FY5" s="113"/>
      <c r="FZ5" s="113"/>
      <c r="GA5" s="113"/>
      <c r="GB5" s="113"/>
      <c r="GC5" s="113"/>
      <c r="GD5" s="113"/>
      <c r="GE5" s="113"/>
      <c r="GF5" s="113"/>
      <c r="GG5" s="113"/>
      <c r="GH5" s="113"/>
      <c r="GI5" s="113"/>
      <c r="GJ5" s="113"/>
      <c r="GK5" s="113"/>
      <c r="GL5" s="113"/>
      <c r="GM5" s="113"/>
      <c r="GN5" s="113"/>
      <c r="GO5" s="113"/>
      <c r="GP5" s="113"/>
      <c r="GQ5" s="113"/>
      <c r="GR5" s="113"/>
      <c r="GS5" s="113"/>
      <c r="GT5" s="113"/>
      <c r="GU5" s="113"/>
      <c r="GV5" s="113"/>
      <c r="GW5" s="113"/>
      <c r="GX5" s="113"/>
      <c r="GY5" s="113"/>
      <c r="GZ5" s="113"/>
      <c r="HA5" s="113"/>
      <c r="HB5" s="113"/>
      <c r="HC5" s="113"/>
      <c r="HD5" s="113"/>
      <c r="HE5" s="113"/>
      <c r="HF5" s="113"/>
      <c r="HG5" s="113"/>
      <c r="HH5" s="113"/>
      <c r="HI5" s="113"/>
      <c r="HJ5" s="113"/>
      <c r="HK5" s="113"/>
      <c r="HL5" s="113"/>
      <c r="HM5" s="113"/>
      <c r="HN5" s="113"/>
      <c r="HO5" s="113"/>
      <c r="HP5" s="113"/>
      <c r="HQ5" s="113"/>
      <c r="HR5" s="113"/>
      <c r="HS5" s="113"/>
      <c r="HT5" s="113"/>
      <c r="HU5" s="113"/>
      <c r="HV5" s="113"/>
      <c r="HW5" s="113"/>
      <c r="HX5" s="113"/>
      <c r="HY5" s="113"/>
      <c r="HZ5" s="113"/>
      <c r="IA5" s="113"/>
      <c r="IB5" s="113"/>
      <c r="IC5" s="113"/>
      <c r="ID5" s="113"/>
      <c r="IE5" s="113"/>
      <c r="IF5" s="113"/>
      <c r="IG5" s="113"/>
      <c r="IH5" s="113"/>
      <c r="II5" s="113"/>
      <c r="IJ5" s="113"/>
      <c r="IK5" s="113"/>
      <c r="IL5" s="113"/>
      <c r="IM5" s="113"/>
      <c r="IN5" s="113"/>
      <c r="IO5" s="113"/>
      <c r="IP5" s="113"/>
      <c r="IQ5" s="113"/>
      <c r="IR5" s="113"/>
      <c r="IS5" s="113"/>
      <c r="IT5" s="113"/>
      <c r="IU5" s="113"/>
      <c r="IV5" s="113"/>
      <c r="IW5" s="113"/>
      <c r="IX5" s="113"/>
      <c r="IY5" s="113"/>
      <c r="IZ5" s="113"/>
      <c r="JA5" s="113"/>
      <c r="JB5" s="113"/>
      <c r="JC5" s="113"/>
      <c r="JD5" s="113"/>
      <c r="JE5" s="113"/>
      <c r="JF5" s="113"/>
      <c r="JG5" s="113"/>
      <c r="JH5" s="113"/>
      <c r="JI5" s="113"/>
      <c r="JJ5" s="113"/>
      <c r="JK5" s="113"/>
      <c r="JL5" s="113"/>
      <c r="JM5" s="113"/>
      <c r="JN5" s="113"/>
      <c r="JO5" s="113"/>
      <c r="JP5" s="113"/>
      <c r="JQ5" s="113"/>
      <c r="JR5" s="113"/>
      <c r="JS5" s="113"/>
      <c r="JT5" s="113"/>
      <c r="JU5" s="113"/>
      <c r="JV5" s="113"/>
      <c r="JW5" s="113"/>
      <c r="JX5" s="113"/>
      <c r="JY5" s="113"/>
      <c r="JZ5" s="113"/>
      <c r="KA5" s="113"/>
      <c r="KB5" s="113"/>
      <c r="KC5" s="113"/>
      <c r="KD5" s="113"/>
      <c r="KE5" s="113"/>
      <c r="KF5" s="113"/>
      <c r="KG5" s="113"/>
      <c r="KH5" s="113"/>
      <c r="KI5" s="113"/>
      <c r="KJ5" s="113"/>
      <c r="KK5" s="113"/>
      <c r="KL5" s="113"/>
      <c r="KM5" s="113"/>
      <c r="KN5" s="113"/>
      <c r="KO5" s="113"/>
      <c r="KP5" s="113"/>
      <c r="KQ5" s="113"/>
      <c r="KR5" s="113"/>
      <c r="KS5" s="113"/>
      <c r="KT5" s="113"/>
      <c r="KU5" s="113"/>
      <c r="KV5" s="113"/>
      <c r="KW5" s="113"/>
      <c r="KX5" s="113"/>
      <c r="KY5" s="113"/>
      <c r="KZ5" s="113"/>
      <c r="LA5" s="113"/>
      <c r="LB5" s="113"/>
      <c r="LC5" s="113"/>
      <c r="LD5" s="113"/>
      <c r="LE5" s="113"/>
      <c r="LF5" s="113"/>
      <c r="LG5" s="113"/>
      <c r="LH5" s="113"/>
      <c r="LI5" s="113"/>
      <c r="LJ5" s="113"/>
      <c r="LK5" s="113"/>
      <c r="LL5" s="113"/>
      <c r="LM5" s="113"/>
      <c r="LN5" s="113"/>
      <c r="LO5" s="113"/>
      <c r="LP5" s="113"/>
      <c r="LQ5" s="113"/>
      <c r="LR5" s="113"/>
      <c r="LS5" s="113"/>
      <c r="LT5" s="113"/>
      <c r="LU5" s="113"/>
      <c r="LV5" s="113"/>
      <c r="LW5" s="113"/>
      <c r="LX5" s="113"/>
      <c r="LY5" s="113"/>
      <c r="LZ5" s="118"/>
      <c r="MA5" s="118"/>
      <c r="MB5" s="118"/>
      <c r="MC5" s="118"/>
      <c r="MD5" s="118"/>
      <c r="ME5" s="118"/>
      <c r="MF5" s="118"/>
      <c r="MG5" s="118"/>
      <c r="MH5" s="118"/>
      <c r="MI5" s="118"/>
      <c r="MJ5" s="118"/>
      <c r="MK5" s="118"/>
      <c r="ML5" s="118"/>
      <c r="MM5" s="118"/>
      <c r="MN5" s="118"/>
      <c r="MO5" s="118"/>
      <c r="MP5" s="118"/>
      <c r="MQ5" s="118"/>
      <c r="MR5" s="118"/>
      <c r="MS5" s="118"/>
      <c r="MT5" s="118"/>
      <c r="MU5" s="118"/>
      <c r="MV5" s="118"/>
      <c r="MW5" s="118"/>
      <c r="MX5" s="118"/>
      <c r="MY5" s="118"/>
      <c r="MZ5" s="118"/>
      <c r="NA5" s="118"/>
      <c r="NB5" s="118"/>
      <c r="NC5" s="118"/>
      <c r="ND5" s="118"/>
      <c r="NE5" s="117"/>
      <c r="NF5" s="117"/>
      <c r="NG5" s="117"/>
      <c r="NH5" s="117"/>
      <c r="NI5" s="117"/>
      <c r="NJ5" s="117"/>
      <c r="NK5" s="117"/>
      <c r="NL5" s="117"/>
      <c r="NM5" s="117"/>
      <c r="NN5" s="117"/>
      <c r="NO5" s="117"/>
      <c r="NP5" s="117"/>
      <c r="NQ5" s="117"/>
      <c r="NR5" s="117"/>
      <c r="NS5" s="117"/>
      <c r="NT5" s="117"/>
      <c r="NU5" s="117"/>
      <c r="NV5" s="117"/>
      <c r="NW5" s="117"/>
      <c r="NX5" s="117"/>
      <c r="NY5" s="117"/>
      <c r="NZ5" s="117"/>
      <c r="OA5" s="117"/>
      <c r="OB5" s="117"/>
      <c r="OC5" s="117"/>
      <c r="OD5" s="117"/>
      <c r="OE5" s="117"/>
      <c r="OF5" s="117"/>
      <c r="OG5" s="117"/>
      <c r="OH5" s="117"/>
      <c r="OI5" s="114"/>
      <c r="OJ5" s="114"/>
      <c r="OK5" s="114"/>
      <c r="OL5" s="114"/>
      <c r="OM5" s="114"/>
      <c r="ON5" s="114"/>
      <c r="OO5" s="114"/>
      <c r="OP5" s="114"/>
      <c r="OQ5" s="114"/>
      <c r="OR5" s="114"/>
      <c r="OS5" s="114"/>
      <c r="OT5" s="114"/>
      <c r="OU5" s="114"/>
      <c r="OV5" s="114"/>
      <c r="OW5" s="114"/>
      <c r="OX5" s="114"/>
      <c r="OY5" s="114"/>
      <c r="OZ5" s="114"/>
      <c r="PA5" s="114"/>
      <c r="PB5" s="114"/>
      <c r="PC5" s="114"/>
      <c r="PD5" s="114"/>
    </row>
    <row r="6" spans="1:455" s="110" customFormat="1" ht="11.25" customHeight="1" x14ac:dyDescent="0.2">
      <c r="A6" s="114"/>
      <c r="B6" s="115" t="s">
        <v>7</v>
      </c>
      <c r="C6" s="116">
        <f>LA15+MF15+NJ15</f>
        <v>2244</v>
      </c>
      <c r="D6" s="116">
        <f>LS15+MX15+OB15</f>
        <v>2186.5</v>
      </c>
      <c r="E6" s="116">
        <f>LJ15+MO15+NS15</f>
        <v>57.5</v>
      </c>
      <c r="F6" s="113"/>
      <c r="G6" s="113"/>
      <c r="H6" s="113"/>
      <c r="I6" s="113"/>
      <c r="J6" s="113"/>
      <c r="K6" s="113"/>
      <c r="L6" s="113"/>
      <c r="M6" s="113"/>
      <c r="N6" s="113"/>
      <c r="O6" s="113"/>
      <c r="P6" s="113"/>
      <c r="Q6" s="113"/>
      <c r="R6" s="113"/>
      <c r="S6" s="113"/>
      <c r="T6" s="113"/>
      <c r="U6" s="113"/>
      <c r="V6" s="113"/>
      <c r="W6" s="113"/>
      <c r="X6" s="113"/>
      <c r="Y6" s="113"/>
      <c r="Z6" s="113"/>
      <c r="AA6" s="113"/>
      <c r="AB6" s="113"/>
      <c r="AC6" s="113"/>
      <c r="AD6" s="113"/>
      <c r="AE6" s="113"/>
      <c r="AF6" s="113"/>
      <c r="AG6" s="113"/>
      <c r="AH6" s="113"/>
      <c r="AI6" s="113"/>
      <c r="AJ6" s="113"/>
      <c r="AK6" s="113"/>
      <c r="AL6" s="113"/>
      <c r="AM6" s="113"/>
      <c r="AN6" s="113"/>
      <c r="AO6" s="113"/>
      <c r="AP6" s="113"/>
      <c r="AQ6" s="113"/>
      <c r="AR6" s="113"/>
      <c r="AS6" s="113"/>
      <c r="AT6" s="113"/>
      <c r="AU6" s="113"/>
      <c r="AV6" s="113"/>
      <c r="AW6" s="113"/>
      <c r="AX6" s="113"/>
      <c r="AY6" s="113"/>
      <c r="AZ6" s="113"/>
      <c r="BA6" s="113"/>
      <c r="BB6" s="113"/>
      <c r="BC6" s="113"/>
      <c r="BD6" s="113"/>
      <c r="BE6" s="113"/>
      <c r="BF6" s="113"/>
      <c r="BG6" s="113"/>
      <c r="BH6" s="113"/>
      <c r="BI6" s="113"/>
      <c r="BJ6" s="113"/>
      <c r="BK6" s="113"/>
      <c r="BL6" s="113"/>
      <c r="BM6" s="113"/>
      <c r="BN6" s="113"/>
      <c r="BO6" s="113"/>
      <c r="BP6" s="113"/>
      <c r="BQ6" s="113"/>
      <c r="BR6" s="113"/>
      <c r="BS6" s="113"/>
      <c r="BT6" s="113"/>
      <c r="BU6" s="113"/>
      <c r="BV6" s="113"/>
      <c r="BW6" s="113"/>
      <c r="BX6" s="113"/>
      <c r="BY6" s="113"/>
      <c r="BZ6" s="113"/>
      <c r="CA6" s="113"/>
      <c r="CB6" s="113"/>
      <c r="CC6" s="113"/>
      <c r="CD6" s="113"/>
      <c r="CE6" s="113"/>
      <c r="CF6" s="113"/>
      <c r="CG6" s="113"/>
      <c r="CH6" s="113"/>
      <c r="CI6" s="113"/>
      <c r="CJ6" s="113"/>
      <c r="CK6" s="113"/>
      <c r="CL6" s="113"/>
      <c r="CM6" s="113"/>
      <c r="CN6" s="113"/>
      <c r="CO6" s="113"/>
      <c r="CP6" s="113"/>
      <c r="CQ6" s="113"/>
      <c r="CR6" s="113"/>
      <c r="CS6" s="113"/>
      <c r="CT6" s="113"/>
      <c r="CU6" s="113"/>
      <c r="CV6" s="113"/>
      <c r="CW6" s="113"/>
      <c r="CX6" s="113"/>
      <c r="CY6" s="113"/>
      <c r="CZ6" s="113"/>
      <c r="DA6" s="113"/>
      <c r="DB6" s="113"/>
      <c r="DC6" s="113"/>
      <c r="DD6" s="113"/>
      <c r="DE6" s="113"/>
      <c r="DF6" s="113"/>
      <c r="DG6" s="113"/>
      <c r="DH6" s="113"/>
      <c r="DI6" s="113"/>
      <c r="DJ6" s="113"/>
      <c r="DK6" s="113"/>
      <c r="DL6" s="113"/>
      <c r="DM6" s="113"/>
      <c r="DN6" s="113"/>
      <c r="DO6" s="113"/>
      <c r="DP6" s="113"/>
      <c r="DQ6" s="113"/>
      <c r="DR6" s="113"/>
      <c r="DS6" s="113"/>
      <c r="DT6" s="113"/>
      <c r="DU6" s="113"/>
      <c r="DV6" s="113"/>
      <c r="DW6" s="113"/>
      <c r="DX6" s="113"/>
      <c r="DY6" s="113"/>
      <c r="DZ6" s="113"/>
      <c r="EA6" s="113"/>
      <c r="EB6" s="113"/>
      <c r="EC6" s="113"/>
      <c r="ED6" s="113"/>
      <c r="EE6" s="113"/>
      <c r="EF6" s="113"/>
      <c r="EG6" s="113"/>
      <c r="EH6" s="113"/>
      <c r="EI6" s="113"/>
      <c r="EJ6" s="113"/>
      <c r="EK6" s="113"/>
      <c r="EL6" s="113"/>
      <c r="EM6" s="113"/>
      <c r="EN6" s="113"/>
      <c r="EO6" s="113"/>
      <c r="EP6" s="113"/>
      <c r="EQ6" s="113"/>
      <c r="ER6" s="113"/>
      <c r="ES6" s="113"/>
      <c r="ET6" s="113"/>
      <c r="EU6" s="113"/>
      <c r="EV6" s="113"/>
      <c r="EW6" s="113"/>
      <c r="EX6" s="113"/>
      <c r="EY6" s="113"/>
      <c r="EZ6" s="113"/>
      <c r="FA6" s="113"/>
      <c r="FB6" s="113"/>
      <c r="FC6" s="113"/>
      <c r="FD6" s="113"/>
      <c r="FE6" s="113"/>
      <c r="FF6" s="113"/>
      <c r="FG6" s="113"/>
      <c r="FH6" s="113"/>
      <c r="FI6" s="113"/>
      <c r="FJ6" s="113"/>
      <c r="FK6" s="113"/>
      <c r="FL6" s="113"/>
      <c r="FM6" s="113"/>
      <c r="FN6" s="113"/>
      <c r="FO6" s="113"/>
      <c r="FP6" s="113"/>
      <c r="FQ6" s="113"/>
      <c r="FR6" s="113"/>
      <c r="FS6" s="113"/>
      <c r="FT6" s="113"/>
      <c r="FU6" s="113"/>
      <c r="FV6" s="113"/>
      <c r="FW6" s="113"/>
      <c r="FX6" s="113"/>
      <c r="FY6" s="113"/>
      <c r="FZ6" s="113"/>
      <c r="GA6" s="113"/>
      <c r="GB6" s="113"/>
      <c r="GC6" s="113"/>
      <c r="GD6" s="113"/>
      <c r="GE6" s="113"/>
      <c r="GF6" s="113"/>
      <c r="GG6" s="113"/>
      <c r="GH6" s="113"/>
      <c r="GI6" s="113"/>
      <c r="GJ6" s="113"/>
      <c r="GK6" s="113"/>
      <c r="GL6" s="113"/>
      <c r="GM6" s="113"/>
      <c r="GN6" s="113"/>
      <c r="GO6" s="113"/>
      <c r="GP6" s="113"/>
      <c r="GQ6" s="113"/>
      <c r="GR6" s="113"/>
      <c r="GS6" s="113"/>
      <c r="GT6" s="113"/>
      <c r="GU6" s="113"/>
      <c r="GV6" s="113"/>
      <c r="GW6" s="113"/>
      <c r="GX6" s="113"/>
      <c r="GY6" s="113"/>
      <c r="GZ6" s="113"/>
      <c r="HA6" s="113"/>
      <c r="HB6" s="113"/>
      <c r="HC6" s="113"/>
      <c r="HD6" s="113"/>
      <c r="HE6" s="113"/>
      <c r="HF6" s="113"/>
      <c r="HG6" s="113"/>
      <c r="HH6" s="113"/>
      <c r="HI6" s="113"/>
      <c r="HJ6" s="113"/>
      <c r="HK6" s="113"/>
      <c r="HL6" s="113"/>
      <c r="HM6" s="113"/>
      <c r="HN6" s="113"/>
      <c r="HO6" s="113"/>
      <c r="HP6" s="113"/>
      <c r="HQ6" s="113"/>
      <c r="HR6" s="113"/>
      <c r="HS6" s="113"/>
      <c r="HT6" s="113"/>
      <c r="HU6" s="113"/>
      <c r="HV6" s="113"/>
      <c r="HW6" s="113"/>
      <c r="HX6" s="113"/>
      <c r="HY6" s="113"/>
      <c r="HZ6" s="113"/>
      <c r="IA6" s="113"/>
      <c r="IB6" s="113"/>
      <c r="IC6" s="113"/>
      <c r="ID6" s="113"/>
      <c r="IE6" s="113"/>
      <c r="IF6" s="113"/>
      <c r="IG6" s="113"/>
      <c r="IH6" s="113"/>
      <c r="II6" s="113"/>
      <c r="IJ6" s="113"/>
      <c r="IK6" s="113"/>
      <c r="IL6" s="113"/>
      <c r="IM6" s="113"/>
      <c r="IN6" s="113"/>
      <c r="IO6" s="113"/>
      <c r="IP6" s="113"/>
      <c r="IQ6" s="113"/>
      <c r="IR6" s="113"/>
      <c r="IS6" s="113"/>
      <c r="IT6" s="113"/>
      <c r="IU6" s="113"/>
      <c r="IV6" s="113"/>
      <c r="IW6" s="113"/>
      <c r="IX6" s="113"/>
      <c r="IY6" s="113"/>
      <c r="IZ6" s="113"/>
      <c r="JA6" s="113"/>
      <c r="JB6" s="113"/>
      <c r="JC6" s="113"/>
      <c r="JD6" s="113"/>
      <c r="JE6" s="113"/>
      <c r="JF6" s="113"/>
      <c r="JG6" s="113"/>
      <c r="JH6" s="113"/>
      <c r="JI6" s="113"/>
      <c r="JJ6" s="113"/>
      <c r="JK6" s="113"/>
      <c r="JL6" s="113"/>
      <c r="JM6" s="113"/>
      <c r="JN6" s="113"/>
      <c r="JO6" s="113"/>
      <c r="JP6" s="113"/>
      <c r="JQ6" s="113"/>
      <c r="JR6" s="113"/>
      <c r="JS6" s="113"/>
      <c r="JT6" s="113"/>
      <c r="JU6" s="113"/>
      <c r="JV6" s="113"/>
      <c r="JW6" s="113"/>
      <c r="JX6" s="113"/>
      <c r="JY6" s="113"/>
      <c r="JZ6" s="113"/>
      <c r="KA6" s="113"/>
      <c r="KB6" s="113"/>
      <c r="KC6" s="113"/>
      <c r="KD6" s="113"/>
      <c r="KE6" s="113"/>
      <c r="KF6" s="113"/>
      <c r="KG6" s="113"/>
      <c r="KH6" s="113"/>
      <c r="KI6" s="113"/>
      <c r="KJ6" s="113"/>
      <c r="KK6" s="113"/>
      <c r="KL6" s="113"/>
      <c r="KM6" s="113"/>
      <c r="KN6" s="113"/>
      <c r="KO6" s="113"/>
      <c r="KP6" s="113"/>
      <c r="KQ6" s="113"/>
      <c r="KR6" s="113"/>
      <c r="KS6" s="113"/>
      <c r="KT6" s="113"/>
      <c r="KU6" s="113"/>
      <c r="KV6" s="113"/>
      <c r="KW6" s="113"/>
      <c r="KX6" s="113"/>
      <c r="KY6" s="113"/>
      <c r="KZ6" s="113"/>
      <c r="LA6" s="113"/>
      <c r="LB6" s="113"/>
      <c r="LC6" s="113"/>
      <c r="LD6" s="113"/>
      <c r="LE6" s="113"/>
      <c r="LF6" s="113"/>
      <c r="LG6" s="113"/>
      <c r="LH6" s="113"/>
      <c r="LI6" s="113"/>
      <c r="LJ6" s="113"/>
      <c r="LK6" s="113"/>
      <c r="LL6" s="113"/>
      <c r="LM6" s="113"/>
      <c r="LN6" s="113"/>
      <c r="LO6" s="113"/>
      <c r="LP6" s="113"/>
      <c r="LQ6" s="113"/>
      <c r="LR6" s="113"/>
      <c r="LS6" s="113"/>
      <c r="LT6" s="113"/>
      <c r="LU6" s="113"/>
      <c r="LV6" s="113"/>
      <c r="LW6" s="113"/>
      <c r="LX6" s="113"/>
      <c r="LY6" s="113"/>
      <c r="LZ6" s="118"/>
      <c r="MA6" s="118"/>
      <c r="MB6" s="118"/>
      <c r="MC6" s="118"/>
      <c r="MD6" s="118"/>
      <c r="ME6" s="118"/>
      <c r="MF6" s="118"/>
      <c r="MG6" s="118"/>
      <c r="MH6" s="118"/>
      <c r="MI6" s="118"/>
      <c r="MJ6" s="118"/>
      <c r="MK6" s="118"/>
      <c r="ML6" s="118"/>
      <c r="MM6" s="118"/>
      <c r="MN6" s="118"/>
      <c r="MO6" s="118"/>
      <c r="MP6" s="118"/>
      <c r="MQ6" s="118"/>
      <c r="MR6" s="118"/>
      <c r="MS6" s="118"/>
      <c r="MT6" s="118"/>
      <c r="MU6" s="118"/>
      <c r="MV6" s="118"/>
      <c r="MW6" s="118"/>
      <c r="MX6" s="118"/>
      <c r="MY6" s="118"/>
      <c r="MZ6" s="118"/>
      <c r="NA6" s="118"/>
      <c r="NB6" s="118"/>
      <c r="NC6" s="118"/>
      <c r="ND6" s="118"/>
      <c r="NE6" s="117"/>
      <c r="NF6" s="117"/>
      <c r="NG6" s="117"/>
      <c r="NH6" s="117"/>
      <c r="NI6" s="117"/>
      <c r="NJ6" s="117"/>
      <c r="NK6" s="117"/>
      <c r="NL6" s="117"/>
      <c r="NM6" s="117"/>
      <c r="NN6" s="117"/>
      <c r="NO6" s="117"/>
      <c r="NP6" s="117"/>
      <c r="NQ6" s="117"/>
      <c r="NR6" s="117"/>
      <c r="NS6" s="117"/>
      <c r="NT6" s="117"/>
      <c r="NU6" s="117"/>
      <c r="NV6" s="117"/>
      <c r="NW6" s="117"/>
      <c r="NX6" s="117"/>
      <c r="NY6" s="117"/>
      <c r="NZ6" s="117"/>
      <c r="OA6" s="117"/>
      <c r="OB6" s="117"/>
      <c r="OC6" s="117"/>
      <c r="OD6" s="117"/>
      <c r="OE6" s="117"/>
      <c r="OF6" s="117"/>
      <c r="OG6" s="117"/>
      <c r="OH6" s="117"/>
      <c r="OI6" s="114"/>
      <c r="OJ6" s="114"/>
      <c r="OK6" s="114"/>
      <c r="OL6" s="114"/>
      <c r="OM6" s="114"/>
      <c r="ON6" s="114"/>
      <c r="OO6" s="114"/>
      <c r="OP6" s="114"/>
      <c r="OQ6" s="114"/>
      <c r="OR6" s="114"/>
      <c r="OS6" s="114"/>
      <c r="OT6" s="114"/>
      <c r="OU6" s="114"/>
      <c r="OV6" s="114"/>
      <c r="OW6" s="114"/>
      <c r="OX6" s="114"/>
      <c r="OY6" s="114"/>
      <c r="OZ6" s="114"/>
      <c r="PA6" s="114"/>
      <c r="PB6" s="114"/>
      <c r="PC6" s="114"/>
      <c r="PD6" s="114"/>
    </row>
    <row r="7" spans="1:455" s="106" customFormat="1" ht="15" x14ac:dyDescent="0.25">
      <c r="A7" s="126"/>
      <c r="B7" s="127"/>
      <c r="C7" s="104" t="str" cm="1">
        <f t="array" ref="C7">_xlfn.SINGLE(IFERROR(IF(WEEKDAY(_xlfn.SINGLE(9:9),2)&gt;5,"WE",IF(VLOOKUP(C9,Paramètres!$C$3:$C$42,1,FALSE)=C9,"Férié","")),_xlfn._xlws.FILTER(Date_IA_PIP[Cérémonie],(Date_IA_PIP[Date début]&lt;=C9)*(Date_IA_PIP[[Date fin ]]&gt;=C9),"")))</f>
        <v>WE</v>
      </c>
      <c r="D7" s="104" t="str" cm="1">
        <f t="array" ref="D7">_xlfn.SINGLE(IFERROR(IF(WEEKDAY(_xlfn.SINGLE(9:9),2)&gt;5,"WE",IF(VLOOKUP(D9,Paramètres!$C$3:$C$42,1,FALSE)=D9,"Férié","")),_xlfn._xlws.FILTER(Date_IA_PIP[Cérémonie],(Date_IA_PIP[Date début]&lt;=D9)*(Date_IA_PIP[[Date fin ]]&gt;=D9),"")))</f>
        <v/>
      </c>
      <c r="E7" s="104" t="str" cm="1">
        <f t="array" ref="E7">_xlfn.SINGLE(IFERROR(IF(WEEKDAY(_xlfn.SINGLE(9:9),2)&gt;5,"WE",IF(VLOOKUP(E9,Paramètres!$C$3:$C$42,1,FALSE)=E9,"Férié","")),_xlfn._xlws.FILTER(Date_IA_PIP[Cérémonie],(Date_IA_PIP[Date début]&lt;=E9)*(Date_IA_PIP[[Date fin ]]&gt;=E9),"")))</f>
        <v/>
      </c>
      <c r="F7" s="104" t="str" cm="1">
        <f t="array" ref="F7">_xlfn.SINGLE(IFERROR(IF(WEEKDAY(_xlfn.SINGLE(9:9),2)&gt;5,"WE",IF(VLOOKUP(F9,Paramètres!$C$3:$C$42,1,FALSE)=F9,"Férié","")),_xlfn._xlws.FILTER(Date_IA_PIP[Cérémonie],(Date_IA_PIP[Date début]&lt;=F9)*(Date_IA_PIP[[Date fin ]]&gt;=F9),"")))</f>
        <v/>
      </c>
      <c r="G7" s="104" t="str" cm="1">
        <f t="array" ref="G7">_xlfn.SINGLE(IFERROR(IF(WEEKDAY(_xlfn.SINGLE(9:9),2)&gt;5,"WE",IF(VLOOKUP(G9,Paramètres!$C$3:$C$42,1,FALSE)=G9,"Férié","")),_xlfn._xlws.FILTER(Date_IA_PIP[Cérémonie],(Date_IA_PIP[Date début]&lt;=G9)*(Date_IA_PIP[[Date fin ]]&gt;=G9),"")))</f>
        <v/>
      </c>
      <c r="H7" s="104" t="str" cm="1">
        <f t="array" ref="H7">_xlfn.SINGLE(IFERROR(IF(WEEKDAY(_xlfn.SINGLE(9:9),2)&gt;5,"WE",IF(VLOOKUP(H9,Paramètres!$C$3:$C$42,1,FALSE)=H9,"Férié","")),_xlfn._xlws.FILTER(Date_IA_PIP[Cérémonie],(Date_IA_PIP[Date début]&lt;=H9)*(Date_IA_PIP[[Date fin ]]&gt;=H9),"")))</f>
        <v/>
      </c>
      <c r="I7" s="104" t="str" cm="1">
        <f t="array" ref="I7">_xlfn.SINGLE(IFERROR(IF(WEEKDAY(_xlfn.SINGLE(9:9),2)&gt;5,"WE",IF(VLOOKUP(I9,Paramètres!$C$3:$C$42,1,FALSE)=I9,"Férié","")),_xlfn._xlws.FILTER(Date_IA_PIP[Cérémonie],(Date_IA_PIP[Date début]&lt;=I9)*(Date_IA_PIP[[Date fin ]]&gt;=I9),"")))</f>
        <v>WE</v>
      </c>
      <c r="J7" s="104" t="str" cm="1">
        <f t="array" ref="J7">_xlfn.SINGLE(IFERROR(IF(WEEKDAY(_xlfn.SINGLE(9:9),2)&gt;5,"WE",IF(VLOOKUP(J9,Paramètres!$C$3:$C$42,1,FALSE)=J9,"Férié","")),_xlfn._xlws.FILTER(Date_IA_PIP[Cérémonie],(Date_IA_PIP[Date début]&lt;=J9)*(Date_IA_PIP[[Date fin ]]&gt;=J9),"")))</f>
        <v>WE</v>
      </c>
      <c r="K7" s="104" t="str" cm="1">
        <f t="array" ref="K7">_xlfn.SINGLE(IFERROR(IF(WEEKDAY(_xlfn.SINGLE(9:9),2)&gt;5,"WE",IF(VLOOKUP(K9,Paramètres!$C$3:$C$42,1,FALSE)=K9,"Férié","")),_xlfn._xlws.FILTER(Date_IA_PIP[Cérémonie],(Date_IA_PIP[Date début]&lt;=K9)*(Date_IA_PIP[[Date fin ]]&gt;=K9),"")))</f>
        <v/>
      </c>
      <c r="L7" s="104" t="str" cm="1">
        <f t="array" ref="L7">_xlfn.SINGLE(IFERROR(IF(WEEKDAY(_xlfn.SINGLE(9:9),2)&gt;5,"WE",IF(VLOOKUP(L9,Paramètres!$C$3:$C$42,1,FALSE)=L9,"Férié","")),_xlfn._xlws.FILTER(Date_IA_PIP[Cérémonie],(Date_IA_PIP[Date début]&lt;=L9)*(Date_IA_PIP[[Date fin ]]&gt;=L9),"")))</f>
        <v/>
      </c>
      <c r="M7" s="104" t="str" cm="1">
        <f t="array" ref="M7">_xlfn.SINGLE(IFERROR(IF(WEEKDAY(_xlfn.SINGLE(9:9),2)&gt;5,"WE",IF(VLOOKUP(M9,Paramètres!$C$3:$C$42,1,FALSE)=M9,"Férié","")),_xlfn._xlws.FILTER(Date_IA_PIP[Cérémonie],(Date_IA_PIP[Date début]&lt;=M9)*(Date_IA_PIP[[Date fin ]]&gt;=M9),"")))</f>
        <v/>
      </c>
      <c r="N7" s="104" t="str" cm="1">
        <f t="array" ref="N7">_xlfn.SINGLE(IFERROR(IF(WEEKDAY(_xlfn.SINGLE(9:9),2)&gt;5,"WE",IF(VLOOKUP(N9,Paramètres!$C$3:$C$42,1,FALSE)=N9,"Férié","")),_xlfn._xlws.FILTER(Date_IA_PIP[Cérémonie],(Date_IA_PIP[Date début]&lt;=N9)*(Date_IA_PIP[[Date fin ]]&gt;=N9),"")))</f>
        <v/>
      </c>
      <c r="O7" s="104" t="str" cm="1">
        <f t="array" ref="O7">_xlfn.SINGLE(IFERROR(IF(WEEKDAY(_xlfn.SINGLE(9:9),2)&gt;5,"WE",IF(VLOOKUP(O9,Paramètres!$C$3:$C$42,1,FALSE)=O9,"Férié","")),_xlfn._xlws.FILTER(Date_IA_PIP[Cérémonie],(Date_IA_PIP[Date début]&lt;=O9)*(Date_IA_PIP[[Date fin ]]&gt;=O9),"")))</f>
        <v/>
      </c>
      <c r="P7" s="104" t="str" cm="1">
        <f t="array" ref="P7">_xlfn.SINGLE(IFERROR(IF(WEEKDAY(_xlfn.SINGLE(9:9),2)&gt;5,"WE",IF(VLOOKUP(P9,Paramètres!$C$3:$C$42,1,FALSE)=P9,"Férié","")),_xlfn._xlws.FILTER(Date_IA_PIP[Cérémonie],(Date_IA_PIP[Date début]&lt;=P9)*(Date_IA_PIP[[Date fin ]]&gt;=P9),"")))</f>
        <v>WE</v>
      </c>
      <c r="Q7" s="104" t="str" cm="1">
        <f t="array" ref="Q7">_xlfn.SINGLE(IFERROR(IF(WEEKDAY(_xlfn.SINGLE(9:9),2)&gt;5,"WE",IF(VLOOKUP(Q9,Paramètres!$C$3:$C$42,1,FALSE)=Q9,"Férié","")),_xlfn._xlws.FILTER(Date_IA_PIP[Cérémonie],(Date_IA_PIP[Date début]&lt;=Q9)*(Date_IA_PIP[[Date fin ]]&gt;=Q9),"")))</f>
        <v>WE</v>
      </c>
      <c r="R7" s="104" t="str" cm="1">
        <f t="array" ref="R7">_xlfn.SINGLE(IFERROR(IF(WEEKDAY(_xlfn.SINGLE(9:9),2)&gt;5,"WE",IF(VLOOKUP(R9,Paramètres!$C$3:$C$42,1,FALSE)=R9,"Férié","")),_xlfn._xlws.FILTER(Date_IA_PIP[Cérémonie],(Date_IA_PIP[Date début]&lt;=R9)*(Date_IA_PIP[[Date fin ]]&gt;=R9),"")))</f>
        <v/>
      </c>
      <c r="S7" s="104" t="str" cm="1">
        <f t="array" ref="S7">_xlfn.SINGLE(IFERROR(IF(WEEKDAY(_xlfn.SINGLE(9:9),2)&gt;5,"WE",IF(VLOOKUP(S9,Paramètres!$C$3:$C$42,1,FALSE)=S9,"Férié","")),_xlfn._xlws.FILTER(Date_IA_PIP[Cérémonie],(Date_IA_PIP[Date début]&lt;=S9)*(Date_IA_PIP[[Date fin ]]&gt;=S9),"")))</f>
        <v/>
      </c>
      <c r="T7" s="104" t="str" cm="1">
        <f t="array" ref="T7">_xlfn.SINGLE(IFERROR(IF(WEEKDAY(_xlfn.SINGLE(9:9),2)&gt;5,"WE",IF(VLOOKUP(T9,Paramètres!$C$3:$C$42,1,FALSE)=T9,"Férié","")),_xlfn._xlws.FILTER(Date_IA_PIP[Cérémonie],(Date_IA_PIP[Date début]&lt;=T9)*(Date_IA_PIP[[Date fin ]]&gt;=T9),"")))</f>
        <v/>
      </c>
      <c r="U7" s="104" t="str" cm="1">
        <f t="array" ref="U7">_xlfn.SINGLE(IFERROR(IF(WEEKDAY(_xlfn.SINGLE(9:9),2)&gt;5,"WE",IF(VLOOKUP(U9,Paramètres!$C$3:$C$42,1,FALSE)=U9,"Férié","")),_xlfn._xlws.FILTER(Date_IA_PIP[Cérémonie],(Date_IA_PIP[Date début]&lt;=U9)*(Date_IA_PIP[[Date fin ]]&gt;=U9),"")))</f>
        <v/>
      </c>
      <c r="V7" s="104" t="str" cm="1">
        <f t="array" ref="V7">_xlfn.SINGLE(IFERROR(IF(WEEKDAY(_xlfn.SINGLE(9:9),2)&gt;5,"WE",IF(VLOOKUP(V9,Paramètres!$C$3:$C$42,1,FALSE)=V9,"Férié","")),_xlfn._xlws.FILTER(Date_IA_PIP[Cérémonie],(Date_IA_PIP[Date début]&lt;=V9)*(Date_IA_PIP[[Date fin ]]&gt;=V9),"")))</f>
        <v/>
      </c>
      <c r="W7" s="104" t="str" cm="1">
        <f t="array" ref="W7">_xlfn.SINGLE(IFERROR(IF(WEEKDAY(_xlfn.SINGLE(9:9),2)&gt;5,"WE",IF(VLOOKUP(W9,Paramètres!$C$3:$C$42,1,FALSE)=W9,"Férié","")),_xlfn._xlws.FILTER(Date_IA_PIP[Cérémonie],(Date_IA_PIP[Date début]&lt;=W9)*(Date_IA_PIP[[Date fin ]]&gt;=W9),"")))</f>
        <v>WE</v>
      </c>
      <c r="X7" s="104" t="str" cm="1">
        <f t="array" ref="X7">_xlfn.SINGLE(IFERROR(IF(WEEKDAY(_xlfn.SINGLE(9:9),2)&gt;5,"WE",IF(VLOOKUP(X9,Paramètres!$C$3:$C$42,1,FALSE)=X9,"Férié","")),_xlfn._xlws.FILTER(Date_IA_PIP[Cérémonie],(Date_IA_PIP[Date début]&lt;=X9)*(Date_IA_PIP[[Date fin ]]&gt;=X9),"")))</f>
        <v>WE</v>
      </c>
      <c r="Y7" s="104" t="str" cm="1">
        <f t="array" ref="Y7">_xlfn.SINGLE(IFERROR(IF(WEEKDAY(_xlfn.SINGLE(9:9),2)&gt;5,"WE",IF(VLOOKUP(Y9,Paramètres!$C$3:$C$42,1,FALSE)=Y9,"Férié","")),_xlfn._xlws.FILTER(Date_IA_PIP[Cérémonie],(Date_IA_PIP[Date début]&lt;=Y9)*(Date_IA_PIP[[Date fin ]]&gt;=Y9),"")))</f>
        <v/>
      </c>
      <c r="Z7" s="104" t="str" cm="1">
        <f t="array" ref="Z7">_xlfn.SINGLE(IFERROR(IF(WEEKDAY(_xlfn.SINGLE(9:9),2)&gt;5,"WE",IF(VLOOKUP(Z9,Paramètres!$C$3:$C$42,1,FALSE)=Z9,"Férié","")),_xlfn._xlws.FILTER(Date_IA_PIP[Cérémonie],(Date_IA_PIP[Date début]&lt;=Z9)*(Date_IA_PIP[[Date fin ]]&gt;=Z9),"")))</f>
        <v/>
      </c>
      <c r="AA7" s="104" t="str" cm="1">
        <f t="array" ref="AA7">_xlfn.SINGLE(IFERROR(IF(WEEKDAY(_xlfn.SINGLE(9:9),2)&gt;5,"WE",IF(VLOOKUP(AA9,Paramètres!$C$3:$C$42,1,FALSE)=AA9,"Férié","")),_xlfn._xlws.FILTER(Date_IA_PIP[Cérémonie],(Date_IA_PIP[Date début]&lt;=AA9)*(Date_IA_PIP[[Date fin ]]&gt;=AA9),"")))</f>
        <v>Férié</v>
      </c>
      <c r="AB7" s="104" t="str" cm="1">
        <f t="array" ref="AB7">_xlfn.SINGLE(IFERROR(IF(WEEKDAY(_xlfn.SINGLE(9:9),2)&gt;5,"WE",IF(VLOOKUP(AB9,Paramètres!$C$3:$C$42,1,FALSE)=AB9,"Férié","")),_xlfn._xlws.FILTER(Date_IA_PIP[Cérémonie],(Date_IA_PIP[Date début]&lt;=AB9)*(Date_IA_PIP[[Date fin ]]&gt;=AB9),"")))</f>
        <v/>
      </c>
      <c r="AC7" s="104" t="str" cm="1">
        <f t="array" ref="AC7">_xlfn.SINGLE(IFERROR(IF(WEEKDAY(_xlfn.SINGLE(9:9),2)&gt;5,"WE",IF(VLOOKUP(AC9,Paramètres!$C$3:$C$42,1,FALSE)=AC9,"Férié","")),_xlfn._xlws.FILTER(Date_IA_PIP[Cérémonie],(Date_IA_PIP[Date début]&lt;=AC9)*(Date_IA_PIP[[Date fin ]]&gt;=AC9),"")))</f>
        <v/>
      </c>
      <c r="AD7" s="104" t="str" cm="1">
        <f t="array" ref="AD7">_xlfn.SINGLE(IFERROR(IF(WEEKDAY(_xlfn.SINGLE(9:9),2)&gt;5,"WE",IF(VLOOKUP(AD9,Paramètres!$C$3:$C$42,1,FALSE)=AD9,"Férié","")),_xlfn._xlws.FILTER(Date_IA_PIP[Cérémonie],(Date_IA_PIP[Date début]&lt;=AD9)*(Date_IA_PIP[[Date fin ]]&gt;=AD9),"")))</f>
        <v>WE</v>
      </c>
      <c r="AE7" s="104" t="str" cm="1">
        <f t="array" ref="AE7">_xlfn.SINGLE(IFERROR(IF(WEEKDAY(_xlfn.SINGLE(9:9),2)&gt;5,"WE",IF(VLOOKUP(AE9,Paramètres!$C$3:$C$42,1,FALSE)=AE9,"Férié","")),_xlfn._xlws.FILTER(Date_IA_PIP[Cérémonie],(Date_IA_PIP[Date début]&lt;=AE9)*(Date_IA_PIP[[Date fin ]]&gt;=AE9),"")))</f>
        <v>WE</v>
      </c>
      <c r="AF7" s="104" t="str" cm="1">
        <f t="array" ref="AF7">_xlfn.SINGLE(IFERROR(IF(WEEKDAY(_xlfn.SINGLE(9:9),2)&gt;5,"WE",IF(VLOOKUP(AF9,Paramètres!$C$3:$C$42,1,FALSE)=AF9,"Férié","")),_xlfn._xlws.FILTER(Date_IA_PIP[Cérémonie],(Date_IA_PIP[Date début]&lt;=AF9)*(Date_IA_PIP[[Date fin ]]&gt;=AF9),"")))</f>
        <v/>
      </c>
      <c r="AG7" s="104" t="str" cm="1">
        <f t="array" ref="AG7">_xlfn.SINGLE(IFERROR(IF(WEEKDAY(_xlfn.SINGLE(9:9),2)&gt;5,"WE",IF(VLOOKUP(AG9,Paramètres!$C$3:$C$42,1,FALSE)=AG9,"Férié","")),_xlfn._xlws.FILTER(Date_IA_PIP[Cérémonie],(Date_IA_PIP[Date début]&lt;=AG9)*(Date_IA_PIP[[Date fin ]]&gt;=AG9),"")))</f>
        <v/>
      </c>
      <c r="AH7" s="104" t="str" cm="1">
        <f t="array" ref="AH7">_xlfn.SINGLE(IFERROR(IF(WEEKDAY(_xlfn.SINGLE(9:9),2)&gt;5,"WE",IF(VLOOKUP(AH9,Paramètres!$C$3:$C$42,1,FALSE)=AH9,"Férié","")),_xlfn._xlws.FILTER(Date_IA_PIP[Cérémonie],(Date_IA_PIP[Date début]&lt;=AH9)*(Date_IA_PIP[[Date fin ]]&gt;=AH9),"")))</f>
        <v>Férié</v>
      </c>
      <c r="AI7" s="104" t="str" cm="1">
        <f t="array" ref="AI7">_xlfn.SINGLE(IFERROR(IF(WEEKDAY(_xlfn.SINGLE(9:9),2)&gt;5,"WE",IF(VLOOKUP(AI9,Paramètres!$C$3:$C$42,1,FALSE)=AI9,"Férié","")),_xlfn._xlws.FILTER(Date_IA_PIP[Cérémonie],(Date_IA_PIP[Date début]&lt;=AI9)*(Date_IA_PIP[[Date fin ]]&gt;=AI9),"")))</f>
        <v/>
      </c>
      <c r="AJ7" s="104" t="str" cm="1">
        <f t="array" ref="AJ7">_xlfn.SINGLE(IFERROR(IF(WEEKDAY(_xlfn.SINGLE(9:9),2)&gt;5,"WE",IF(VLOOKUP(AJ9,Paramètres!$C$3:$C$42,1,FALSE)=AJ9,"Férié","")),_xlfn._xlws.FILTER(Date_IA_PIP[Cérémonie],(Date_IA_PIP[Date début]&lt;=AJ9)*(Date_IA_PIP[[Date fin ]]&gt;=AJ9),"")))</f>
        <v/>
      </c>
      <c r="AK7" s="104" t="str" cm="1">
        <f t="array" ref="AK7">_xlfn.SINGLE(IFERROR(IF(WEEKDAY(_xlfn.SINGLE(9:9),2)&gt;5,"WE",IF(VLOOKUP(AK9,Paramètres!$C$3:$C$42,1,FALSE)=AK9,"Férié","")),_xlfn._xlws.FILTER(Date_IA_PIP[Cérémonie],(Date_IA_PIP[Date début]&lt;=AK9)*(Date_IA_PIP[[Date fin ]]&gt;=AK9),"")))</f>
        <v>WE</v>
      </c>
      <c r="AL7" s="104" t="str" cm="1">
        <f t="array" ref="AL7">_xlfn.SINGLE(IFERROR(IF(WEEKDAY(_xlfn.SINGLE(9:9),2)&gt;5,"WE",IF(VLOOKUP(AL9,Paramètres!$C$3:$C$42,1,FALSE)=AL9,"Férié","")),_xlfn._xlws.FILTER(Date_IA_PIP[Cérémonie],(Date_IA_PIP[Date début]&lt;=AL9)*(Date_IA_PIP[[Date fin ]]&gt;=AL9),"")))</f>
        <v>WE</v>
      </c>
      <c r="AM7" s="104" t="str" cm="1">
        <f t="array" ref="AM7">_xlfn.SINGLE(IFERROR(IF(WEEKDAY(_xlfn.SINGLE(9:9),2)&gt;5,"WE",IF(VLOOKUP(AM9,Paramètres!$C$3:$C$42,1,FALSE)=AM9,"Férié","")),_xlfn._xlws.FILTER(Date_IA_PIP[Cérémonie],(Date_IA_PIP[Date début]&lt;=AM9)*(Date_IA_PIP[[Date fin ]]&gt;=AM9),"")))</f>
        <v/>
      </c>
      <c r="AN7" s="104" t="str" cm="1">
        <f t="array" ref="AN7">_xlfn.SINGLE(IFERROR(IF(WEEKDAY(_xlfn.SINGLE(9:9),2)&gt;5,"WE",IF(VLOOKUP(AN9,Paramètres!$C$3:$C$42,1,FALSE)=AN9,"Férié","")),_xlfn._xlws.FILTER(Date_IA_PIP[Cérémonie],(Date_IA_PIP[Date début]&lt;=AN9)*(Date_IA_PIP[[Date fin ]]&gt;=AN9),"")))</f>
        <v/>
      </c>
      <c r="AO7" s="104" t="str" cm="1">
        <f t="array" ref="AO7">_xlfn.SINGLE(IFERROR(IF(WEEKDAY(_xlfn.SINGLE(9:9),2)&gt;5,"WE",IF(VLOOKUP(AO9,Paramètres!$C$3:$C$42,1,FALSE)=AO9,"Férié","")),_xlfn._xlws.FILTER(Date_IA_PIP[Cérémonie],(Date_IA_PIP[Date début]&lt;=AO9)*(Date_IA_PIP[[Date fin ]]&gt;=AO9),"")))</f>
        <v/>
      </c>
      <c r="AP7" s="104" t="str" cm="1">
        <f t="array" ref="AP7">_xlfn.SINGLE(IFERROR(IF(WEEKDAY(_xlfn.SINGLE(9:9),2)&gt;5,"WE",IF(VLOOKUP(AP9,Paramètres!$C$3:$C$42,1,FALSE)=AP9,"Férié","")),_xlfn._xlws.FILTER(Date_IA_PIP[Cérémonie],(Date_IA_PIP[Date début]&lt;=AP9)*(Date_IA_PIP[[Date fin ]]&gt;=AP9),"")))</f>
        <v/>
      </c>
      <c r="AQ7" s="104" t="str" cm="1">
        <f t="array" ref="AQ7">_xlfn.SINGLE(IFERROR(IF(WEEKDAY(_xlfn.SINGLE(9:9),2)&gt;5,"WE",IF(VLOOKUP(AQ9,Paramètres!$C$3:$C$42,1,FALSE)=AQ9,"Férié","")),_xlfn._xlws.FILTER(Date_IA_PIP[Cérémonie],(Date_IA_PIP[Date début]&lt;=AQ9)*(Date_IA_PIP[[Date fin ]]&gt;=AQ9),"")))</f>
        <v/>
      </c>
      <c r="AR7" s="104" t="str" cm="1">
        <f t="array" ref="AR7">_xlfn.SINGLE(IFERROR(IF(WEEKDAY(_xlfn.SINGLE(9:9),2)&gt;5,"WE",IF(VLOOKUP(AR9,Paramètres!$C$3:$C$42,1,FALSE)=AR9,"Férié","")),_xlfn._xlws.FILTER(Date_IA_PIP[Cérémonie],(Date_IA_PIP[Date début]&lt;=AR9)*(Date_IA_PIP[[Date fin ]]&gt;=AR9),"")))</f>
        <v>WE</v>
      </c>
      <c r="AS7" s="104" t="str" cm="1">
        <f t="array" ref="AS7">_xlfn.SINGLE(IFERROR(IF(WEEKDAY(_xlfn.SINGLE(9:9),2)&gt;5,"WE",IF(VLOOKUP(AS9,Paramètres!$C$3:$C$42,1,FALSE)=AS9,"Férié","")),_xlfn._xlws.FILTER(Date_IA_PIP[Cérémonie],(Date_IA_PIP[Date début]&lt;=AS9)*(Date_IA_PIP[[Date fin ]]&gt;=AS9),"")))</f>
        <v>WE</v>
      </c>
      <c r="AT7" s="104" t="str" cm="1">
        <f t="array" ref="AT7">_xlfn.SINGLE(IFERROR(IF(WEEKDAY(_xlfn.SINGLE(9:9),2)&gt;5,"WE",IF(VLOOKUP(AT9,Paramètres!$C$3:$C$42,1,FALSE)=AT9,"Férié","")),_xlfn._xlws.FILTER(Date_IA_PIP[Cérémonie],(Date_IA_PIP[Date début]&lt;=AT9)*(Date_IA_PIP[[Date fin ]]&gt;=AT9),"")))</f>
        <v/>
      </c>
      <c r="AU7" s="104" t="str" cm="1">
        <f t="array" ref="AU7">_xlfn.SINGLE(IFERROR(IF(WEEKDAY(_xlfn.SINGLE(9:9),2)&gt;5,"WE",IF(VLOOKUP(AU9,Paramètres!$C$3:$C$42,1,FALSE)=AU9,"Férié","")),_xlfn._xlws.FILTER(Date_IA_PIP[Cérémonie],(Date_IA_PIP[Date début]&lt;=AU9)*(Date_IA_PIP[[Date fin ]]&gt;=AU9),"")))</f>
        <v>Présentiel</v>
      </c>
      <c r="AV7" s="104" t="str" cm="1">
        <f t="array" ref="AV7">_xlfn.SINGLE(IFERROR(IF(WEEKDAY(_xlfn.SINGLE(9:9),2)&gt;5,"WE",IF(VLOOKUP(AV9,Paramètres!$C$3:$C$42,1,FALSE)=AV9,"Férié","")),_xlfn._xlws.FILTER(Date_IA_PIP[Cérémonie],(Date_IA_PIP[Date début]&lt;=AV9)*(Date_IA_PIP[[Date fin ]]&gt;=AV9),"")))</f>
        <v/>
      </c>
      <c r="AW7" s="104" t="str" cm="1">
        <f t="array" ref="AW7">_xlfn.SINGLE(IFERROR(IF(WEEKDAY(_xlfn.SINGLE(9:9),2)&gt;5,"WE",IF(VLOOKUP(AW9,Paramètres!$C$3:$C$42,1,FALSE)=AW9,"Férié","")),_xlfn._xlws.FILTER(Date_IA_PIP[Cérémonie],(Date_IA_PIP[Date début]&lt;=AW9)*(Date_IA_PIP[[Date fin ]]&gt;=AW9),"")))</f>
        <v/>
      </c>
      <c r="AX7" s="104" t="str" cm="1">
        <f t="array" ref="AX7">_xlfn.SINGLE(IFERROR(IF(WEEKDAY(_xlfn.SINGLE(9:9),2)&gt;5,"WE",IF(VLOOKUP(AX9,Paramètres!$C$3:$C$42,1,FALSE)=AX9,"Férié","")),_xlfn._xlws.FILTER(Date_IA_PIP[Cérémonie],(Date_IA_PIP[Date début]&lt;=AX9)*(Date_IA_PIP[[Date fin ]]&gt;=AX9),"")))</f>
        <v/>
      </c>
      <c r="AY7" s="104" t="str" cm="1">
        <f t="array" ref="AY7">_xlfn.SINGLE(IFERROR(IF(WEEKDAY(_xlfn.SINGLE(9:9),2)&gt;5,"WE",IF(VLOOKUP(AY9,Paramètres!$C$3:$C$42,1,FALSE)=AY9,"Férié","")),_xlfn._xlws.FILTER(Date_IA_PIP[Cérémonie],(Date_IA_PIP[Date début]&lt;=AY9)*(Date_IA_PIP[[Date fin ]]&gt;=AY9),"")))</f>
        <v>WE</v>
      </c>
      <c r="AZ7" s="104" t="str" cm="1">
        <f t="array" ref="AZ7">_xlfn.SINGLE(IFERROR(IF(WEEKDAY(_xlfn.SINGLE(9:9),2)&gt;5,"WE",IF(VLOOKUP(AZ9,Paramètres!$C$3:$C$42,1,FALSE)=AZ9,"Férié","")),_xlfn._xlws.FILTER(Date_IA_PIP[Cérémonie],(Date_IA_PIP[Date début]&lt;=AZ9)*(Date_IA_PIP[[Date fin ]]&gt;=AZ9),"")))</f>
        <v>WE</v>
      </c>
      <c r="BA7" s="104" t="str" cm="1">
        <f t="array" ref="BA7">_xlfn.SINGLE(IFERROR(IF(WEEKDAY(_xlfn.SINGLE(9:9),2)&gt;5,"WE",IF(VLOOKUP(BA9,Paramètres!$C$3:$C$42,1,FALSE)=BA9,"Férié","")),_xlfn._xlws.FILTER(Date_IA_PIP[Cérémonie],(Date_IA_PIP[Date début]&lt;=BA9)*(Date_IA_PIP[[Date fin ]]&gt;=BA9),"")))</f>
        <v/>
      </c>
      <c r="BB7" s="104" t="str" cm="1">
        <f t="array" ref="BB7">_xlfn.SINGLE(IFERROR(IF(WEEKDAY(_xlfn.SINGLE(9:9),2)&gt;5,"WE",IF(VLOOKUP(BB9,Paramètres!$C$3:$C$42,1,FALSE)=BB9,"Férié","")),_xlfn._xlws.FILTER(Date_IA_PIP[Cérémonie],(Date_IA_PIP[Date début]&lt;=BB9)*(Date_IA_PIP[[Date fin ]]&gt;=BB9),"")))</f>
        <v/>
      </c>
      <c r="BC7" s="104" t="str" cm="1">
        <f t="array" ref="BC7">_xlfn.SINGLE(IFERROR(IF(WEEKDAY(_xlfn.SINGLE(9:9),2)&gt;5,"WE",IF(VLOOKUP(BC9,Paramètres!$C$3:$C$42,1,FALSE)=BC9,"Férié","")),_xlfn._xlws.FILTER(Date_IA_PIP[Cérémonie],(Date_IA_PIP[Date début]&lt;=BC9)*(Date_IA_PIP[[Date fin ]]&gt;=BC9),"")))</f>
        <v/>
      </c>
      <c r="BD7" s="104" t="str" cm="1">
        <f t="array" ref="BD7">_xlfn.SINGLE(IFERROR(IF(WEEKDAY(_xlfn.SINGLE(9:9),2)&gt;5,"WE",IF(VLOOKUP(BD9,Paramètres!$C$3:$C$42,1,FALSE)=BD9,"Férié","")),_xlfn._xlws.FILTER(Date_IA_PIP[Cérémonie],(Date_IA_PIP[Date début]&lt;=BD9)*(Date_IA_PIP[[Date fin ]]&gt;=BD9),"")))</f>
        <v/>
      </c>
      <c r="BE7" s="104" t="str" cm="1">
        <f t="array" ref="BE7">_xlfn.SINGLE(IFERROR(IF(WEEKDAY(_xlfn.SINGLE(9:9),2)&gt;5,"WE",IF(VLOOKUP(BE9,Paramètres!$C$3:$C$42,1,FALSE)=BE9,"Férié","")),_xlfn._xlws.FILTER(Date_IA_PIP[Cérémonie],(Date_IA_PIP[Date début]&lt;=BE9)*(Date_IA_PIP[[Date fin ]]&gt;=BE9),"")))</f>
        <v/>
      </c>
      <c r="BF7" s="104" t="str" cm="1">
        <f t="array" ref="BF7">_xlfn.SINGLE(IFERROR(IF(WEEKDAY(_xlfn.SINGLE(9:9),2)&gt;5,"WE",IF(VLOOKUP(BF9,Paramètres!$C$3:$C$42,1,FALSE)=BF9,"Férié","")),_xlfn._xlws.FILTER(Date_IA_PIP[Cérémonie],(Date_IA_PIP[Date début]&lt;=BF9)*(Date_IA_PIP[[Date fin ]]&gt;=BF9),"")))</f>
        <v>WE</v>
      </c>
      <c r="BG7" s="104" t="str" cm="1">
        <f t="array" ref="BG7">_xlfn.SINGLE(IFERROR(IF(WEEKDAY(_xlfn.SINGLE(9:9),2)&gt;5,"WE",IF(VLOOKUP(BG9,Paramètres!$C$3:$C$42,1,FALSE)=BG9,"Férié","")),_xlfn._xlws.FILTER(Date_IA_PIP[Cérémonie],(Date_IA_PIP[Date début]&lt;=BG9)*(Date_IA_PIP[[Date fin ]]&gt;=BG9),"")))</f>
        <v>WE</v>
      </c>
      <c r="BH7" s="104" t="str" cm="1">
        <f t="array" ref="BH7">_xlfn.SINGLE(IFERROR(IF(WEEKDAY(_xlfn.SINGLE(9:9),2)&gt;5,"WE",IF(VLOOKUP(BH9,Paramètres!$C$3:$C$42,1,FALSE)=BH9,"Férié","")),_xlfn._xlws.FILTER(Date_IA_PIP[Cérémonie],(Date_IA_PIP[Date début]&lt;=BH9)*(Date_IA_PIP[[Date fin ]]&gt;=BH9),"")))</f>
        <v/>
      </c>
      <c r="BI7" s="104" t="str" cm="1">
        <f t="array" ref="BI7">_xlfn.SINGLE(IFERROR(IF(WEEKDAY(_xlfn.SINGLE(9:9),2)&gt;5,"WE",IF(VLOOKUP(BI9,Paramètres!$C$3:$C$42,1,FALSE)=BI9,"Férié","")),_xlfn._xlws.FILTER(Date_IA_PIP[Cérémonie],(Date_IA_PIP[Date début]&lt;=BI9)*(Date_IA_PIP[[Date fin ]]&gt;=BI9),"")))</f>
        <v/>
      </c>
      <c r="BJ7" s="104" t="str" cm="1">
        <f t="array" ref="BJ7">_xlfn.SINGLE(IFERROR(IF(WEEKDAY(_xlfn.SINGLE(9:9),2)&gt;5,"WE",IF(VLOOKUP(BJ9,Paramètres!$C$3:$C$42,1,FALSE)=BJ9,"Férié","")),_xlfn._xlws.FILTER(Date_IA_PIP[Cérémonie],(Date_IA_PIP[Date début]&lt;=BJ9)*(Date_IA_PIP[[Date fin ]]&gt;=BJ9),"")))</f>
        <v/>
      </c>
      <c r="BK7" s="104" t="str" cm="1">
        <f t="array" ref="BK7">_xlfn.SINGLE(IFERROR(IF(WEEKDAY(_xlfn.SINGLE(9:9),2)&gt;5,"WE",IF(VLOOKUP(BK9,Paramètres!$C$3:$C$42,1,FALSE)=BK9,"Férié","")),_xlfn._xlws.FILTER(Date_IA_PIP[Cérémonie],(Date_IA_PIP[Date début]&lt;=BK9)*(Date_IA_PIP[[Date fin ]]&gt;=BK9),"")))</f>
        <v/>
      </c>
      <c r="BL7" s="104" t="str" cm="1">
        <f t="array" ref="BL7">_xlfn.SINGLE(IFERROR(IF(WEEKDAY(_xlfn.SINGLE(9:9),2)&gt;5,"WE",IF(VLOOKUP(BL9,Paramètres!$C$3:$C$42,1,FALSE)=BL9,"Férié","")),_xlfn._xlws.FILTER(Date_IA_PIP[Cérémonie],(Date_IA_PIP[Date début]&lt;=BL9)*(Date_IA_PIP[[Date fin ]]&gt;=BL9),"")))</f>
        <v/>
      </c>
      <c r="BM7" s="104" t="str" cm="1">
        <f t="array" ref="BM7">_xlfn.SINGLE(IFERROR(IF(WEEKDAY(_xlfn.SINGLE(9:9),2)&gt;5,"WE",IF(VLOOKUP(BM9,Paramètres!$C$3:$C$42,1,FALSE)=BM9,"Férié","")),_xlfn._xlws.FILTER(Date_IA_PIP[Cérémonie],(Date_IA_PIP[Date début]&lt;=BM9)*(Date_IA_PIP[[Date fin ]]&gt;=BM9),"")))</f>
        <v>WE</v>
      </c>
      <c r="BN7" s="104" t="str" cm="1">
        <f t="array" ref="BN7">_xlfn.SINGLE(IFERROR(IF(WEEKDAY(_xlfn.SINGLE(9:9),2)&gt;5,"WE",IF(VLOOKUP(BN9,Paramètres!$C$3:$C$42,1,FALSE)=BN9,"Férié","")),_xlfn._xlws.FILTER(Date_IA_PIP[Cérémonie],(Date_IA_PIP[Date début]&lt;=BN9)*(Date_IA_PIP[[Date fin ]]&gt;=BN9),"")))</f>
        <v>WE</v>
      </c>
      <c r="BO7" s="104" t="str" cm="1">
        <f t="array" ref="BO7">_xlfn.SINGLE(IFERROR(IF(WEEKDAY(_xlfn.SINGLE(9:9),2)&gt;5,"WE",IF(VLOOKUP(BO9,Paramètres!$C$3:$C$42,1,FALSE)=BO9,"Férié","")),_xlfn._xlws.FILTER(Date_IA_PIP[Cérémonie],(Date_IA_PIP[Date début]&lt;=BO9)*(Date_IA_PIP[[Date fin ]]&gt;=BO9),"")))</f>
        <v/>
      </c>
      <c r="BP7" s="104" t="str" cm="1">
        <f t="array" ref="BP7">_xlfn.SINGLE(IFERROR(IF(WEEKDAY(_xlfn.SINGLE(9:9),2)&gt;5,"WE",IF(VLOOKUP(BP9,Paramètres!$C$3:$C$42,1,FALSE)=BP9,"Férié","")),_xlfn._xlws.FILTER(Date_IA_PIP[Cérémonie],(Date_IA_PIP[Date début]&lt;=BP9)*(Date_IA_PIP[[Date fin ]]&gt;=BP9),"")))</f>
        <v/>
      </c>
      <c r="BQ7" s="104" t="str" cm="1">
        <f t="array" ref="BQ7">_xlfn.SINGLE(IFERROR(IF(WEEKDAY(_xlfn.SINGLE(9:9),2)&gt;5,"WE",IF(VLOOKUP(BQ9,Paramètres!$C$3:$C$42,1,FALSE)=BQ9,"Férié","")),_xlfn._xlws.FILTER(Date_IA_PIP[Cérémonie],(Date_IA_PIP[Date début]&lt;=BQ9)*(Date_IA_PIP[[Date fin ]]&gt;=BQ9),"")))</f>
        <v/>
      </c>
      <c r="BR7" s="104" t="str" cm="1">
        <f t="array" ref="BR7">_xlfn.SINGLE(IFERROR(IF(WEEKDAY(_xlfn.SINGLE(9:9),2)&gt;5,"WE",IF(VLOOKUP(BR9,Paramètres!$C$3:$C$42,1,FALSE)=BR9,"Férié","")),_xlfn._xlws.FILTER(Date_IA_PIP[Cérémonie],(Date_IA_PIP[Date début]&lt;=BR9)*(Date_IA_PIP[[Date fin ]]&gt;=BR9),"")))</f>
        <v/>
      </c>
      <c r="BS7" s="104" t="str" cm="1">
        <f t="array" ref="BS7">_xlfn.SINGLE(IFERROR(IF(WEEKDAY(_xlfn.SINGLE(9:9),2)&gt;5,"WE",IF(VLOOKUP(BS9,Paramètres!$C$3:$C$42,1,FALSE)=BS9,"Férié","")),_xlfn._xlws.FILTER(Date_IA_PIP[Cérémonie],(Date_IA_PIP[Date début]&lt;=BS9)*(Date_IA_PIP[[Date fin ]]&gt;=BS9),"")))</f>
        <v/>
      </c>
      <c r="BT7" s="104" t="str" cm="1">
        <f t="array" ref="BT7">_xlfn.SINGLE(IFERROR(IF(WEEKDAY(_xlfn.SINGLE(9:9),2)&gt;5,"WE",IF(VLOOKUP(BT9,Paramètres!$C$3:$C$42,1,FALSE)=BT9,"Férié","")),_xlfn._xlws.FILTER(Date_IA_PIP[Cérémonie],(Date_IA_PIP[Date début]&lt;=BT9)*(Date_IA_PIP[[Date fin ]]&gt;=BT9),"")))</f>
        <v>WE</v>
      </c>
      <c r="BU7" s="104" t="str" cm="1">
        <f t="array" ref="BU7">_xlfn.SINGLE(IFERROR(IF(WEEKDAY(_xlfn.SINGLE(9:9),2)&gt;5,"WE",IF(VLOOKUP(BU9,Paramètres!$C$3:$C$42,1,FALSE)=BU9,"Férié","")),_xlfn._xlws.FILTER(Date_IA_PIP[Cérémonie],(Date_IA_PIP[Date début]&lt;=BU9)*(Date_IA_PIP[[Date fin ]]&gt;=BU9),"")))</f>
        <v>WE</v>
      </c>
      <c r="BV7" s="104" t="str" cm="1">
        <f t="array" ref="BV7">_xlfn.SINGLE(IFERROR(IF(WEEKDAY(_xlfn.SINGLE(9:9),2)&gt;5,"WE",IF(VLOOKUP(BV9,Paramètres!$C$3:$C$42,1,FALSE)=BV9,"Férié","")),_xlfn._xlws.FILTER(Date_IA_PIP[Cérémonie],(Date_IA_PIP[Date début]&lt;=BV9)*(Date_IA_PIP[[Date fin ]]&gt;=BV9),"")))</f>
        <v/>
      </c>
      <c r="BW7" s="104" t="str" cm="1">
        <f t="array" ref="BW7">_xlfn.SINGLE(IFERROR(IF(WEEKDAY(_xlfn.SINGLE(9:9),2)&gt;5,"WE",IF(VLOOKUP(BW9,Paramètres!$C$3:$C$42,1,FALSE)=BW9,"Férié","")),_xlfn._xlws.FILTER(Date_IA_PIP[Cérémonie],(Date_IA_PIP[Date début]&lt;=BW9)*(Date_IA_PIP[[Date fin ]]&gt;=BW9),"")))</f>
        <v/>
      </c>
      <c r="BX7" s="104" t="str" cm="1">
        <f t="array" ref="BX7">_xlfn.SINGLE(IFERROR(IF(WEEKDAY(_xlfn.SINGLE(9:9),2)&gt;5,"WE",IF(VLOOKUP(BX9,Paramètres!$C$3:$C$42,1,FALSE)=BX9,"Férié","")),_xlfn._xlws.FILTER(Date_IA_PIP[Cérémonie],(Date_IA_PIP[Date début]&lt;=BX9)*(Date_IA_PIP[[Date fin ]]&gt;=BX9),"")))</f>
        <v/>
      </c>
      <c r="BY7" s="104" t="str" cm="1">
        <f t="array" ref="BY7">_xlfn.SINGLE(IFERROR(IF(WEEKDAY(_xlfn.SINGLE(9:9),2)&gt;5,"WE",IF(VLOOKUP(BY9,Paramètres!$C$3:$C$42,1,FALSE)=BY9,"Férié","")),_xlfn._xlws.FILTER(Date_IA_PIP[Cérémonie],(Date_IA_PIP[Date début]&lt;=BY9)*(Date_IA_PIP[[Date fin ]]&gt;=BY9),"")))</f>
        <v/>
      </c>
      <c r="BZ7" s="104" t="str" cm="1">
        <f t="array" ref="BZ7">_xlfn.SINGLE(IFERROR(IF(WEEKDAY(_xlfn.SINGLE(9:9),2)&gt;5,"WE",IF(VLOOKUP(BZ9,Paramètres!$C$3:$C$42,1,FALSE)=BZ9,"Férié","")),_xlfn._xlws.FILTER(Date_IA_PIP[Cérémonie],(Date_IA_PIP[Date début]&lt;=BZ9)*(Date_IA_PIP[[Date fin ]]&gt;=BZ9),"")))</f>
        <v>Présentiel</v>
      </c>
      <c r="CA7" s="104" t="str" cm="1">
        <f t="array" ref="CA7">_xlfn.SINGLE(IFERROR(IF(WEEKDAY(_xlfn.SINGLE(9:9),2)&gt;5,"WE",IF(VLOOKUP(CA9,Paramètres!$C$3:$C$42,1,FALSE)=CA9,"Férié","")),_xlfn._xlws.FILTER(Date_IA_PIP[Cérémonie],(Date_IA_PIP[Date début]&lt;=CA9)*(Date_IA_PIP[[Date fin ]]&gt;=CA9),"")))</f>
        <v>WE</v>
      </c>
      <c r="CB7" s="104" t="str" cm="1">
        <f t="array" ref="CB7">_xlfn.SINGLE(IFERROR(IF(WEEKDAY(_xlfn.SINGLE(9:9),2)&gt;5,"WE",IF(VLOOKUP(CB9,Paramètres!$C$3:$C$42,1,FALSE)=CB9,"Férié","")),_xlfn._xlws.FILTER(Date_IA_PIP[Cérémonie],(Date_IA_PIP[Date début]&lt;=CB9)*(Date_IA_PIP[[Date fin ]]&gt;=CB9),"")))</f>
        <v>WE</v>
      </c>
      <c r="CC7" s="104" t="str" cm="1">
        <f t="array" ref="CC7">_xlfn.SINGLE(IFERROR(IF(WEEKDAY(_xlfn.SINGLE(9:9),2)&gt;5,"WE",IF(VLOOKUP(CC9,Paramètres!$C$3:$C$42,1,FALSE)=CC9,"Férié","")),_xlfn._xlws.FILTER(Date_IA_PIP[Cérémonie],(Date_IA_PIP[Date début]&lt;=CC9)*(Date_IA_PIP[[Date fin ]]&gt;=CC9),"")))</f>
        <v/>
      </c>
      <c r="CD7" s="104" t="str" cm="1">
        <f t="array" ref="CD7">_xlfn.SINGLE(IFERROR(IF(WEEKDAY(_xlfn.SINGLE(9:9),2)&gt;5,"WE",IF(VLOOKUP(CD9,Paramètres!$C$3:$C$42,1,FALSE)=CD9,"Férié","")),_xlfn._xlws.FILTER(Date_IA_PIP[Cérémonie],(Date_IA_PIP[Date début]&lt;=CD9)*(Date_IA_PIP[[Date fin ]]&gt;=CD9),"")))</f>
        <v/>
      </c>
      <c r="CE7" s="104" t="str" cm="1">
        <f t="array" ref="CE7">_xlfn.SINGLE(IFERROR(IF(WEEKDAY(_xlfn.SINGLE(9:9),2)&gt;5,"WE",IF(VLOOKUP(CE9,Paramètres!$C$3:$C$42,1,FALSE)=CE9,"Férié","")),_xlfn._xlws.FILTER(Date_IA_PIP[Cérémonie],(Date_IA_PIP[Date début]&lt;=CE9)*(Date_IA_PIP[[Date fin ]]&gt;=CE9),"")))</f>
        <v/>
      </c>
      <c r="CF7" s="104" t="str" cm="1">
        <f t="array" ref="CF7">_xlfn.SINGLE(IFERROR(IF(WEEKDAY(_xlfn.SINGLE(9:9),2)&gt;5,"WE",IF(VLOOKUP(CF9,Paramètres!$C$3:$C$42,1,FALSE)=CF9,"Férié","")),_xlfn._xlws.FILTER(Date_IA_PIP[Cérémonie],(Date_IA_PIP[Date début]&lt;=CF9)*(Date_IA_PIP[[Date fin ]]&gt;=CF9),"")))</f>
        <v/>
      </c>
      <c r="CG7" s="104" t="str" cm="1">
        <f t="array" ref="CG7">_xlfn.SINGLE(IFERROR(IF(WEEKDAY(_xlfn.SINGLE(9:9),2)&gt;5,"WE",IF(VLOOKUP(CG9,Paramètres!$C$3:$C$42,1,FALSE)=CG9,"Férié","")),_xlfn._xlws.FILTER(Date_IA_PIP[Cérémonie],(Date_IA_PIP[Date début]&lt;=CG9)*(Date_IA_PIP[[Date fin ]]&gt;=CG9),"")))</f>
        <v/>
      </c>
      <c r="CH7" s="104" t="str" cm="1">
        <f t="array" ref="CH7">_xlfn.SINGLE(IFERROR(IF(WEEKDAY(_xlfn.SINGLE(9:9),2)&gt;5,"WE",IF(VLOOKUP(CH9,Paramètres!$C$3:$C$42,1,FALSE)=CH9,"Férié","")),_xlfn._xlws.FILTER(Date_IA_PIP[Cérémonie],(Date_IA_PIP[Date début]&lt;=CH9)*(Date_IA_PIP[[Date fin ]]&gt;=CH9),"")))</f>
        <v>WE</v>
      </c>
      <c r="CI7" s="104" t="str" cm="1">
        <f t="array" ref="CI7">_xlfn.SINGLE(IFERROR(IF(WEEKDAY(_xlfn.SINGLE(9:9),2)&gt;5,"WE",IF(VLOOKUP(CI9,Paramètres!$C$3:$C$42,1,FALSE)=CI9,"Férié","")),_xlfn._xlws.FILTER(Date_IA_PIP[Cérémonie],(Date_IA_PIP[Date début]&lt;=CI9)*(Date_IA_PIP[[Date fin ]]&gt;=CI9),"")))</f>
        <v>WE</v>
      </c>
      <c r="CJ7" s="104" t="str" cm="1">
        <f t="array" ref="CJ7">_xlfn.SINGLE(IFERROR(IF(WEEKDAY(_xlfn.SINGLE(9:9),2)&gt;5,"WE",IF(VLOOKUP(CJ9,Paramètres!$C$3:$C$42,1,FALSE)=CJ9,"Férié","")),_xlfn._xlws.FILTER(Date_IA_PIP[Cérémonie],(Date_IA_PIP[Date début]&lt;=CJ9)*(Date_IA_PIP[[Date fin ]]&gt;=CJ9),"")))</f>
        <v/>
      </c>
      <c r="CK7" s="104" t="str" cm="1">
        <f t="array" ref="CK7">_xlfn.SINGLE(IFERROR(IF(WEEKDAY(_xlfn.SINGLE(9:9),2)&gt;5,"WE",IF(VLOOKUP(CK9,Paramètres!$C$3:$C$42,1,FALSE)=CK9,"Férié","")),_xlfn._xlws.FILTER(Date_IA_PIP[Cérémonie],(Date_IA_PIP[Date début]&lt;=CK9)*(Date_IA_PIP[[Date fin ]]&gt;=CK9),"")))</f>
        <v/>
      </c>
      <c r="CL7" s="104" t="str" cm="1">
        <f t="array" ref="CL7">_xlfn.SINGLE(IFERROR(IF(WEEKDAY(_xlfn.SINGLE(9:9),2)&gt;5,"WE",IF(VLOOKUP(CL9,Paramètres!$C$3:$C$42,1,FALSE)=CL9,"Férié","")),_xlfn._xlws.FILTER(Date_IA_PIP[Cérémonie],(Date_IA_PIP[Date début]&lt;=CL9)*(Date_IA_PIP[[Date fin ]]&gt;=CL9),"")))</f>
        <v/>
      </c>
      <c r="CM7" s="104" t="str" cm="1">
        <f t="array" ref="CM7">_xlfn.SINGLE(IFERROR(IF(WEEKDAY(_xlfn.SINGLE(9:9),2)&gt;5,"WE",IF(VLOOKUP(CM9,Paramètres!$C$3:$C$42,1,FALSE)=CM9,"Férié","")),_xlfn._xlws.FILTER(Date_IA_PIP[Cérémonie],(Date_IA_PIP[Date début]&lt;=CM9)*(Date_IA_PIP[[Date fin ]]&gt;=CM9),"")))</f>
        <v/>
      </c>
      <c r="CN7" s="104" t="str" cm="1">
        <f t="array" ref="CN7">_xlfn.SINGLE(IFERROR(IF(WEEKDAY(_xlfn.SINGLE(9:9),2)&gt;5,"WE",IF(VLOOKUP(CN9,Paramètres!$C$3:$C$42,1,FALSE)=CN9,"Férié","")),_xlfn._xlws.FILTER(Date_IA_PIP[Cérémonie],(Date_IA_PIP[Date début]&lt;=CN9)*(Date_IA_PIP[[Date fin ]]&gt;=CN9),"")))</f>
        <v/>
      </c>
      <c r="CO7" s="104" t="str" cm="1">
        <f t="array" ref="CO7">_xlfn.SINGLE(IFERROR(IF(WEEKDAY(_xlfn.SINGLE(9:9),2)&gt;5,"WE",IF(VLOOKUP(CO9,Paramètres!$C$3:$C$42,1,FALSE)=CO9,"Férié","")),_xlfn._xlws.FILTER(Date_IA_PIP[Cérémonie],(Date_IA_PIP[Date début]&lt;=CO9)*(Date_IA_PIP[[Date fin ]]&gt;=CO9),"")))</f>
        <v>WE</v>
      </c>
      <c r="CP7" s="104" t="str" cm="1">
        <f t="array" ref="CP7">_xlfn.SINGLE(IFERROR(IF(WEEKDAY(_xlfn.SINGLE(9:9),2)&gt;5,"WE",IF(VLOOKUP(CP9,Paramètres!$C$3:$C$42,1,FALSE)=CP9,"Férié","")),_xlfn._xlws.FILTER(Date_IA_PIP[Cérémonie],(Date_IA_PIP[Date début]&lt;=CP9)*(Date_IA_PIP[[Date fin ]]&gt;=CP9),"")))</f>
        <v>WE</v>
      </c>
      <c r="CQ7" s="104" t="str" cm="1">
        <f t="array" ref="CQ7">_xlfn.SINGLE(IFERROR(IF(WEEKDAY(_xlfn.SINGLE(9:9),2)&gt;5,"WE",IF(VLOOKUP(CQ9,Paramètres!$C$3:$C$42,1,FALSE)=CQ9,"Férié","")),_xlfn._xlws.FILTER(Date_IA_PIP[Cérémonie],(Date_IA_PIP[Date début]&lt;=CQ9)*(Date_IA_PIP[[Date fin ]]&gt;=CQ9),"")))</f>
        <v/>
      </c>
      <c r="CR7" s="104" t="str" cm="1">
        <f t="array" ref="CR7">_xlfn.SINGLE(IFERROR(IF(WEEKDAY(_xlfn.SINGLE(9:9),2)&gt;5,"WE",IF(VLOOKUP(CR9,Paramètres!$C$3:$C$42,1,FALSE)=CR9,"Férié","")),_xlfn._xlws.FILTER(Date_IA_PIP[Cérémonie],(Date_IA_PIP[Date début]&lt;=CR9)*(Date_IA_PIP[[Date fin ]]&gt;=CR9),"")))</f>
        <v>I&amp;A</v>
      </c>
      <c r="CS7" s="104" t="str" cm="1">
        <f t="array" ref="CS7">_xlfn.SINGLE(IFERROR(IF(WEEKDAY(_xlfn.SINGLE(9:9),2)&gt;5,"WE",IF(VLOOKUP(CS9,Paramètres!$C$3:$C$42,1,FALSE)=CS9,"Férié","")),_xlfn._xlws.FILTER(Date_IA_PIP[Cérémonie],(Date_IA_PIP[Date début]&lt;=CS9)*(Date_IA_PIP[[Date fin ]]&gt;=CS9),"")))</f>
        <v>PIP</v>
      </c>
      <c r="CT7" s="104" t="str" cm="1">
        <f t="array" ref="CT7">_xlfn.SINGLE(IFERROR(IF(WEEKDAY(_xlfn.SINGLE(9:9),2)&gt;5,"WE",IF(VLOOKUP(CT9,Paramètres!$C$3:$C$42,1,FALSE)=CT9,"Férié","")),_xlfn._xlws.FILTER(Date_IA_PIP[Cérémonie],(Date_IA_PIP[Date début]&lt;=CT9)*(Date_IA_PIP[[Date fin ]]&gt;=CT9),"")))</f>
        <v>PIP</v>
      </c>
      <c r="CU7" s="104" t="str" cm="1">
        <f t="array" ref="CU7">_xlfn.SINGLE(IFERROR(IF(WEEKDAY(_xlfn.SINGLE(9:9),2)&gt;5,"WE",IF(VLOOKUP(CU9,Paramètres!$C$3:$C$42,1,FALSE)=CU9,"Férié","")),_xlfn._xlws.FILTER(Date_IA_PIP[Cérémonie],(Date_IA_PIP[Date début]&lt;=CU9)*(Date_IA_PIP[[Date fin ]]&gt;=CU9),"")))</f>
        <v/>
      </c>
      <c r="CV7" s="104" t="str" cm="1">
        <f t="array" ref="CV7">_xlfn.SINGLE(IFERROR(IF(WEEKDAY(_xlfn.SINGLE(9:9),2)&gt;5,"WE",IF(VLOOKUP(CV9,Paramètres!$C$3:$C$42,1,FALSE)=CV9,"Férié","")),_xlfn._xlws.FILTER(Date_IA_PIP[Cérémonie],(Date_IA_PIP[Date début]&lt;=CV9)*(Date_IA_PIP[[Date fin ]]&gt;=CV9),"")))</f>
        <v>WE</v>
      </c>
      <c r="CW7" s="104" t="str" cm="1">
        <f t="array" ref="CW7">_xlfn.SINGLE(IFERROR(IF(WEEKDAY(_xlfn.SINGLE(9:9),2)&gt;5,"WE",IF(VLOOKUP(CW9,Paramètres!$C$3:$C$42,1,FALSE)=CW9,"Férié","")),_xlfn._xlws.FILTER(Date_IA_PIP[Cérémonie],(Date_IA_PIP[Date début]&lt;=CW9)*(Date_IA_PIP[[Date fin ]]&gt;=CW9),"")))</f>
        <v>WE</v>
      </c>
      <c r="CX7" s="104" t="str" cm="1">
        <f t="array" ref="CX7">_xlfn.SINGLE(IFERROR(IF(WEEKDAY(_xlfn.SINGLE(9:9),2)&gt;5,"WE",IF(VLOOKUP(CX9,Paramètres!$C$3:$C$42,1,FALSE)=CX9,"Férié","")),_xlfn._xlws.FILTER(Date_IA_PIP[Cérémonie],(Date_IA_PIP[Date début]&lt;=CX9)*(Date_IA_PIP[[Date fin ]]&gt;=CX9),"")))</f>
        <v/>
      </c>
      <c r="CY7" s="104" t="str" cm="1">
        <f t="array" ref="CY7">_xlfn.SINGLE(IFERROR(IF(WEEKDAY(_xlfn.SINGLE(9:9),2)&gt;5,"WE",IF(VLOOKUP(CY9,Paramètres!$C$3:$C$42,1,FALSE)=CY9,"Férié","")),_xlfn._xlws.FILTER(Date_IA_PIP[Cérémonie],(Date_IA_PIP[Date début]&lt;=CY9)*(Date_IA_PIP[[Date fin ]]&gt;=CY9),"")))</f>
        <v/>
      </c>
      <c r="CZ7" s="104" t="str" cm="1">
        <f t="array" ref="CZ7">_xlfn.SINGLE(IFERROR(IF(WEEKDAY(_xlfn.SINGLE(9:9),2)&gt;5,"WE",IF(VLOOKUP(CZ9,Paramètres!$C$3:$C$42,1,FALSE)=CZ9,"Férié","")),_xlfn._xlws.FILTER(Date_IA_PIP[Cérémonie],(Date_IA_PIP[Date début]&lt;=CZ9)*(Date_IA_PIP[[Date fin ]]&gt;=CZ9),"")))</f>
        <v/>
      </c>
      <c r="DA7" s="104" t="str" cm="1">
        <f t="array" ref="DA7">_xlfn.SINGLE(IFERROR(IF(WEEKDAY(_xlfn.SINGLE(9:9),2)&gt;5,"WE",IF(VLOOKUP(DA9,Paramètres!$C$3:$C$42,1,FALSE)=DA9,"Férié","")),_xlfn._xlws.FILTER(Date_IA_PIP[Cérémonie],(Date_IA_PIP[Date début]&lt;=DA9)*(Date_IA_PIP[[Date fin ]]&gt;=DA9),"")))</f>
        <v/>
      </c>
      <c r="DB7" s="104" t="str" cm="1">
        <f t="array" ref="DB7">_xlfn.SINGLE(IFERROR(IF(WEEKDAY(_xlfn.SINGLE(9:9),2)&gt;5,"WE",IF(VLOOKUP(DB9,Paramètres!$C$3:$C$42,1,FALSE)=DB9,"Férié","")),_xlfn._xlws.FILTER(Date_IA_PIP[Cérémonie],(Date_IA_PIP[Date début]&lt;=DB9)*(Date_IA_PIP[[Date fin ]]&gt;=DB9),"")))</f>
        <v/>
      </c>
      <c r="DC7" s="104" t="str" cm="1">
        <f t="array" ref="DC7">_xlfn.SINGLE(IFERROR(IF(WEEKDAY(_xlfn.SINGLE(9:9),2)&gt;5,"WE",IF(VLOOKUP(DC9,Paramètres!$C$3:$C$42,1,FALSE)=DC9,"Férié","")),_xlfn._xlws.FILTER(Date_IA_PIP[Cérémonie],(Date_IA_PIP[Date début]&lt;=DC9)*(Date_IA_PIP[[Date fin ]]&gt;=DC9),"")))</f>
        <v>WE</v>
      </c>
      <c r="DD7" s="104" t="str" cm="1">
        <f t="array" ref="DD7">_xlfn.SINGLE(IFERROR(IF(WEEKDAY(_xlfn.SINGLE(9:9),2)&gt;5,"WE",IF(VLOOKUP(DD9,Paramètres!$C$3:$C$42,1,FALSE)=DD9,"Férié","")),_xlfn._xlws.FILTER(Date_IA_PIP[Cérémonie],(Date_IA_PIP[Date début]&lt;=DD9)*(Date_IA_PIP[[Date fin ]]&gt;=DD9),"")))</f>
        <v>WE</v>
      </c>
      <c r="DE7" s="104" t="str" cm="1">
        <f t="array" ref="DE7">_xlfn.SINGLE(IFERROR(IF(WEEKDAY(_xlfn.SINGLE(9:9),2)&gt;5,"WE",IF(VLOOKUP(DE9,Paramètres!$C$3:$C$42,1,FALSE)=DE9,"Férié","")),_xlfn._xlws.FILTER(Date_IA_PIP[Cérémonie],(Date_IA_PIP[Date début]&lt;=DE9)*(Date_IA_PIP[[Date fin ]]&gt;=DE9),"")))</f>
        <v/>
      </c>
      <c r="DF7" s="104" t="str" cm="1">
        <f t="array" ref="DF7">_xlfn.SINGLE(IFERROR(IF(WEEKDAY(_xlfn.SINGLE(9:9),2)&gt;5,"WE",IF(VLOOKUP(DF9,Paramètres!$C$3:$C$42,1,FALSE)=DF9,"Férié","")),_xlfn._xlws.FILTER(Date_IA_PIP[Cérémonie],(Date_IA_PIP[Date début]&lt;=DF9)*(Date_IA_PIP[[Date fin ]]&gt;=DF9),"")))</f>
        <v/>
      </c>
      <c r="DG7" s="104" t="str" cm="1">
        <f t="array" ref="DG7">_xlfn.SINGLE(IFERROR(IF(WEEKDAY(_xlfn.SINGLE(9:9),2)&gt;5,"WE",IF(VLOOKUP(DG9,Paramètres!$C$3:$C$42,1,FALSE)=DG9,"Férié","")),_xlfn._xlws.FILTER(Date_IA_PIP[Cérémonie],(Date_IA_PIP[Date début]&lt;=DG9)*(Date_IA_PIP[[Date fin ]]&gt;=DG9),"")))</f>
        <v/>
      </c>
      <c r="DH7" s="104" t="str" cm="1">
        <f t="array" ref="DH7">_xlfn.SINGLE(IFERROR(IF(WEEKDAY(_xlfn.SINGLE(9:9),2)&gt;5,"WE",IF(VLOOKUP(DH9,Paramètres!$C$3:$C$42,1,FALSE)=DH9,"Férié","")),_xlfn._xlws.FILTER(Date_IA_PIP[Cérémonie],(Date_IA_PIP[Date début]&lt;=DH9)*(Date_IA_PIP[[Date fin ]]&gt;=DH9),"")))</f>
        <v/>
      </c>
      <c r="DI7" s="104" t="str" cm="1">
        <f t="array" ref="DI7">_xlfn.SINGLE(IFERROR(IF(WEEKDAY(_xlfn.SINGLE(9:9),2)&gt;5,"WE",IF(VLOOKUP(DI9,Paramètres!$C$3:$C$42,1,FALSE)=DI9,"Férié","")),_xlfn._xlws.FILTER(Date_IA_PIP[Cérémonie],(Date_IA_PIP[Date début]&lt;=DI9)*(Date_IA_PIP[[Date fin ]]&gt;=DI9),"")))</f>
        <v/>
      </c>
      <c r="DJ7" s="104" t="str" cm="1">
        <f t="array" ref="DJ7">_xlfn.SINGLE(IFERROR(IF(WEEKDAY(_xlfn.SINGLE(9:9),2)&gt;5,"WE",IF(VLOOKUP(DJ9,Paramètres!$C$3:$C$42,1,FALSE)=DJ9,"Férié","")),_xlfn._xlws.FILTER(Date_IA_PIP[Cérémonie],(Date_IA_PIP[Date début]&lt;=DJ9)*(Date_IA_PIP[[Date fin ]]&gt;=DJ9),"")))</f>
        <v>WE</v>
      </c>
      <c r="DK7" s="104" t="str" cm="1">
        <f t="array" ref="DK7">_xlfn.SINGLE(IFERROR(IF(WEEKDAY(_xlfn.SINGLE(9:9),2)&gt;5,"WE",IF(VLOOKUP(DK9,Paramètres!$C$3:$C$42,1,FALSE)=DK9,"Férié","")),_xlfn._xlws.FILTER(Date_IA_PIP[Cérémonie],(Date_IA_PIP[Date début]&lt;=DK9)*(Date_IA_PIP[[Date fin ]]&gt;=DK9),"")))</f>
        <v>WE</v>
      </c>
      <c r="DL7" s="104" t="str" cm="1">
        <f t="array" ref="DL7">_xlfn.SINGLE(IFERROR(IF(WEEKDAY(_xlfn.SINGLE(9:9),2)&gt;5,"WE",IF(VLOOKUP(DL9,Paramètres!$C$3:$C$42,1,FALSE)=DL9,"Férié","")),_xlfn._xlws.FILTER(Date_IA_PIP[Cérémonie],(Date_IA_PIP[Date début]&lt;=DL9)*(Date_IA_PIP[[Date fin ]]&gt;=DL9),"")))</f>
        <v/>
      </c>
      <c r="DM7" s="104" t="str" cm="1">
        <f t="array" ref="DM7">_xlfn.SINGLE(IFERROR(IF(WEEKDAY(_xlfn.SINGLE(9:9),2)&gt;5,"WE",IF(VLOOKUP(DM9,Paramètres!$C$3:$C$42,1,FALSE)=DM9,"Férié","")),_xlfn._xlws.FILTER(Date_IA_PIP[Cérémonie],(Date_IA_PIP[Date début]&lt;=DM9)*(Date_IA_PIP[[Date fin ]]&gt;=DM9),"")))</f>
        <v/>
      </c>
      <c r="DN7" s="104" t="str" cm="1">
        <f t="array" ref="DN7">_xlfn.SINGLE(IFERROR(IF(WEEKDAY(_xlfn.SINGLE(9:9),2)&gt;5,"WE",IF(VLOOKUP(DN9,Paramètres!$C$3:$C$42,1,FALSE)=DN9,"Férié","")),_xlfn._xlws.FILTER(Date_IA_PIP[Cérémonie],(Date_IA_PIP[Date début]&lt;=DN9)*(Date_IA_PIP[[Date fin ]]&gt;=DN9),"")))</f>
        <v/>
      </c>
      <c r="DO7" s="104" t="str" cm="1">
        <f t="array" ref="DO7">_xlfn.SINGLE(IFERROR(IF(WEEKDAY(_xlfn.SINGLE(9:9),2)&gt;5,"WE",IF(VLOOKUP(DO9,Paramètres!$C$3:$C$42,1,FALSE)=DO9,"Férié","")),_xlfn._xlws.FILTER(Date_IA_PIP[Cérémonie],(Date_IA_PIP[Date début]&lt;=DO9)*(Date_IA_PIP[[Date fin ]]&gt;=DO9),"")))</f>
        <v/>
      </c>
      <c r="DP7" s="104" t="str" cm="1">
        <f t="array" ref="DP7">_xlfn.SINGLE(IFERROR(IF(WEEKDAY(_xlfn.SINGLE(9:9),2)&gt;5,"WE",IF(VLOOKUP(DP9,Paramètres!$C$3:$C$42,1,FALSE)=DP9,"Férié","")),_xlfn._xlws.FILTER(Date_IA_PIP[Cérémonie],(Date_IA_PIP[Date début]&lt;=DP9)*(Date_IA_PIP[[Date fin ]]&gt;=DP9),"")))</f>
        <v/>
      </c>
      <c r="DQ7" s="104" t="str" cm="1">
        <f t="array" ref="DQ7">_xlfn.SINGLE(IFERROR(IF(WEEKDAY(_xlfn.SINGLE(9:9),2)&gt;5,"WE",IF(VLOOKUP(DQ9,Paramètres!$C$3:$C$42,1,FALSE)=DQ9,"Férié","")),_xlfn._xlws.FILTER(Date_IA_PIP[Cérémonie],(Date_IA_PIP[Date début]&lt;=DQ9)*(Date_IA_PIP[[Date fin ]]&gt;=DQ9),"")))</f>
        <v>WE</v>
      </c>
      <c r="DR7" s="104" t="str" cm="1">
        <f t="array" ref="DR7">_xlfn.SINGLE(IFERROR(IF(WEEKDAY(_xlfn.SINGLE(9:9),2)&gt;5,"WE",IF(VLOOKUP(DR9,Paramètres!$C$3:$C$42,1,FALSE)=DR9,"Férié","")),_xlfn._xlws.FILTER(Date_IA_PIP[Cérémonie],(Date_IA_PIP[Date début]&lt;=DR9)*(Date_IA_PIP[[Date fin ]]&gt;=DR9),"")))</f>
        <v>WE</v>
      </c>
      <c r="DS7" s="104" t="str" cm="1">
        <f t="array" ref="DS7">_xlfn.SINGLE(IFERROR(IF(WEEKDAY(_xlfn.SINGLE(9:9),2)&gt;5,"WE",IF(VLOOKUP(DS9,Paramètres!$C$3:$C$42,1,FALSE)=DS9,"Férié","")),_xlfn._xlws.FILTER(Date_IA_PIP[Cérémonie],(Date_IA_PIP[Date début]&lt;=DS9)*(Date_IA_PIP[[Date fin ]]&gt;=DS9),"")))</f>
        <v/>
      </c>
      <c r="DT7" s="104" t="str" cm="1">
        <f t="array" ref="DT7">_xlfn.SINGLE(IFERROR(IF(WEEKDAY(_xlfn.SINGLE(9:9),2)&gt;5,"WE",IF(VLOOKUP(DT9,Paramètres!$C$3:$C$42,1,FALSE)=DT9,"Férié","")),_xlfn._xlws.FILTER(Date_IA_PIP[Cérémonie],(Date_IA_PIP[Date début]&lt;=DT9)*(Date_IA_PIP[[Date fin ]]&gt;=DT9),"")))</f>
        <v/>
      </c>
      <c r="DU7" s="104" t="str" cm="1">
        <f t="array" ref="DU7">_xlfn.SINGLE(IFERROR(IF(WEEKDAY(_xlfn.SINGLE(9:9),2)&gt;5,"WE",IF(VLOOKUP(DU9,Paramètres!$C$3:$C$42,1,FALSE)=DU9,"Férié","")),_xlfn._xlws.FILTER(Date_IA_PIP[Cérémonie],(Date_IA_PIP[Date début]&lt;=DU9)*(Date_IA_PIP[[Date fin ]]&gt;=DU9),"")))</f>
        <v/>
      </c>
      <c r="DV7" s="104" t="str" cm="1">
        <f t="array" ref="DV7">_xlfn.SINGLE(IFERROR(IF(WEEKDAY(_xlfn.SINGLE(9:9),2)&gt;5,"WE",IF(VLOOKUP(DV9,Paramètres!$C$3:$C$42,1,FALSE)=DV9,"Férié","")),_xlfn._xlws.FILTER(Date_IA_PIP[Cérémonie],(Date_IA_PIP[Date début]&lt;=DV9)*(Date_IA_PIP[[Date fin ]]&gt;=DV9),"")))</f>
        <v/>
      </c>
      <c r="DW7" s="104" t="str" cm="1">
        <f t="array" ref="DW7">_xlfn.SINGLE(IFERROR(IF(WEEKDAY(_xlfn.SINGLE(9:9),2)&gt;5,"WE",IF(VLOOKUP(DW9,Paramètres!$C$3:$C$42,1,FALSE)=DW9,"Férié","")),_xlfn._xlws.FILTER(Date_IA_PIP[Cérémonie],(Date_IA_PIP[Date début]&lt;=DW9)*(Date_IA_PIP[[Date fin ]]&gt;=DW9),"")))</f>
        <v/>
      </c>
      <c r="DX7" s="104" t="str" cm="1">
        <f t="array" ref="DX7">_xlfn.SINGLE(IFERROR(IF(WEEKDAY(_xlfn.SINGLE(9:9),2)&gt;5,"WE",IF(VLOOKUP(DX9,Paramètres!$C$3:$C$42,1,FALSE)=DX9,"Férié","")),_xlfn._xlws.FILTER(Date_IA_PIP[Cérémonie],(Date_IA_PIP[Date début]&lt;=DX9)*(Date_IA_PIP[[Date fin ]]&gt;=DX9),"")))</f>
        <v>WE</v>
      </c>
      <c r="DY7" s="104" t="str" cm="1">
        <f t="array" ref="DY7">_xlfn.SINGLE(IFERROR(IF(WEEKDAY(_xlfn.SINGLE(9:9),2)&gt;5,"WE",IF(VLOOKUP(DY9,Paramètres!$C$3:$C$42,1,FALSE)=DY9,"Férié","")),_xlfn._xlws.FILTER(Date_IA_PIP[Cérémonie],(Date_IA_PIP[Date début]&lt;=DY9)*(Date_IA_PIP[[Date fin ]]&gt;=DY9),"")))</f>
        <v>WE</v>
      </c>
      <c r="DZ7" s="104" t="str" cm="1">
        <f t="array" ref="DZ7">_xlfn.SINGLE(IFERROR(IF(WEEKDAY(_xlfn.SINGLE(9:9),2)&gt;5,"WE",IF(VLOOKUP(DZ9,Paramètres!$C$3:$C$42,1,FALSE)=DZ9,"Férié","")),_xlfn._xlws.FILTER(Date_IA_PIP[Cérémonie],(Date_IA_PIP[Date début]&lt;=DZ9)*(Date_IA_PIP[[Date fin ]]&gt;=DZ9),"")))</f>
        <v/>
      </c>
      <c r="EA7" s="104" t="str" cm="1">
        <f t="array" ref="EA7">_xlfn.SINGLE(IFERROR(IF(WEEKDAY(_xlfn.SINGLE(9:9),2)&gt;5,"WE",IF(VLOOKUP(EA9,Paramètres!$C$3:$C$42,1,FALSE)=EA9,"Férié","")),_xlfn._xlws.FILTER(Date_IA_PIP[Cérémonie],(Date_IA_PIP[Date début]&lt;=EA9)*(Date_IA_PIP[[Date fin ]]&gt;=EA9),"")))</f>
        <v/>
      </c>
      <c r="EB7" s="104" t="str" cm="1">
        <f t="array" ref="EB7">_xlfn.SINGLE(IFERROR(IF(WEEKDAY(_xlfn.SINGLE(9:9),2)&gt;5,"WE",IF(VLOOKUP(EB9,Paramètres!$C$3:$C$42,1,FALSE)=EB9,"Férié","")),_xlfn._xlws.FILTER(Date_IA_PIP[Cérémonie],(Date_IA_PIP[Date début]&lt;=EB9)*(Date_IA_PIP[[Date fin ]]&gt;=EB9),"")))</f>
        <v/>
      </c>
      <c r="EC7" s="104" t="str" cm="1">
        <f t="array" ref="EC7">_xlfn.SINGLE(IFERROR(IF(WEEKDAY(_xlfn.SINGLE(9:9),2)&gt;5,"WE",IF(VLOOKUP(EC9,Paramètres!$C$3:$C$42,1,FALSE)=EC9,"Férié","")),_xlfn._xlws.FILTER(Date_IA_PIP[Cérémonie],(Date_IA_PIP[Date début]&lt;=EC9)*(Date_IA_PIP[[Date fin ]]&gt;=EC9),"")))</f>
        <v/>
      </c>
      <c r="ED7" s="104" t="str" cm="1">
        <f t="array" ref="ED7">_xlfn.SINGLE(IFERROR(IF(WEEKDAY(_xlfn.SINGLE(9:9),2)&gt;5,"WE",IF(VLOOKUP(ED9,Paramètres!$C$3:$C$42,1,FALSE)=ED9,"Férié","")),_xlfn._xlws.FILTER(Date_IA_PIP[Cérémonie],(Date_IA_PIP[Date début]&lt;=ED9)*(Date_IA_PIP[[Date fin ]]&gt;=ED9),"")))</f>
        <v/>
      </c>
      <c r="EE7" s="104" t="str" cm="1">
        <f t="array" ref="EE7">_xlfn.SINGLE(IFERROR(IF(WEEKDAY(_xlfn.SINGLE(9:9),2)&gt;5,"WE",IF(VLOOKUP(EE9,Paramètres!$C$3:$C$42,1,FALSE)=EE9,"Férié","")),_xlfn._xlws.FILTER(Date_IA_PIP[Cérémonie],(Date_IA_PIP[Date début]&lt;=EE9)*(Date_IA_PIP[[Date fin ]]&gt;=EE9),"")))</f>
        <v>WE</v>
      </c>
      <c r="EF7" s="104" t="str" cm="1">
        <f t="array" ref="EF7">_xlfn.SINGLE(IFERROR(IF(WEEKDAY(_xlfn.SINGLE(9:9),2)&gt;5,"WE",IF(VLOOKUP(EF9,Paramètres!$C$3:$C$42,1,FALSE)=EF9,"Férié","")),_xlfn._xlws.FILTER(Date_IA_PIP[Cérémonie],(Date_IA_PIP[Date début]&lt;=EF9)*(Date_IA_PIP[[Date fin ]]&gt;=EF9),"")))</f>
        <v>WE</v>
      </c>
      <c r="EG7" s="104" t="str" cm="1">
        <f t="array" ref="EG7">_xlfn.SINGLE(IFERROR(IF(WEEKDAY(_xlfn.SINGLE(9:9),2)&gt;5,"WE",IF(VLOOKUP(EG9,Paramètres!$C$3:$C$42,1,FALSE)=EG9,"Férié","")),_xlfn._xlws.FILTER(Date_IA_PIP[Cérémonie],(Date_IA_PIP[Date début]&lt;=EG9)*(Date_IA_PIP[[Date fin ]]&gt;=EG9),"")))</f>
        <v/>
      </c>
      <c r="EH7" s="104" t="str" cm="1">
        <f t="array" ref="EH7">_xlfn.SINGLE(IFERROR(IF(WEEKDAY(_xlfn.SINGLE(9:9),2)&gt;5,"WE",IF(VLOOKUP(EH9,Paramètres!$C$3:$C$42,1,FALSE)=EH9,"Férié","")),_xlfn._xlws.FILTER(Date_IA_PIP[Cérémonie],(Date_IA_PIP[Date début]&lt;=EH9)*(Date_IA_PIP[[Date fin ]]&gt;=EH9),"")))</f>
        <v/>
      </c>
      <c r="EI7" s="104" t="str" cm="1">
        <f t="array" ref="EI7">_xlfn.SINGLE(IFERROR(IF(WEEKDAY(_xlfn.SINGLE(9:9),2)&gt;5,"WE",IF(VLOOKUP(EI9,Paramètres!$C$3:$C$42,1,FALSE)=EI9,"Férié","")),_xlfn._xlws.FILTER(Date_IA_PIP[Cérémonie],(Date_IA_PIP[Date début]&lt;=EI9)*(Date_IA_PIP[[Date fin ]]&gt;=EI9),"")))</f>
        <v/>
      </c>
      <c r="EJ7" s="104" t="str" cm="1">
        <f t="array" ref="EJ7">_xlfn.SINGLE(IFERROR(IF(WEEKDAY(_xlfn.SINGLE(9:9),2)&gt;5,"WE",IF(VLOOKUP(EJ9,Paramètres!$C$3:$C$42,1,FALSE)=EJ9,"Férié","")),_xlfn._xlws.FILTER(Date_IA_PIP[Cérémonie],(Date_IA_PIP[Date début]&lt;=EJ9)*(Date_IA_PIP[[Date fin ]]&gt;=EJ9),"")))</f>
        <v/>
      </c>
      <c r="EK7" s="104" t="str" cm="1">
        <f t="array" ref="EK7">_xlfn.SINGLE(IFERROR(IF(WEEKDAY(_xlfn.SINGLE(9:9),2)&gt;5,"WE",IF(VLOOKUP(EK9,Paramètres!$C$3:$C$42,1,FALSE)=EK9,"Férié","")),_xlfn._xlws.FILTER(Date_IA_PIP[Cérémonie],(Date_IA_PIP[Date début]&lt;=EK9)*(Date_IA_PIP[[Date fin ]]&gt;=EK9),"")))</f>
        <v/>
      </c>
      <c r="EL7" s="104" t="str" cm="1">
        <f t="array" ref="EL7">_xlfn.SINGLE(IFERROR(IF(WEEKDAY(_xlfn.SINGLE(9:9),2)&gt;5,"WE",IF(VLOOKUP(EL9,Paramètres!$C$3:$C$42,1,FALSE)=EL9,"Férié","")),_xlfn._xlws.FILTER(Date_IA_PIP[Cérémonie],(Date_IA_PIP[Date début]&lt;=EL9)*(Date_IA_PIP[[Date fin ]]&gt;=EL9),"")))</f>
        <v>WE</v>
      </c>
      <c r="EM7" s="104" t="str" cm="1">
        <f t="array" ref="EM7">_xlfn.SINGLE(IFERROR(IF(WEEKDAY(_xlfn.SINGLE(9:9),2)&gt;5,"WE",IF(VLOOKUP(EM9,Paramètres!$C$3:$C$42,1,FALSE)=EM9,"Férié","")),_xlfn._xlws.FILTER(Date_IA_PIP[Cérémonie],(Date_IA_PIP[Date début]&lt;=EM9)*(Date_IA_PIP[[Date fin ]]&gt;=EM9),"")))</f>
        <v>WE</v>
      </c>
      <c r="EN7" s="104" t="str" cm="1">
        <f t="array" ref="EN7">_xlfn.SINGLE(IFERROR(IF(WEEKDAY(_xlfn.SINGLE(9:9),2)&gt;5,"WE",IF(VLOOKUP(EN9,Paramètres!$C$3:$C$42,1,FALSE)=EN9,"Férié","")),_xlfn._xlws.FILTER(Date_IA_PIP[Cérémonie],(Date_IA_PIP[Date début]&lt;=EN9)*(Date_IA_PIP[[Date fin ]]&gt;=EN9),"")))</f>
        <v>Férié</v>
      </c>
      <c r="EO7" s="104" t="str" cm="1">
        <f t="array" ref="EO7">_xlfn.SINGLE(IFERROR(IF(WEEKDAY(_xlfn.SINGLE(9:9),2)&gt;5,"WE",IF(VLOOKUP(EO9,Paramètres!$C$3:$C$42,1,FALSE)=EO9,"Férié","")),_xlfn._xlws.FILTER(Date_IA_PIP[Cérémonie],(Date_IA_PIP[Date début]&lt;=EO9)*(Date_IA_PIP[[Date fin ]]&gt;=EO9),"")))</f>
        <v/>
      </c>
      <c r="EP7" s="104" t="str" cm="1">
        <f t="array" ref="EP7">_xlfn.SINGLE(IFERROR(IF(WEEKDAY(_xlfn.SINGLE(9:9),2)&gt;5,"WE",IF(VLOOKUP(EP9,Paramètres!$C$3:$C$42,1,FALSE)=EP9,"Férié","")),_xlfn._xlws.FILTER(Date_IA_PIP[Cérémonie],(Date_IA_PIP[Date début]&lt;=EP9)*(Date_IA_PIP[[Date fin ]]&gt;=EP9),"")))</f>
        <v/>
      </c>
      <c r="EQ7" s="104" t="str" cm="1">
        <f t="array" ref="EQ7">_xlfn.SINGLE(IFERROR(IF(WEEKDAY(_xlfn.SINGLE(9:9),2)&gt;5,"WE",IF(VLOOKUP(EQ9,Paramètres!$C$3:$C$42,1,FALSE)=EQ9,"Férié","")),_xlfn._xlws.FILTER(Date_IA_PIP[Cérémonie],(Date_IA_PIP[Date début]&lt;=EQ9)*(Date_IA_PIP[[Date fin ]]&gt;=EQ9),"")))</f>
        <v/>
      </c>
      <c r="ER7" s="104" t="str" cm="1">
        <f t="array" ref="ER7">_xlfn.SINGLE(IFERROR(IF(WEEKDAY(_xlfn.SINGLE(9:9),2)&gt;5,"WE",IF(VLOOKUP(ER9,Paramètres!$C$3:$C$42,1,FALSE)=ER9,"Férié","")),_xlfn._xlws.FILTER(Date_IA_PIP[Cérémonie],(Date_IA_PIP[Date début]&lt;=ER9)*(Date_IA_PIP[[Date fin ]]&gt;=ER9),"")))</f>
        <v/>
      </c>
      <c r="ES7" s="104" t="str" cm="1">
        <f t="array" ref="ES7">_xlfn.SINGLE(IFERROR(IF(WEEKDAY(_xlfn.SINGLE(9:9),2)&gt;5,"WE",IF(VLOOKUP(ES9,Paramètres!$C$3:$C$42,1,FALSE)=ES9,"Férié","")),_xlfn._xlws.FILTER(Date_IA_PIP[Cérémonie],(Date_IA_PIP[Date début]&lt;=ES9)*(Date_IA_PIP[[Date fin ]]&gt;=ES9),"")))</f>
        <v>WE</v>
      </c>
      <c r="ET7" s="104" t="str" cm="1">
        <f t="array" ref="ET7">_xlfn.SINGLE(IFERROR(IF(WEEKDAY(_xlfn.SINGLE(9:9),2)&gt;5,"WE",IF(VLOOKUP(ET9,Paramètres!$C$3:$C$42,1,FALSE)=ET9,"Férié","")),_xlfn._xlws.FILTER(Date_IA_PIP[Cérémonie],(Date_IA_PIP[Date début]&lt;=ET9)*(Date_IA_PIP[[Date fin ]]&gt;=ET9),"")))</f>
        <v>WE</v>
      </c>
      <c r="EU7" s="104" t="str" cm="1">
        <f t="array" ref="EU7">_xlfn.SINGLE(IFERROR(IF(WEEKDAY(_xlfn.SINGLE(9:9),2)&gt;5,"WE",IF(VLOOKUP(EU9,Paramètres!$C$3:$C$42,1,FALSE)=EU9,"Férié","")),_xlfn._xlws.FILTER(Date_IA_PIP[Cérémonie],(Date_IA_PIP[Date début]&lt;=EU9)*(Date_IA_PIP[[Date fin ]]&gt;=EU9),"")))</f>
        <v/>
      </c>
      <c r="EV7" s="104" t="str" cm="1">
        <f t="array" ref="EV7">_xlfn.SINGLE(IFERROR(IF(WEEKDAY(_xlfn.SINGLE(9:9),2)&gt;5,"WE",IF(VLOOKUP(EV9,Paramètres!$C$3:$C$42,1,FALSE)=EV9,"Férié","")),_xlfn._xlws.FILTER(Date_IA_PIP[Cérémonie],(Date_IA_PIP[Date début]&lt;=EV9)*(Date_IA_PIP[[Date fin ]]&gt;=EV9),"")))</f>
        <v/>
      </c>
      <c r="EW7" s="104" t="str" cm="1">
        <f t="array" ref="EW7">_xlfn.SINGLE(IFERROR(IF(WEEKDAY(_xlfn.SINGLE(9:9),2)&gt;5,"WE",IF(VLOOKUP(EW9,Paramètres!$C$3:$C$42,1,FALSE)=EW9,"Férié","")),_xlfn._xlws.FILTER(Date_IA_PIP[Cérémonie],(Date_IA_PIP[Date début]&lt;=EW9)*(Date_IA_PIP[[Date fin ]]&gt;=EW9),"")))</f>
        <v/>
      </c>
      <c r="EX7" s="104" t="str" cm="1">
        <f t="array" ref="EX7">_xlfn.SINGLE(IFERROR(IF(WEEKDAY(_xlfn.SINGLE(9:9),2)&gt;5,"WE",IF(VLOOKUP(EX9,Paramètres!$C$3:$C$42,1,FALSE)=EX9,"Férié","")),_xlfn._xlws.FILTER(Date_IA_PIP[Cérémonie],(Date_IA_PIP[Date début]&lt;=EX9)*(Date_IA_PIP[[Date fin ]]&gt;=EX9),"")))</f>
        <v>Férié</v>
      </c>
      <c r="EY7" s="104" t="str" cm="1">
        <f t="array" ref="EY7">_xlfn.SINGLE(IFERROR(IF(WEEKDAY(_xlfn.SINGLE(9:9),2)&gt;5,"WE",IF(VLOOKUP(EY9,Paramètres!$C$3:$C$42,1,FALSE)=EY9,"Férié","")),_xlfn._xlws.FILTER(Date_IA_PIP[Cérémonie],(Date_IA_PIP[Date début]&lt;=EY9)*(Date_IA_PIP[[Date fin ]]&gt;=EY9),"")))</f>
        <v/>
      </c>
      <c r="EZ7" s="104" t="str" cm="1">
        <f t="array" ref="EZ7">_xlfn.SINGLE(IFERROR(IF(WEEKDAY(_xlfn.SINGLE(9:9),2)&gt;5,"WE",IF(VLOOKUP(EZ9,Paramètres!$C$3:$C$42,1,FALSE)=EZ9,"Férié","")),_xlfn._xlws.FILTER(Date_IA_PIP[Cérémonie],(Date_IA_PIP[Date début]&lt;=EZ9)*(Date_IA_PIP[[Date fin ]]&gt;=EZ9),"")))</f>
        <v>WE</v>
      </c>
      <c r="FA7" s="104" t="str" cm="1">
        <f t="array" ref="FA7">_xlfn.SINGLE(IFERROR(IF(WEEKDAY(_xlfn.SINGLE(9:9),2)&gt;5,"WE",IF(VLOOKUP(FA9,Paramètres!$C$3:$C$42,1,FALSE)=FA9,"Férié","")),_xlfn._xlws.FILTER(Date_IA_PIP[Cérémonie],(Date_IA_PIP[Date début]&lt;=FA9)*(Date_IA_PIP[[Date fin ]]&gt;=FA9),"")))</f>
        <v>WE</v>
      </c>
      <c r="FB7" s="104" t="str" cm="1">
        <f t="array" ref="FB7">_xlfn.SINGLE(IFERROR(IF(WEEKDAY(_xlfn.SINGLE(9:9),2)&gt;5,"WE",IF(VLOOKUP(FB9,Paramètres!$C$3:$C$42,1,FALSE)=FB9,"Férié","")),_xlfn._xlws.FILTER(Date_IA_PIP[Cérémonie],(Date_IA_PIP[Date début]&lt;=FB9)*(Date_IA_PIP[[Date fin ]]&gt;=FB9),"")))</f>
        <v/>
      </c>
      <c r="FC7" s="104" t="str" cm="1">
        <f t="array" ref="FC7">_xlfn.SINGLE(IFERROR(IF(WEEKDAY(_xlfn.SINGLE(9:9),2)&gt;5,"WE",IF(VLOOKUP(FC9,Paramètres!$C$3:$C$42,1,FALSE)=FC9,"Férié","")),_xlfn._xlws.FILTER(Date_IA_PIP[Cérémonie],(Date_IA_PIP[Date début]&lt;=FC9)*(Date_IA_PIP[[Date fin ]]&gt;=FC9),"")))</f>
        <v/>
      </c>
      <c r="FD7" s="104" t="str" cm="1">
        <f t="array" ref="FD7">_xlfn.SINGLE(IFERROR(IF(WEEKDAY(_xlfn.SINGLE(9:9),2)&gt;5,"WE",IF(VLOOKUP(FD9,Paramètres!$C$3:$C$42,1,FALSE)=FD9,"Férié","")),_xlfn._xlws.FILTER(Date_IA_PIP[Cérémonie],(Date_IA_PIP[Date début]&lt;=FD9)*(Date_IA_PIP[[Date fin ]]&gt;=FD9),"")))</f>
        <v/>
      </c>
      <c r="FE7" s="104" t="str" cm="1">
        <f t="array" ref="FE7">_xlfn.SINGLE(IFERROR(IF(WEEKDAY(_xlfn.SINGLE(9:9),2)&gt;5,"WE",IF(VLOOKUP(FE9,Paramètres!$C$3:$C$42,1,FALSE)=FE9,"Férié","")),_xlfn._xlws.FILTER(Date_IA_PIP[Cérémonie],(Date_IA_PIP[Date début]&lt;=FE9)*(Date_IA_PIP[[Date fin ]]&gt;=FE9),"")))</f>
        <v>Férié</v>
      </c>
      <c r="FF7" s="104" t="str" cm="1">
        <f t="array" ref="FF7">_xlfn.SINGLE(IFERROR(IF(WEEKDAY(_xlfn.SINGLE(9:9),2)&gt;5,"WE",IF(VLOOKUP(FF9,Paramètres!$C$3:$C$42,1,FALSE)=FF9,"Férié","")),_xlfn._xlws.FILTER(Date_IA_PIP[Cérémonie],(Date_IA_PIP[Date début]&lt;=FF9)*(Date_IA_PIP[[Date fin ]]&gt;=FF9),"")))</f>
        <v/>
      </c>
      <c r="FG7" s="104" t="str" cm="1">
        <f t="array" ref="FG7">_xlfn.SINGLE(IFERROR(IF(WEEKDAY(_xlfn.SINGLE(9:9),2)&gt;5,"WE",IF(VLOOKUP(FG9,Paramètres!$C$3:$C$42,1,FALSE)=FG9,"Férié","")),_xlfn._xlws.FILTER(Date_IA_PIP[Cérémonie],(Date_IA_PIP[Date début]&lt;=FG9)*(Date_IA_PIP[[Date fin ]]&gt;=FG9),"")))</f>
        <v>WE</v>
      </c>
      <c r="FH7" s="104" t="str" cm="1">
        <f t="array" ref="FH7">_xlfn.SINGLE(IFERROR(IF(WEEKDAY(_xlfn.SINGLE(9:9),2)&gt;5,"WE",IF(VLOOKUP(FH9,Paramètres!$C$3:$C$42,1,FALSE)=FH9,"Férié","")),_xlfn._xlws.FILTER(Date_IA_PIP[Cérémonie],(Date_IA_PIP[Date début]&lt;=FH9)*(Date_IA_PIP[[Date fin ]]&gt;=FH9),"")))</f>
        <v>WE</v>
      </c>
      <c r="FI7" s="104" t="str" cm="1">
        <f t="array" ref="FI7">_xlfn.SINGLE(IFERROR(IF(WEEKDAY(_xlfn.SINGLE(9:9),2)&gt;5,"WE",IF(VLOOKUP(FI9,Paramètres!$C$3:$C$42,1,FALSE)=FI9,"Férié","")),_xlfn._xlws.FILTER(Date_IA_PIP[Cérémonie],(Date_IA_PIP[Date début]&lt;=FI9)*(Date_IA_PIP[[Date fin ]]&gt;=FI9),"")))</f>
        <v/>
      </c>
      <c r="FJ7" s="104" t="str" cm="1">
        <f t="array" ref="FJ7">_xlfn.SINGLE(IFERROR(IF(WEEKDAY(_xlfn.SINGLE(9:9),2)&gt;5,"WE",IF(VLOOKUP(FJ9,Paramètres!$C$3:$C$42,1,FALSE)=FJ9,"Férié","")),_xlfn._xlws.FILTER(Date_IA_PIP[Cérémonie],(Date_IA_PIP[Date début]&lt;=FJ9)*(Date_IA_PIP[[Date fin ]]&gt;=FJ9),"")))</f>
        <v/>
      </c>
      <c r="FK7" s="104" t="str" cm="1">
        <f t="array" ref="FK7">_xlfn.SINGLE(IFERROR(IF(WEEKDAY(_xlfn.SINGLE(9:9),2)&gt;5,"WE",IF(VLOOKUP(FK9,Paramètres!$C$3:$C$42,1,FALSE)=FK9,"Férié","")),_xlfn._xlws.FILTER(Date_IA_PIP[Cérémonie],(Date_IA_PIP[Date début]&lt;=FK9)*(Date_IA_PIP[[Date fin ]]&gt;=FK9),"")))</f>
        <v/>
      </c>
      <c r="FL7" s="104" t="str" cm="1">
        <f t="array" ref="FL7">_xlfn.SINGLE(IFERROR(IF(WEEKDAY(_xlfn.SINGLE(9:9),2)&gt;5,"WE",IF(VLOOKUP(FL9,Paramètres!$C$3:$C$42,1,FALSE)=FL9,"Férié","")),_xlfn._xlws.FILTER(Date_IA_PIP[Cérémonie],(Date_IA_PIP[Date début]&lt;=FL9)*(Date_IA_PIP[[Date fin ]]&gt;=FL9),"")))</f>
        <v/>
      </c>
      <c r="FM7" s="104" t="str" cm="1">
        <f t="array" ref="FM7">_xlfn.SINGLE(IFERROR(IF(WEEKDAY(_xlfn.SINGLE(9:9),2)&gt;5,"WE",IF(VLOOKUP(FM9,Paramètres!$C$3:$C$42,1,FALSE)=FM9,"Férié","")),_xlfn._xlws.FILTER(Date_IA_PIP[Cérémonie],(Date_IA_PIP[Date début]&lt;=FM9)*(Date_IA_PIP[[Date fin ]]&gt;=FM9),"")))</f>
        <v/>
      </c>
      <c r="FN7" s="104" t="str" cm="1">
        <f t="array" ref="FN7">_xlfn.SINGLE(IFERROR(IF(WEEKDAY(_xlfn.SINGLE(9:9),2)&gt;5,"WE",IF(VLOOKUP(FN9,Paramètres!$C$3:$C$42,1,FALSE)=FN9,"Férié","")),_xlfn._xlws.FILTER(Date_IA_PIP[Cérémonie],(Date_IA_PIP[Date début]&lt;=FN9)*(Date_IA_PIP[[Date fin ]]&gt;=FN9),"")))</f>
        <v>WE</v>
      </c>
      <c r="FO7" s="104" t="str" cm="1">
        <f t="array" ref="FO7">_xlfn.SINGLE(IFERROR(IF(WEEKDAY(_xlfn.SINGLE(9:9),2)&gt;5,"WE",IF(VLOOKUP(FO9,Paramètres!$C$3:$C$42,1,FALSE)=FO9,"Férié","")),_xlfn._xlws.FILTER(Date_IA_PIP[Cérémonie],(Date_IA_PIP[Date début]&lt;=FO9)*(Date_IA_PIP[[Date fin ]]&gt;=FO9),"")))</f>
        <v>WE</v>
      </c>
      <c r="FP7" s="104" t="str" cm="1">
        <f t="array" ref="FP7">_xlfn.SINGLE(IFERROR(IF(WEEKDAY(_xlfn.SINGLE(9:9),2)&gt;5,"WE",IF(VLOOKUP(FP9,Paramètres!$C$3:$C$42,1,FALSE)=FP9,"Férié","")),_xlfn._xlws.FILTER(Date_IA_PIP[Cérémonie],(Date_IA_PIP[Date début]&lt;=FP9)*(Date_IA_PIP[[Date fin ]]&gt;=FP9),"")))</f>
        <v/>
      </c>
      <c r="FQ7" s="104" t="str" cm="1">
        <f t="array" ref="FQ7">_xlfn.SINGLE(IFERROR(IF(WEEKDAY(_xlfn.SINGLE(9:9),2)&gt;5,"WE",IF(VLOOKUP(FQ9,Paramètres!$C$3:$C$42,1,FALSE)=FQ9,"Férié","")),_xlfn._xlws.FILTER(Date_IA_PIP[Cérémonie],(Date_IA_PIP[Date début]&lt;=FQ9)*(Date_IA_PIP[[Date fin ]]&gt;=FQ9),"")))</f>
        <v/>
      </c>
      <c r="FR7" s="104" t="str" cm="1">
        <f t="array" ref="FR7">_xlfn.SINGLE(IFERROR(IF(WEEKDAY(_xlfn.SINGLE(9:9),2)&gt;5,"WE",IF(VLOOKUP(FR9,Paramètres!$C$3:$C$42,1,FALSE)=FR9,"Férié","")),_xlfn._xlws.FILTER(Date_IA_PIP[Cérémonie],(Date_IA_PIP[Date début]&lt;=FR9)*(Date_IA_PIP[[Date fin ]]&gt;=FR9),"")))</f>
        <v/>
      </c>
      <c r="FS7" s="104" t="str" cm="1">
        <f t="array" ref="FS7">_xlfn.SINGLE(IFERROR(IF(WEEKDAY(_xlfn.SINGLE(9:9),2)&gt;5,"WE",IF(VLOOKUP(FS9,Paramètres!$C$3:$C$42,1,FALSE)=FS9,"Férié","")),_xlfn._xlws.FILTER(Date_IA_PIP[Cérémonie],(Date_IA_PIP[Date début]&lt;=FS9)*(Date_IA_PIP[[Date fin ]]&gt;=FS9),"")))</f>
        <v/>
      </c>
      <c r="FT7" s="104" t="str" cm="1">
        <f t="array" ref="FT7">_xlfn.SINGLE(IFERROR(IF(WEEKDAY(_xlfn.SINGLE(9:9),2)&gt;5,"WE",IF(VLOOKUP(FT9,Paramètres!$C$3:$C$42,1,FALSE)=FT9,"Férié","")),_xlfn._xlws.FILTER(Date_IA_PIP[Cérémonie],(Date_IA_PIP[Date début]&lt;=FT9)*(Date_IA_PIP[[Date fin ]]&gt;=FT9),"")))</f>
        <v/>
      </c>
      <c r="FU7" s="104" t="str" cm="1">
        <f t="array" ref="FU7">_xlfn.SINGLE(IFERROR(IF(WEEKDAY(_xlfn.SINGLE(9:9),2)&gt;5,"WE",IF(VLOOKUP(FU9,Paramètres!$C$3:$C$42,1,FALSE)=FU9,"Férié","")),_xlfn._xlws.FILTER(Date_IA_PIP[Cérémonie],(Date_IA_PIP[Date début]&lt;=FU9)*(Date_IA_PIP[[Date fin ]]&gt;=FU9),"")))</f>
        <v>WE</v>
      </c>
      <c r="FV7" s="104" t="str" cm="1">
        <f t="array" ref="FV7">_xlfn.SINGLE(IFERROR(IF(WEEKDAY(_xlfn.SINGLE(9:9),2)&gt;5,"WE",IF(VLOOKUP(FV9,Paramètres!$C$3:$C$42,1,FALSE)=FV9,"Férié","")),_xlfn._xlws.FILTER(Date_IA_PIP[Cérémonie],(Date_IA_PIP[Date début]&lt;=FV9)*(Date_IA_PIP[[Date fin ]]&gt;=FV9),"")))</f>
        <v>WE</v>
      </c>
      <c r="FW7" s="104" t="str" cm="1">
        <f t="array" ref="FW7">_xlfn.SINGLE(IFERROR(IF(WEEKDAY(_xlfn.SINGLE(9:9),2)&gt;5,"WE",IF(VLOOKUP(FW9,Paramètres!$C$3:$C$42,1,FALSE)=FW9,"Férié","")),_xlfn._xlws.FILTER(Date_IA_PIP[Cérémonie],(Date_IA_PIP[Date début]&lt;=FW9)*(Date_IA_PIP[[Date fin ]]&gt;=FW9),"")))</f>
        <v/>
      </c>
      <c r="FX7" s="104" t="str" cm="1">
        <f t="array" ref="FX7">_xlfn.SINGLE(IFERROR(IF(WEEKDAY(_xlfn.SINGLE(9:9),2)&gt;5,"WE",IF(VLOOKUP(FX9,Paramètres!$C$3:$C$42,1,FALSE)=FX9,"Férié","")),_xlfn._xlws.FILTER(Date_IA_PIP[Cérémonie],(Date_IA_PIP[Date début]&lt;=FX9)*(Date_IA_PIP[[Date fin ]]&gt;=FX9),"")))</f>
        <v/>
      </c>
      <c r="FY7" s="104" t="str" cm="1">
        <f t="array" ref="FY7">_xlfn.SINGLE(IFERROR(IF(WEEKDAY(_xlfn.SINGLE(9:9),2)&gt;5,"WE",IF(VLOOKUP(FY9,Paramètres!$C$3:$C$42,1,FALSE)=FY9,"Férié","")),_xlfn._xlws.FILTER(Date_IA_PIP[Cérémonie],(Date_IA_PIP[Date début]&lt;=FY9)*(Date_IA_PIP[[Date fin ]]&gt;=FY9),"")))</f>
        <v/>
      </c>
      <c r="FZ7" s="104" t="str" cm="1">
        <f t="array" ref="FZ7">_xlfn.SINGLE(IFERROR(IF(WEEKDAY(_xlfn.SINGLE(9:9),2)&gt;5,"WE",IF(VLOOKUP(FZ9,Paramètres!$C$3:$C$42,1,FALSE)=FZ9,"Férié","")),_xlfn._xlws.FILTER(Date_IA_PIP[Cérémonie],(Date_IA_PIP[Date début]&lt;=FZ9)*(Date_IA_PIP[[Date fin ]]&gt;=FZ9),"")))</f>
        <v>Férié</v>
      </c>
      <c r="GA7" s="104" t="str" cm="1">
        <f t="array" ref="GA7">_xlfn.SINGLE(IFERROR(IF(WEEKDAY(_xlfn.SINGLE(9:9),2)&gt;5,"WE",IF(VLOOKUP(GA9,Paramètres!$C$3:$C$42,1,FALSE)=GA9,"Férié","")),_xlfn._xlws.FILTER(Date_IA_PIP[Cérémonie],(Date_IA_PIP[Date début]&lt;=GA9)*(Date_IA_PIP[[Date fin ]]&gt;=GA9),"")))</f>
        <v/>
      </c>
      <c r="GB7" s="104" t="str" cm="1">
        <f t="array" ref="GB7">_xlfn.SINGLE(IFERROR(IF(WEEKDAY(_xlfn.SINGLE(9:9),2)&gt;5,"WE",IF(VLOOKUP(GB9,Paramètres!$C$3:$C$42,1,FALSE)=GB9,"Férié","")),_xlfn._xlws.FILTER(Date_IA_PIP[Cérémonie],(Date_IA_PIP[Date début]&lt;=GB9)*(Date_IA_PIP[[Date fin ]]&gt;=GB9),"")))</f>
        <v>WE</v>
      </c>
      <c r="GC7" s="104" t="str" cm="1">
        <f t="array" ref="GC7">_xlfn.SINGLE(IFERROR(IF(WEEKDAY(_xlfn.SINGLE(9:9),2)&gt;5,"WE",IF(VLOOKUP(GC9,Paramètres!$C$3:$C$42,1,FALSE)=GC9,"Férié","")),_xlfn._xlws.FILTER(Date_IA_PIP[Cérémonie],(Date_IA_PIP[Date début]&lt;=GC9)*(Date_IA_PIP[[Date fin ]]&gt;=GC9),"")))</f>
        <v>WE</v>
      </c>
      <c r="GD7" s="104" t="str" cm="1">
        <f t="array" ref="GD7">_xlfn.SINGLE(IFERROR(IF(WEEKDAY(_xlfn.SINGLE(9:9),2)&gt;5,"WE",IF(VLOOKUP(GD9,Paramètres!$C$3:$C$42,1,FALSE)=GD9,"Férié","")),_xlfn._xlws.FILTER(Date_IA_PIP[Cérémonie],(Date_IA_PIP[Date début]&lt;=GD9)*(Date_IA_PIP[[Date fin ]]&gt;=GD9),"")))</f>
        <v/>
      </c>
      <c r="GE7" s="104" t="str" cm="1">
        <f t="array" ref="GE7">_xlfn.SINGLE(IFERROR(IF(WEEKDAY(_xlfn.SINGLE(9:9),2)&gt;5,"WE",IF(VLOOKUP(GE9,Paramètres!$C$3:$C$42,1,FALSE)=GE9,"Férié","")),_xlfn._xlws.FILTER(Date_IA_PIP[Cérémonie],(Date_IA_PIP[Date début]&lt;=GE9)*(Date_IA_PIP[[Date fin ]]&gt;=GE9),"")))</f>
        <v/>
      </c>
      <c r="GF7" s="104" t="str" cm="1">
        <f t="array" ref="GF7">_xlfn.SINGLE(IFERROR(IF(WEEKDAY(_xlfn.SINGLE(9:9),2)&gt;5,"WE",IF(VLOOKUP(GF9,Paramètres!$C$3:$C$42,1,FALSE)=GF9,"Férié","")),_xlfn._xlws.FILTER(Date_IA_PIP[Cérémonie],(Date_IA_PIP[Date début]&lt;=GF9)*(Date_IA_PIP[[Date fin ]]&gt;=GF9),"")))</f>
        <v/>
      </c>
      <c r="GG7" s="104" t="str" cm="1">
        <f t="array" ref="GG7">_xlfn.SINGLE(IFERROR(IF(WEEKDAY(_xlfn.SINGLE(9:9),2)&gt;5,"WE",IF(VLOOKUP(GG9,Paramètres!$C$3:$C$42,1,FALSE)=GG9,"Férié","")),_xlfn._xlws.FILTER(Date_IA_PIP[Cérémonie],(Date_IA_PIP[Date début]&lt;=GG9)*(Date_IA_PIP[[Date fin ]]&gt;=GG9),"")))</f>
        <v/>
      </c>
      <c r="GH7" s="104" t="str" cm="1">
        <f t="array" ref="GH7">_xlfn.SINGLE(IFERROR(IF(WEEKDAY(_xlfn.SINGLE(9:9),2)&gt;5,"WE",IF(VLOOKUP(GH9,Paramètres!$C$3:$C$42,1,FALSE)=GH9,"Férié","")),_xlfn._xlws.FILTER(Date_IA_PIP[Cérémonie],(Date_IA_PIP[Date début]&lt;=GH9)*(Date_IA_PIP[[Date fin ]]&gt;=GH9),"")))</f>
        <v/>
      </c>
      <c r="GI7" s="104" t="str" cm="1">
        <f t="array" ref="GI7">_xlfn.SINGLE(IFERROR(IF(WEEKDAY(_xlfn.SINGLE(9:9),2)&gt;5,"WE",IF(VLOOKUP(GI9,Paramètres!$C$3:$C$42,1,FALSE)=GI9,"Férié","")),_xlfn._xlws.FILTER(Date_IA_PIP[Cérémonie],(Date_IA_PIP[Date début]&lt;=GI9)*(Date_IA_PIP[[Date fin ]]&gt;=GI9),"")))</f>
        <v>WE</v>
      </c>
      <c r="GJ7" s="104" t="str" cm="1">
        <f t="array" ref="GJ7">_xlfn.SINGLE(IFERROR(IF(WEEKDAY(_xlfn.SINGLE(9:9),2)&gt;5,"WE",IF(VLOOKUP(GJ9,Paramètres!$C$3:$C$42,1,FALSE)=GJ9,"Férié","")),_xlfn._xlws.FILTER(Date_IA_PIP[Cérémonie],(Date_IA_PIP[Date début]&lt;=GJ9)*(Date_IA_PIP[[Date fin ]]&gt;=GJ9),"")))</f>
        <v>WE</v>
      </c>
      <c r="GK7" s="104" t="str" cm="1">
        <f t="array" ref="GK7">_xlfn.SINGLE(IFERROR(IF(WEEKDAY(_xlfn.SINGLE(9:9),2)&gt;5,"WE",IF(VLOOKUP(GK9,Paramètres!$C$3:$C$42,1,FALSE)=GK9,"Férié","")),_xlfn._xlws.FILTER(Date_IA_PIP[Cérémonie],(Date_IA_PIP[Date début]&lt;=GK9)*(Date_IA_PIP[[Date fin ]]&gt;=GK9),"")))</f>
        <v>Férié</v>
      </c>
      <c r="GL7" s="104" t="str" cm="1">
        <f t="array" ref="GL7">_xlfn.SINGLE(IFERROR(IF(WEEKDAY(_xlfn.SINGLE(9:9),2)&gt;5,"WE",IF(VLOOKUP(GL9,Paramètres!$C$3:$C$42,1,FALSE)=GL9,"Férié","")),_xlfn._xlws.FILTER(Date_IA_PIP[Cérémonie],(Date_IA_PIP[Date début]&lt;=GL9)*(Date_IA_PIP[[Date fin ]]&gt;=GL9),"")))</f>
        <v>I&amp;A</v>
      </c>
      <c r="GM7" s="104" t="str" cm="1">
        <f t="array" ref="GM7">_xlfn.SINGLE(IFERROR(IF(WEEKDAY(_xlfn.SINGLE(9:9),2)&gt;5,"WE",IF(VLOOKUP(GM9,Paramètres!$C$3:$C$42,1,FALSE)=GM9,"Férié","")),_xlfn._xlws.FILTER(Date_IA_PIP[Cérémonie],(Date_IA_PIP[Date début]&lt;=GM9)*(Date_IA_PIP[[Date fin ]]&gt;=GM9),"")))</f>
        <v>PIP</v>
      </c>
      <c r="GN7" s="104" t="str" cm="1">
        <f t="array" ref="GN7">_xlfn.SINGLE(IFERROR(IF(WEEKDAY(_xlfn.SINGLE(9:9),2)&gt;5,"WE",IF(VLOOKUP(GN9,Paramètres!$C$3:$C$42,1,FALSE)=GN9,"Férié","")),_xlfn._xlws.FILTER(Date_IA_PIP[Cérémonie],(Date_IA_PIP[Date début]&lt;=GN9)*(Date_IA_PIP[[Date fin ]]&gt;=GN9),"")))</f>
        <v>PIP</v>
      </c>
      <c r="GO7" s="104" t="str" cm="1">
        <f t="array" ref="GO7">_xlfn.SINGLE(IFERROR(IF(WEEKDAY(_xlfn.SINGLE(9:9),2)&gt;5,"WE",IF(VLOOKUP(GO9,Paramètres!$C$3:$C$42,1,FALSE)=GO9,"Férié","")),_xlfn._xlws.FILTER(Date_IA_PIP[Cérémonie],(Date_IA_PIP[Date début]&lt;=GO9)*(Date_IA_PIP[[Date fin ]]&gt;=GO9),"")))</f>
        <v/>
      </c>
      <c r="GP7" s="104" t="str" cm="1">
        <f t="array" ref="GP7">_xlfn.SINGLE(IFERROR(IF(WEEKDAY(_xlfn.SINGLE(9:9),2)&gt;5,"WE",IF(VLOOKUP(GP9,Paramètres!$C$3:$C$42,1,FALSE)=GP9,"Férié","")),_xlfn._xlws.FILTER(Date_IA_PIP[Cérémonie],(Date_IA_PIP[Date début]&lt;=GP9)*(Date_IA_PIP[[Date fin ]]&gt;=GP9),"")))</f>
        <v>WE</v>
      </c>
      <c r="GQ7" s="104" t="str" cm="1">
        <f t="array" ref="GQ7">_xlfn.SINGLE(IFERROR(IF(WEEKDAY(_xlfn.SINGLE(9:9),2)&gt;5,"WE",IF(VLOOKUP(GQ9,Paramètres!$C$3:$C$42,1,FALSE)=GQ9,"Férié","")),_xlfn._xlws.FILTER(Date_IA_PIP[Cérémonie],(Date_IA_PIP[Date début]&lt;=GQ9)*(Date_IA_PIP[[Date fin ]]&gt;=GQ9),"")))</f>
        <v>WE</v>
      </c>
      <c r="GR7" s="104" t="str" cm="1">
        <f t="array" ref="GR7">_xlfn.SINGLE(IFERROR(IF(WEEKDAY(_xlfn.SINGLE(9:9),2)&gt;5,"WE",IF(VLOOKUP(GR9,Paramètres!$C$3:$C$42,1,FALSE)=GR9,"Férié","")),_xlfn._xlws.FILTER(Date_IA_PIP[Cérémonie],(Date_IA_PIP[Date début]&lt;=GR9)*(Date_IA_PIP[[Date fin ]]&gt;=GR9),"")))</f>
        <v/>
      </c>
      <c r="GS7" s="104" t="str" cm="1">
        <f t="array" ref="GS7">_xlfn.SINGLE(IFERROR(IF(WEEKDAY(_xlfn.SINGLE(9:9),2)&gt;5,"WE",IF(VLOOKUP(GS9,Paramètres!$C$3:$C$42,1,FALSE)=GS9,"Férié","")),_xlfn._xlws.FILTER(Date_IA_PIP[Cérémonie],(Date_IA_PIP[Date début]&lt;=GS9)*(Date_IA_PIP[[Date fin ]]&gt;=GS9),"")))</f>
        <v/>
      </c>
      <c r="GT7" s="104" t="str" cm="1">
        <f t="array" ref="GT7">_xlfn.SINGLE(IFERROR(IF(WEEKDAY(_xlfn.SINGLE(9:9),2)&gt;5,"WE",IF(VLOOKUP(GT9,Paramètres!$C$3:$C$42,1,FALSE)=GT9,"Férié","")),_xlfn._xlws.FILTER(Date_IA_PIP[Cérémonie],(Date_IA_PIP[Date début]&lt;=GT9)*(Date_IA_PIP[[Date fin ]]&gt;=GT9),"")))</f>
        <v/>
      </c>
      <c r="GU7" s="104" t="str" cm="1">
        <f t="array" ref="GU7">_xlfn.SINGLE(IFERROR(IF(WEEKDAY(_xlfn.SINGLE(9:9),2)&gt;5,"WE",IF(VLOOKUP(GU9,Paramètres!$C$3:$C$42,1,FALSE)=GU9,"Férié","")),_xlfn._xlws.FILTER(Date_IA_PIP[Cérémonie],(Date_IA_PIP[Date début]&lt;=GU9)*(Date_IA_PIP[[Date fin ]]&gt;=GU9),"")))</f>
        <v/>
      </c>
      <c r="GV7" s="104" t="str" cm="1">
        <f t="array" ref="GV7">_xlfn.SINGLE(IFERROR(IF(WEEKDAY(_xlfn.SINGLE(9:9),2)&gt;5,"WE",IF(VLOOKUP(GV9,Paramètres!$C$3:$C$42,1,FALSE)=GV9,"Férié","")),_xlfn._xlws.FILTER(Date_IA_PIP[Cérémonie],(Date_IA_PIP[Date début]&lt;=GV9)*(Date_IA_PIP[[Date fin ]]&gt;=GV9),"")))</f>
        <v/>
      </c>
      <c r="GW7" s="104" t="str" cm="1">
        <f t="array" ref="GW7">_xlfn.SINGLE(IFERROR(IF(WEEKDAY(_xlfn.SINGLE(9:9),2)&gt;5,"WE",IF(VLOOKUP(GW9,Paramètres!$C$3:$C$42,1,FALSE)=GW9,"Férié","")),_xlfn._xlws.FILTER(Date_IA_PIP[Cérémonie],(Date_IA_PIP[Date début]&lt;=GW9)*(Date_IA_PIP[[Date fin ]]&gt;=GW9),"")))</f>
        <v>WE</v>
      </c>
      <c r="GX7" s="104" t="str" cm="1">
        <f t="array" ref="GX7">_xlfn.SINGLE(IFERROR(IF(WEEKDAY(_xlfn.SINGLE(9:9),2)&gt;5,"WE",IF(VLOOKUP(GX9,Paramètres!$C$3:$C$42,1,FALSE)=GX9,"Férié","")),_xlfn._xlws.FILTER(Date_IA_PIP[Cérémonie],(Date_IA_PIP[Date début]&lt;=GX9)*(Date_IA_PIP[[Date fin ]]&gt;=GX9),"")))</f>
        <v>WE</v>
      </c>
      <c r="GY7" s="104" t="str" cm="1">
        <f t="array" ref="GY7">_xlfn.SINGLE(IFERROR(IF(WEEKDAY(_xlfn.SINGLE(9:9),2)&gt;5,"WE",IF(VLOOKUP(GY9,Paramètres!$C$3:$C$42,1,FALSE)=GY9,"Férié","")),_xlfn._xlws.FILTER(Date_IA_PIP[Cérémonie],(Date_IA_PIP[Date début]&lt;=GY9)*(Date_IA_PIP[[Date fin ]]&gt;=GY9),"")))</f>
        <v/>
      </c>
      <c r="GZ7" s="104" t="str" cm="1">
        <f t="array" ref="GZ7">_xlfn.SINGLE(IFERROR(IF(WEEKDAY(_xlfn.SINGLE(9:9),2)&gt;5,"WE",IF(VLOOKUP(GZ9,Paramètres!$C$3:$C$42,1,FALSE)=GZ9,"Férié","")),_xlfn._xlws.FILTER(Date_IA_PIP[Cérémonie],(Date_IA_PIP[Date début]&lt;=GZ9)*(Date_IA_PIP[[Date fin ]]&gt;=GZ9),"")))</f>
        <v/>
      </c>
      <c r="HA7" s="104" t="str" cm="1">
        <f t="array" ref="HA7">_xlfn.SINGLE(IFERROR(IF(WEEKDAY(_xlfn.SINGLE(9:9),2)&gt;5,"WE",IF(VLOOKUP(HA9,Paramètres!$C$3:$C$42,1,FALSE)=HA9,"Férié","")),_xlfn._xlws.FILTER(Date_IA_PIP[Cérémonie],(Date_IA_PIP[Date début]&lt;=HA9)*(Date_IA_PIP[[Date fin ]]&gt;=HA9),"")))</f>
        <v/>
      </c>
      <c r="HB7" s="104" t="str" cm="1">
        <f t="array" ref="HB7">_xlfn.SINGLE(IFERROR(IF(WEEKDAY(_xlfn.SINGLE(9:9),2)&gt;5,"WE",IF(VLOOKUP(HB9,Paramètres!$C$3:$C$42,1,FALSE)=HB9,"Férié","")),_xlfn._xlws.FILTER(Date_IA_PIP[Cérémonie],(Date_IA_PIP[Date début]&lt;=HB9)*(Date_IA_PIP[[Date fin ]]&gt;=HB9),"")))</f>
        <v/>
      </c>
      <c r="HC7" s="104" t="str" cm="1">
        <f t="array" ref="HC7">_xlfn.SINGLE(IFERROR(IF(WEEKDAY(_xlfn.SINGLE(9:9),2)&gt;5,"WE",IF(VLOOKUP(HC9,Paramètres!$C$3:$C$42,1,FALSE)=HC9,"Férié","")),_xlfn._xlws.FILTER(Date_IA_PIP[Cérémonie],(Date_IA_PIP[Date début]&lt;=HC9)*(Date_IA_PIP[[Date fin ]]&gt;=HC9),"")))</f>
        <v/>
      </c>
      <c r="HD7" s="104" t="str" cm="1">
        <f t="array" ref="HD7">_xlfn.SINGLE(IFERROR(IF(WEEKDAY(_xlfn.SINGLE(9:9),2)&gt;5,"WE",IF(VLOOKUP(HD9,Paramètres!$C$3:$C$42,1,FALSE)=HD9,"Férié","")),_xlfn._xlws.FILTER(Date_IA_PIP[Cérémonie],(Date_IA_PIP[Date début]&lt;=HD9)*(Date_IA_PIP[[Date fin ]]&gt;=HD9),"")))</f>
        <v>WE</v>
      </c>
      <c r="HE7" s="104" t="str" cm="1">
        <f t="array" ref="HE7">_xlfn.SINGLE(IFERROR(IF(WEEKDAY(_xlfn.SINGLE(9:9),2)&gt;5,"WE",IF(VLOOKUP(HE9,Paramètres!$C$3:$C$42,1,FALSE)=HE9,"Férié","")),_xlfn._xlws.FILTER(Date_IA_PIP[Cérémonie],(Date_IA_PIP[Date début]&lt;=HE9)*(Date_IA_PIP[[Date fin ]]&gt;=HE9),"")))</f>
        <v>WE</v>
      </c>
      <c r="HF7" s="104" t="str" cm="1">
        <f t="array" ref="HF7">_xlfn.SINGLE(IFERROR(IF(WEEKDAY(_xlfn.SINGLE(9:9),2)&gt;5,"WE",IF(VLOOKUP(HF9,Paramètres!$C$3:$C$42,1,FALSE)=HF9,"Férié","")),_xlfn._xlws.FILTER(Date_IA_PIP[Cérémonie],(Date_IA_PIP[Date début]&lt;=HF9)*(Date_IA_PIP[[Date fin ]]&gt;=HF9),"")))</f>
        <v/>
      </c>
      <c r="HG7" s="104" t="str" cm="1">
        <f t="array" ref="HG7">_xlfn.SINGLE(IFERROR(IF(WEEKDAY(_xlfn.SINGLE(9:9),2)&gt;5,"WE",IF(VLOOKUP(HG9,Paramètres!$C$3:$C$42,1,FALSE)=HG9,"Férié","")),_xlfn._xlws.FILTER(Date_IA_PIP[Cérémonie],(Date_IA_PIP[Date début]&lt;=HG9)*(Date_IA_PIP[[Date fin ]]&gt;=HG9),"")))</f>
        <v/>
      </c>
      <c r="HH7" s="104" t="str" cm="1">
        <f t="array" ref="HH7">_xlfn.SINGLE(IFERROR(IF(WEEKDAY(_xlfn.SINGLE(9:9),2)&gt;5,"WE",IF(VLOOKUP(HH9,Paramètres!$C$3:$C$42,1,FALSE)=HH9,"Férié","")),_xlfn._xlws.FILTER(Date_IA_PIP[Cérémonie],(Date_IA_PIP[Date début]&lt;=HH9)*(Date_IA_PIP[[Date fin ]]&gt;=HH9),"")))</f>
        <v/>
      </c>
      <c r="HI7" s="104" t="str" cm="1">
        <f t="array" ref="HI7">_xlfn.SINGLE(IFERROR(IF(WEEKDAY(_xlfn.SINGLE(9:9),2)&gt;5,"WE",IF(VLOOKUP(HI9,Paramètres!$C$3:$C$42,1,FALSE)=HI9,"Férié","")),_xlfn._xlws.FILTER(Date_IA_PIP[Cérémonie],(Date_IA_PIP[Date début]&lt;=HI9)*(Date_IA_PIP[[Date fin ]]&gt;=HI9),"")))</f>
        <v/>
      </c>
      <c r="HJ7" s="104" t="str" cm="1">
        <f t="array" ref="HJ7">_xlfn.SINGLE(IFERROR(IF(WEEKDAY(_xlfn.SINGLE(9:9),2)&gt;5,"WE",IF(VLOOKUP(HJ9,Paramètres!$C$3:$C$42,1,FALSE)=HJ9,"Férié","")),_xlfn._xlws.FILTER(Date_IA_PIP[Cérémonie],(Date_IA_PIP[Date début]&lt;=HJ9)*(Date_IA_PIP[[Date fin ]]&gt;=HJ9),"")))</f>
        <v/>
      </c>
      <c r="HK7" s="104" t="str" cm="1">
        <f t="array" ref="HK7">_xlfn.SINGLE(IFERROR(IF(WEEKDAY(_xlfn.SINGLE(9:9),2)&gt;5,"WE",IF(VLOOKUP(HK9,Paramètres!$C$3:$C$42,1,FALSE)=HK9,"Férié","")),_xlfn._xlws.FILTER(Date_IA_PIP[Cérémonie],(Date_IA_PIP[Date début]&lt;=HK9)*(Date_IA_PIP[[Date fin ]]&gt;=HK9),"")))</f>
        <v>WE</v>
      </c>
      <c r="HL7" s="104" t="str" cm="1">
        <f t="array" ref="HL7">_xlfn.SINGLE(IFERROR(IF(WEEKDAY(_xlfn.SINGLE(9:9),2)&gt;5,"WE",IF(VLOOKUP(HL9,Paramètres!$C$3:$C$42,1,FALSE)=HL9,"Férié","")),_xlfn._xlws.FILTER(Date_IA_PIP[Cérémonie],(Date_IA_PIP[Date début]&lt;=HL9)*(Date_IA_PIP[[Date fin ]]&gt;=HL9),"")))</f>
        <v>WE</v>
      </c>
      <c r="HM7" s="104" t="str" cm="1">
        <f t="array" ref="HM7">_xlfn.SINGLE(IFERROR(IF(WEEKDAY(_xlfn.SINGLE(9:9),2)&gt;5,"WE",IF(VLOOKUP(HM9,Paramètres!$C$3:$C$42,1,FALSE)=HM9,"Férié","")),_xlfn._xlws.FILTER(Date_IA_PIP[Cérémonie],(Date_IA_PIP[Date début]&lt;=HM9)*(Date_IA_PIP[[Date fin ]]&gt;=HM9),"")))</f>
        <v/>
      </c>
      <c r="HN7" s="104" t="str" cm="1">
        <f t="array" ref="HN7">_xlfn.SINGLE(IFERROR(IF(WEEKDAY(_xlfn.SINGLE(9:9),2)&gt;5,"WE",IF(VLOOKUP(HN9,Paramètres!$C$3:$C$42,1,FALSE)=HN9,"Férié","")),_xlfn._xlws.FILTER(Date_IA_PIP[Cérémonie],(Date_IA_PIP[Date début]&lt;=HN9)*(Date_IA_PIP[[Date fin ]]&gt;=HN9),"")))</f>
        <v/>
      </c>
      <c r="HO7" s="104" t="str" cm="1">
        <f t="array" ref="HO7">_xlfn.SINGLE(IFERROR(IF(WEEKDAY(_xlfn.SINGLE(9:9),2)&gt;5,"WE",IF(VLOOKUP(HO9,Paramètres!$C$3:$C$42,1,FALSE)=HO9,"Férié","")),_xlfn._xlws.FILTER(Date_IA_PIP[Cérémonie],(Date_IA_PIP[Date début]&lt;=HO9)*(Date_IA_PIP[[Date fin ]]&gt;=HO9),"")))</f>
        <v/>
      </c>
      <c r="HP7" s="104" t="str" cm="1">
        <f t="array" ref="HP7">_xlfn.SINGLE(IFERROR(IF(WEEKDAY(_xlfn.SINGLE(9:9),2)&gt;5,"WE",IF(VLOOKUP(HP9,Paramètres!$C$3:$C$42,1,FALSE)=HP9,"Férié","")),_xlfn._xlws.FILTER(Date_IA_PIP[Cérémonie],(Date_IA_PIP[Date début]&lt;=HP9)*(Date_IA_PIP[[Date fin ]]&gt;=HP9),"")))</f>
        <v/>
      </c>
      <c r="HQ7" s="104" t="str" cm="1">
        <f t="array" ref="HQ7">_xlfn.SINGLE(IFERROR(IF(WEEKDAY(_xlfn.SINGLE(9:9),2)&gt;5,"WE",IF(VLOOKUP(HQ9,Paramètres!$C$3:$C$42,1,FALSE)=HQ9,"Férié","")),_xlfn._xlws.FILTER(Date_IA_PIP[Cérémonie],(Date_IA_PIP[Date début]&lt;=HQ9)*(Date_IA_PIP[[Date fin ]]&gt;=HQ9),"")))</f>
        <v/>
      </c>
      <c r="HR7" s="104" t="str" cm="1">
        <f t="array" ref="HR7">_xlfn.SINGLE(IFERROR(IF(WEEKDAY(_xlfn.SINGLE(9:9),2)&gt;5,"WE",IF(VLOOKUP(HR9,Paramètres!$C$3:$C$42,1,FALSE)=HR9,"Férié","")),_xlfn._xlws.FILTER(Date_IA_PIP[Cérémonie],(Date_IA_PIP[Date début]&lt;=HR9)*(Date_IA_PIP[[Date fin ]]&gt;=HR9),"")))</f>
        <v>WE</v>
      </c>
      <c r="HS7" s="104" t="str" cm="1">
        <f t="array" ref="HS7">_xlfn.SINGLE(IFERROR(IF(WEEKDAY(_xlfn.SINGLE(9:9),2)&gt;5,"WE",IF(VLOOKUP(HS9,Paramètres!$C$3:$C$42,1,FALSE)=HS9,"Férié","")),_xlfn._xlws.FILTER(Date_IA_PIP[Cérémonie],(Date_IA_PIP[Date début]&lt;=HS9)*(Date_IA_PIP[[Date fin ]]&gt;=HS9),"")))</f>
        <v>WE</v>
      </c>
      <c r="HT7" s="104" t="str" cm="1">
        <f t="array" ref="HT7">_xlfn.SINGLE(IFERROR(IF(WEEKDAY(_xlfn.SINGLE(9:9),2)&gt;5,"WE",IF(VLOOKUP(HT9,Paramètres!$C$3:$C$42,1,FALSE)=HT9,"Férié","")),_xlfn._xlws.FILTER(Date_IA_PIP[Cérémonie],(Date_IA_PIP[Date début]&lt;=HT9)*(Date_IA_PIP[[Date fin ]]&gt;=HT9),"")))</f>
        <v>Férié</v>
      </c>
      <c r="HU7" s="104" t="str" cm="1">
        <f t="array" ref="HU7">_xlfn.SINGLE(IFERROR(IF(WEEKDAY(_xlfn.SINGLE(9:9),2)&gt;5,"WE",IF(VLOOKUP(HU9,Paramètres!$C$3:$C$42,1,FALSE)=HU9,"Férié","")),_xlfn._xlws.FILTER(Date_IA_PIP[Cérémonie],(Date_IA_PIP[Date début]&lt;=HU9)*(Date_IA_PIP[[Date fin ]]&gt;=HU9),"")))</f>
        <v/>
      </c>
      <c r="HV7" s="104" t="str" cm="1">
        <f t="array" ref="HV7">_xlfn.SINGLE(IFERROR(IF(WEEKDAY(_xlfn.SINGLE(9:9),2)&gt;5,"WE",IF(VLOOKUP(HV9,Paramètres!$C$3:$C$42,1,FALSE)=HV9,"Férié","")),_xlfn._xlws.FILTER(Date_IA_PIP[Cérémonie],(Date_IA_PIP[Date début]&lt;=HV9)*(Date_IA_PIP[[Date fin ]]&gt;=HV9),"")))</f>
        <v/>
      </c>
      <c r="HW7" s="104" t="str" cm="1">
        <f t="array" ref="HW7">_xlfn.SINGLE(IFERROR(IF(WEEKDAY(_xlfn.SINGLE(9:9),2)&gt;5,"WE",IF(VLOOKUP(HW9,Paramètres!$C$3:$C$42,1,FALSE)=HW9,"Férié","")),_xlfn._xlws.FILTER(Date_IA_PIP[Cérémonie],(Date_IA_PIP[Date début]&lt;=HW9)*(Date_IA_PIP[[Date fin ]]&gt;=HW9),"")))</f>
        <v/>
      </c>
      <c r="HX7" s="104" t="str" cm="1">
        <f t="array" ref="HX7">_xlfn.SINGLE(IFERROR(IF(WEEKDAY(_xlfn.SINGLE(9:9),2)&gt;5,"WE",IF(VLOOKUP(HX9,Paramètres!$C$3:$C$42,1,FALSE)=HX9,"Férié","")),_xlfn._xlws.FILTER(Date_IA_PIP[Cérémonie],(Date_IA_PIP[Date début]&lt;=HX9)*(Date_IA_PIP[[Date fin ]]&gt;=HX9),"")))</f>
        <v/>
      </c>
      <c r="HY7" s="104" t="str" cm="1">
        <f t="array" ref="HY7">_xlfn.SINGLE(IFERROR(IF(WEEKDAY(_xlfn.SINGLE(9:9),2)&gt;5,"WE",IF(VLOOKUP(HY9,Paramètres!$C$3:$C$42,1,FALSE)=HY9,"Férié","")),_xlfn._xlws.FILTER(Date_IA_PIP[Cérémonie],(Date_IA_PIP[Date début]&lt;=HY9)*(Date_IA_PIP[[Date fin ]]&gt;=HY9),"")))</f>
        <v>WE</v>
      </c>
      <c r="HZ7" s="104" t="str" cm="1">
        <f t="array" ref="HZ7">_xlfn.SINGLE(IFERROR(IF(WEEKDAY(_xlfn.SINGLE(9:9),2)&gt;5,"WE",IF(VLOOKUP(HZ9,Paramètres!$C$3:$C$42,1,FALSE)=HZ9,"Férié","")),_xlfn._xlws.FILTER(Date_IA_PIP[Cérémonie],(Date_IA_PIP[Date début]&lt;=HZ9)*(Date_IA_PIP[[Date fin ]]&gt;=HZ9),"")))</f>
        <v>WE</v>
      </c>
      <c r="IA7" s="104" t="str" cm="1">
        <f t="array" ref="IA7">_xlfn.SINGLE(IFERROR(IF(WEEKDAY(_xlfn.SINGLE(9:9),2)&gt;5,"WE",IF(VLOOKUP(IA9,Paramètres!$C$3:$C$42,1,FALSE)=IA9,"Férié","")),_xlfn._xlws.FILTER(Date_IA_PIP[Cérémonie],(Date_IA_PIP[Date début]&lt;=IA9)*(Date_IA_PIP[[Date fin ]]&gt;=IA9),"")))</f>
        <v/>
      </c>
      <c r="IB7" s="104" t="str" cm="1">
        <f t="array" ref="IB7">_xlfn.SINGLE(IFERROR(IF(WEEKDAY(_xlfn.SINGLE(9:9),2)&gt;5,"WE",IF(VLOOKUP(IB9,Paramètres!$C$3:$C$42,1,FALSE)=IB9,"Férié","")),_xlfn._xlws.FILTER(Date_IA_PIP[Cérémonie],(Date_IA_PIP[Date début]&lt;=IB9)*(Date_IA_PIP[[Date fin ]]&gt;=IB9),"")))</f>
        <v/>
      </c>
      <c r="IC7" s="104" t="str" cm="1">
        <f t="array" ref="IC7">_xlfn.SINGLE(IFERROR(IF(WEEKDAY(_xlfn.SINGLE(9:9),2)&gt;5,"WE",IF(VLOOKUP(IC9,Paramètres!$C$3:$C$42,1,FALSE)=IC9,"Férié","")),_xlfn._xlws.FILTER(Date_IA_PIP[Cérémonie],(Date_IA_PIP[Date début]&lt;=IC9)*(Date_IA_PIP[[Date fin ]]&gt;=IC9),"")))</f>
        <v/>
      </c>
      <c r="ID7" s="104" t="str" cm="1">
        <f t="array" ref="ID7">_xlfn.SINGLE(IFERROR(IF(WEEKDAY(_xlfn.SINGLE(9:9),2)&gt;5,"WE",IF(VLOOKUP(ID9,Paramètres!$C$3:$C$42,1,FALSE)=ID9,"Férié","")),_xlfn._xlws.FILTER(Date_IA_PIP[Cérémonie],(Date_IA_PIP[Date début]&lt;=ID9)*(Date_IA_PIP[[Date fin ]]&gt;=ID9),"")))</f>
        <v/>
      </c>
      <c r="IE7" s="104" t="str" cm="1">
        <f t="array" ref="IE7">_xlfn.SINGLE(IFERROR(IF(WEEKDAY(_xlfn.SINGLE(9:9),2)&gt;5,"WE",IF(VLOOKUP(IE9,Paramètres!$C$3:$C$42,1,FALSE)=IE9,"Férié","")),_xlfn._xlws.FILTER(Date_IA_PIP[Cérémonie],(Date_IA_PIP[Date début]&lt;=IE9)*(Date_IA_PIP[[Date fin ]]&gt;=IE9),"")))</f>
        <v/>
      </c>
      <c r="IF7" s="104" t="str" cm="1">
        <f t="array" ref="IF7">_xlfn.SINGLE(IFERROR(IF(WEEKDAY(_xlfn.SINGLE(9:9),2)&gt;5,"WE",IF(VLOOKUP(IF9,Paramètres!$C$3:$C$42,1,FALSE)=IF9,"Férié","")),_xlfn._xlws.FILTER(Date_IA_PIP[Cérémonie],(Date_IA_PIP[Date début]&lt;=IF9)*(Date_IA_PIP[[Date fin ]]&gt;=IF9),"")))</f>
        <v>WE</v>
      </c>
      <c r="IG7" s="104" t="str" cm="1">
        <f t="array" ref="IG7">_xlfn.SINGLE(IFERROR(IF(WEEKDAY(_xlfn.SINGLE(9:9),2)&gt;5,"WE",IF(VLOOKUP(IG9,Paramètres!$C$3:$C$42,1,FALSE)=IG9,"Férié","")),_xlfn._xlws.FILTER(Date_IA_PIP[Cérémonie],(Date_IA_PIP[Date début]&lt;=IG9)*(Date_IA_PIP[[Date fin ]]&gt;=IG9),"")))</f>
        <v>WE</v>
      </c>
      <c r="IH7" s="104" t="str" cm="1">
        <f t="array" ref="IH7">_xlfn.SINGLE(IFERROR(IF(WEEKDAY(_xlfn.SINGLE(9:9),2)&gt;5,"WE",IF(VLOOKUP(IH9,Paramètres!$C$3:$C$42,1,FALSE)=IH9,"Férié","")),_xlfn._xlws.FILTER(Date_IA_PIP[Cérémonie],(Date_IA_PIP[Date début]&lt;=IH9)*(Date_IA_PIP[[Date fin ]]&gt;=IH9),"")))</f>
        <v/>
      </c>
      <c r="II7" s="104" t="str" cm="1">
        <f t="array" ref="II7">_xlfn.SINGLE(IFERROR(IF(WEEKDAY(_xlfn.SINGLE(9:9),2)&gt;5,"WE",IF(VLOOKUP(II9,Paramètres!$C$3:$C$42,1,FALSE)=II9,"Férié","")),_xlfn._xlws.FILTER(Date_IA_PIP[Cérémonie],(Date_IA_PIP[Date début]&lt;=II9)*(Date_IA_PIP[[Date fin ]]&gt;=II9),"")))</f>
        <v/>
      </c>
      <c r="IJ7" s="104" t="str" cm="1">
        <f t="array" ref="IJ7">_xlfn.SINGLE(IFERROR(IF(WEEKDAY(_xlfn.SINGLE(9:9),2)&gt;5,"WE",IF(VLOOKUP(IJ9,Paramètres!$C$3:$C$42,1,FALSE)=IJ9,"Férié","")),_xlfn._xlws.FILTER(Date_IA_PIP[Cérémonie],(Date_IA_PIP[Date début]&lt;=IJ9)*(Date_IA_PIP[[Date fin ]]&gt;=IJ9),"")))</f>
        <v/>
      </c>
      <c r="IK7" s="104" t="str" cm="1">
        <f t="array" ref="IK7">_xlfn.SINGLE(IFERROR(IF(WEEKDAY(_xlfn.SINGLE(9:9),2)&gt;5,"WE",IF(VLOOKUP(IK9,Paramètres!$C$3:$C$42,1,FALSE)=IK9,"Férié","")),_xlfn._xlws.FILTER(Date_IA_PIP[Cérémonie],(Date_IA_PIP[Date début]&lt;=IK9)*(Date_IA_PIP[[Date fin ]]&gt;=IK9),"")))</f>
        <v/>
      </c>
      <c r="IL7" s="104" t="str" cm="1">
        <f t="array" ref="IL7">_xlfn.SINGLE(IFERROR(IF(WEEKDAY(_xlfn.SINGLE(9:9),2)&gt;5,"WE",IF(VLOOKUP(IL9,Paramètres!$C$3:$C$42,1,FALSE)=IL9,"Férié","")),_xlfn._xlws.FILTER(Date_IA_PIP[Cérémonie],(Date_IA_PIP[Date début]&lt;=IL9)*(Date_IA_PIP[[Date fin ]]&gt;=IL9),"")))</f>
        <v/>
      </c>
      <c r="IM7" s="104" t="str" cm="1">
        <f t="array" ref="IM7">_xlfn.SINGLE(IFERROR(IF(WEEKDAY(_xlfn.SINGLE(9:9),2)&gt;5,"WE",IF(VLOOKUP(IM9,Paramètres!$C$3:$C$42,1,FALSE)=IM9,"Férié","")),_xlfn._xlws.FILTER(Date_IA_PIP[Cérémonie],(Date_IA_PIP[Date début]&lt;=IM9)*(Date_IA_PIP[[Date fin ]]&gt;=IM9),"")))</f>
        <v>WE</v>
      </c>
      <c r="IN7" s="104" t="str" cm="1">
        <f t="array" ref="IN7">_xlfn.SINGLE(IFERROR(IF(WEEKDAY(_xlfn.SINGLE(9:9),2)&gt;5,"WE",IF(VLOOKUP(IN9,Paramètres!$C$3:$C$42,1,FALSE)=IN9,"Férié","")),_xlfn._xlws.FILTER(Date_IA_PIP[Cérémonie],(Date_IA_PIP[Date début]&lt;=IN9)*(Date_IA_PIP[[Date fin ]]&gt;=IN9),"")))</f>
        <v>WE</v>
      </c>
      <c r="IO7" s="104" t="str" cm="1">
        <f t="array" ref="IO7">_xlfn.SINGLE(IFERROR(IF(WEEKDAY(_xlfn.SINGLE(9:9),2)&gt;5,"WE",IF(VLOOKUP(IO9,Paramètres!$C$3:$C$42,1,FALSE)=IO9,"Férié","")),_xlfn._xlws.FILTER(Date_IA_PIP[Cérémonie],(Date_IA_PIP[Date début]&lt;=IO9)*(Date_IA_PIP[[Date fin ]]&gt;=IO9),"")))</f>
        <v/>
      </c>
      <c r="IP7" s="104" t="str" cm="1">
        <f t="array" ref="IP7">_xlfn.SINGLE(IFERROR(IF(WEEKDAY(_xlfn.SINGLE(9:9),2)&gt;5,"WE",IF(VLOOKUP(IP9,Paramètres!$C$3:$C$42,1,FALSE)=IP9,"Férié","")),_xlfn._xlws.FILTER(Date_IA_PIP[Cérémonie],(Date_IA_PIP[Date début]&lt;=IP9)*(Date_IA_PIP[[Date fin ]]&gt;=IP9),"")))</f>
        <v/>
      </c>
      <c r="IQ7" s="104" t="str" cm="1">
        <f t="array" ref="IQ7">_xlfn.SINGLE(IFERROR(IF(WEEKDAY(_xlfn.SINGLE(9:9),2)&gt;5,"WE",IF(VLOOKUP(IQ9,Paramètres!$C$3:$C$42,1,FALSE)=IQ9,"Férié","")),_xlfn._xlws.FILTER(Date_IA_PIP[Cérémonie],(Date_IA_PIP[Date début]&lt;=IQ9)*(Date_IA_PIP[[Date fin ]]&gt;=IQ9),"")))</f>
        <v/>
      </c>
      <c r="IR7" s="104" t="str" cm="1">
        <f t="array" ref="IR7">_xlfn.SINGLE(IFERROR(IF(WEEKDAY(_xlfn.SINGLE(9:9),2)&gt;5,"WE",IF(VLOOKUP(IR9,Paramètres!$C$3:$C$42,1,FALSE)=IR9,"Férié","")),_xlfn._xlws.FILTER(Date_IA_PIP[Cérémonie],(Date_IA_PIP[Date début]&lt;=IR9)*(Date_IA_PIP[[Date fin ]]&gt;=IR9),"")))</f>
        <v/>
      </c>
      <c r="IS7" s="104" t="str" cm="1">
        <f t="array" ref="IS7">_xlfn.SINGLE(IFERROR(IF(WEEKDAY(_xlfn.SINGLE(9:9),2)&gt;5,"WE",IF(VLOOKUP(IS9,Paramètres!$C$3:$C$42,1,FALSE)=IS9,"Férié","")),_xlfn._xlws.FILTER(Date_IA_PIP[Cérémonie],(Date_IA_PIP[Date début]&lt;=IS9)*(Date_IA_PIP[[Date fin ]]&gt;=IS9),"")))</f>
        <v/>
      </c>
      <c r="IT7" s="104" t="str" cm="1">
        <f t="array" ref="IT7">_xlfn.SINGLE(IFERROR(IF(WEEKDAY(_xlfn.SINGLE(9:9),2)&gt;5,"WE",IF(VLOOKUP(IT9,Paramètres!$C$3:$C$42,1,FALSE)=IT9,"Férié","")),_xlfn._xlws.FILTER(Date_IA_PIP[Cérémonie],(Date_IA_PIP[Date début]&lt;=IT9)*(Date_IA_PIP[[Date fin ]]&gt;=IT9),"")))</f>
        <v>WE</v>
      </c>
      <c r="IU7" s="104" t="str" cm="1">
        <f t="array" ref="IU7">_xlfn.SINGLE(IFERROR(IF(WEEKDAY(_xlfn.SINGLE(9:9),2)&gt;5,"WE",IF(VLOOKUP(IU9,Paramètres!$C$3:$C$42,1,FALSE)=IU9,"Férié","")),_xlfn._xlws.FILTER(Date_IA_PIP[Cérémonie],(Date_IA_PIP[Date début]&lt;=IU9)*(Date_IA_PIP[[Date fin ]]&gt;=IU9),"")))</f>
        <v>WE</v>
      </c>
      <c r="IV7" s="104" t="str" cm="1">
        <f t="array" ref="IV7">_xlfn.SINGLE(IFERROR(IF(WEEKDAY(_xlfn.SINGLE(9:9),2)&gt;5,"WE",IF(VLOOKUP(IV9,Paramètres!$C$3:$C$42,1,FALSE)=IV9,"Férié","")),_xlfn._xlws.FILTER(Date_IA_PIP[Cérémonie],(Date_IA_PIP[Date début]&lt;=IV9)*(Date_IA_PIP[[Date fin ]]&gt;=IV9),"")))</f>
        <v/>
      </c>
      <c r="IW7" s="104" t="str" cm="1">
        <f t="array" ref="IW7">_xlfn.SINGLE(IFERROR(IF(WEEKDAY(_xlfn.SINGLE(9:9),2)&gt;5,"WE",IF(VLOOKUP(IW9,Paramètres!$C$3:$C$42,1,FALSE)=IW9,"Férié","")),_xlfn._xlws.FILTER(Date_IA_PIP[Cérémonie],(Date_IA_PIP[Date début]&lt;=IW9)*(Date_IA_PIP[[Date fin ]]&gt;=IW9),"")))</f>
        <v/>
      </c>
      <c r="IX7" s="104" t="str" cm="1">
        <f t="array" ref="IX7">_xlfn.SINGLE(IFERROR(IF(WEEKDAY(_xlfn.SINGLE(9:9),2)&gt;5,"WE",IF(VLOOKUP(IX9,Paramètres!$C$3:$C$42,1,FALSE)=IX9,"Férié","")),_xlfn._xlws.FILTER(Date_IA_PIP[Cérémonie],(Date_IA_PIP[Date début]&lt;=IX9)*(Date_IA_PIP[[Date fin ]]&gt;=IX9),"")))</f>
        <v/>
      </c>
      <c r="IY7" s="104" t="str" cm="1">
        <f t="array" ref="IY7">_xlfn.SINGLE(IFERROR(IF(WEEKDAY(_xlfn.SINGLE(9:9),2)&gt;5,"WE",IF(VLOOKUP(IY9,Paramètres!$C$3:$C$42,1,FALSE)=IY9,"Férié","")),_xlfn._xlws.FILTER(Date_IA_PIP[Cérémonie],(Date_IA_PIP[Date début]&lt;=IY9)*(Date_IA_PIP[[Date fin ]]&gt;=IY9),"")))</f>
        <v/>
      </c>
      <c r="IZ7" s="104" t="str" cm="1">
        <f t="array" ref="IZ7">_xlfn.SINGLE(IFERROR(IF(WEEKDAY(_xlfn.SINGLE(9:9),2)&gt;5,"WE",IF(VLOOKUP(IZ9,Paramètres!$C$3:$C$42,1,FALSE)=IZ9,"Férié","")),_xlfn._xlws.FILTER(Date_IA_PIP[Cérémonie],(Date_IA_PIP[Date début]&lt;=IZ9)*(Date_IA_PIP[[Date fin ]]&gt;=IZ9),"")))</f>
        <v>Férié</v>
      </c>
      <c r="JA7" s="104" t="str" cm="1">
        <f t="array" ref="JA7">_xlfn.SINGLE(IFERROR(IF(WEEKDAY(_xlfn.SINGLE(9:9),2)&gt;5,"WE",IF(VLOOKUP(JA9,Paramètres!$C$3:$C$42,1,FALSE)=JA9,"Férié","")),_xlfn._xlws.FILTER(Date_IA_PIP[Cérémonie],(Date_IA_PIP[Date début]&lt;=JA9)*(Date_IA_PIP[[Date fin ]]&gt;=JA9),"")))</f>
        <v>WE</v>
      </c>
      <c r="JB7" s="104" t="str" cm="1">
        <f t="array" ref="JB7">_xlfn.SINGLE(IFERROR(IF(WEEKDAY(_xlfn.SINGLE(9:9),2)&gt;5,"WE",IF(VLOOKUP(JB9,Paramètres!$C$3:$C$42,1,FALSE)=JB9,"Férié","")),_xlfn._xlws.FILTER(Date_IA_PIP[Cérémonie],(Date_IA_PIP[Date début]&lt;=JB9)*(Date_IA_PIP[[Date fin ]]&gt;=JB9),"")))</f>
        <v>WE</v>
      </c>
      <c r="JC7" s="104" t="str" cm="1">
        <f t="array" ref="JC7">_xlfn.SINGLE(IFERROR(IF(WEEKDAY(_xlfn.SINGLE(9:9),2)&gt;5,"WE",IF(VLOOKUP(JC9,Paramètres!$C$3:$C$42,1,FALSE)=JC9,"Férié","")),_xlfn._xlws.FILTER(Date_IA_PIP[Cérémonie],(Date_IA_PIP[Date début]&lt;=JC9)*(Date_IA_PIP[[Date fin ]]&gt;=JC9),"")))</f>
        <v/>
      </c>
      <c r="JD7" s="104" t="str" cm="1">
        <f t="array" ref="JD7">_xlfn.SINGLE(IFERROR(IF(WEEKDAY(_xlfn.SINGLE(9:9),2)&gt;5,"WE",IF(VLOOKUP(JD9,Paramètres!$C$3:$C$42,1,FALSE)=JD9,"Férié","")),_xlfn._xlws.FILTER(Date_IA_PIP[Cérémonie],(Date_IA_PIP[Date début]&lt;=JD9)*(Date_IA_PIP[[Date fin ]]&gt;=JD9),"")))</f>
        <v/>
      </c>
      <c r="JE7" s="104" t="str" cm="1">
        <f t="array" ref="JE7">_xlfn.SINGLE(IFERROR(IF(WEEKDAY(_xlfn.SINGLE(9:9),2)&gt;5,"WE",IF(VLOOKUP(JE9,Paramètres!$C$3:$C$42,1,FALSE)=JE9,"Férié","")),_xlfn._xlws.FILTER(Date_IA_PIP[Cérémonie],(Date_IA_PIP[Date début]&lt;=JE9)*(Date_IA_PIP[[Date fin ]]&gt;=JE9),"")))</f>
        <v/>
      </c>
      <c r="JF7" s="104" t="str" cm="1">
        <f t="array" ref="JF7">_xlfn.SINGLE(IFERROR(IF(WEEKDAY(_xlfn.SINGLE(9:9),2)&gt;5,"WE",IF(VLOOKUP(JF9,Paramètres!$C$3:$C$42,1,FALSE)=JF9,"Férié","")),_xlfn._xlws.FILTER(Date_IA_PIP[Cérémonie],(Date_IA_PIP[Date début]&lt;=JF9)*(Date_IA_PIP[[Date fin ]]&gt;=JF9),"")))</f>
        <v/>
      </c>
      <c r="JG7" s="104" t="str" cm="1">
        <f t="array" ref="JG7">_xlfn.SINGLE(IFERROR(IF(WEEKDAY(_xlfn.SINGLE(9:9),2)&gt;5,"WE",IF(VLOOKUP(JG9,Paramètres!$C$3:$C$42,1,FALSE)=JG9,"Férié","")),_xlfn._xlws.FILTER(Date_IA_PIP[Cérémonie],(Date_IA_PIP[Date début]&lt;=JG9)*(Date_IA_PIP[[Date fin ]]&gt;=JG9),"")))</f>
        <v/>
      </c>
      <c r="JH7" s="104" t="str" cm="1">
        <f t="array" ref="JH7">_xlfn.SINGLE(IFERROR(IF(WEEKDAY(_xlfn.SINGLE(9:9),2)&gt;5,"WE",IF(VLOOKUP(JH9,Paramètres!$C$3:$C$42,1,FALSE)=JH9,"Férié","")),_xlfn._xlws.FILTER(Date_IA_PIP[Cérémonie],(Date_IA_PIP[Date début]&lt;=JH9)*(Date_IA_PIP[[Date fin ]]&gt;=JH9),"")))</f>
        <v>WE</v>
      </c>
      <c r="JI7" s="104" t="str" cm="1">
        <f t="array" ref="JI7">_xlfn.SINGLE(IFERROR(IF(WEEKDAY(_xlfn.SINGLE(9:9),2)&gt;5,"WE",IF(VLOOKUP(JI9,Paramètres!$C$3:$C$42,1,FALSE)=JI9,"Férié","")),_xlfn._xlws.FILTER(Date_IA_PIP[Cérémonie],(Date_IA_PIP[Date début]&lt;=JI9)*(Date_IA_PIP[[Date fin ]]&gt;=JI9),"")))</f>
        <v>WE</v>
      </c>
      <c r="JJ7" s="104" t="str" cm="1">
        <f t="array" ref="JJ7">_xlfn.SINGLE(IFERROR(IF(WEEKDAY(_xlfn.SINGLE(9:9),2)&gt;5,"WE",IF(VLOOKUP(JJ9,Paramètres!$C$3:$C$42,1,FALSE)=JJ9,"Férié","")),_xlfn._xlws.FILTER(Date_IA_PIP[Cérémonie],(Date_IA_PIP[Date début]&lt;=JJ9)*(Date_IA_PIP[[Date fin ]]&gt;=JJ9),"")))</f>
        <v/>
      </c>
      <c r="JK7" s="104" t="str" cm="1">
        <f t="array" ref="JK7">_xlfn.SINGLE(IFERROR(IF(WEEKDAY(_xlfn.SINGLE(9:9),2)&gt;5,"WE",IF(VLOOKUP(JK9,Paramètres!$C$3:$C$42,1,FALSE)=JK9,"Férié","")),_xlfn._xlws.FILTER(Date_IA_PIP[Cérémonie],(Date_IA_PIP[Date début]&lt;=JK9)*(Date_IA_PIP[[Date fin ]]&gt;=JK9),"")))</f>
        <v/>
      </c>
      <c r="JL7" s="104" t="str" cm="1">
        <f t="array" ref="JL7">_xlfn.SINGLE(IFERROR(IF(WEEKDAY(_xlfn.SINGLE(9:9),2)&gt;5,"WE",IF(VLOOKUP(JL9,Paramètres!$C$3:$C$42,1,FALSE)=JL9,"Férié","")),_xlfn._xlws.FILTER(Date_IA_PIP[Cérémonie],(Date_IA_PIP[Date début]&lt;=JL9)*(Date_IA_PIP[[Date fin ]]&gt;=JL9),"")))</f>
        <v/>
      </c>
      <c r="JM7" s="104" t="str" cm="1">
        <f t="array" ref="JM7">_xlfn.SINGLE(IFERROR(IF(WEEKDAY(_xlfn.SINGLE(9:9),2)&gt;5,"WE",IF(VLOOKUP(JM9,Paramètres!$C$3:$C$42,1,FALSE)=JM9,"Férié","")),_xlfn._xlws.FILTER(Date_IA_PIP[Cérémonie],(Date_IA_PIP[Date début]&lt;=JM9)*(Date_IA_PIP[[Date fin ]]&gt;=JM9),"")))</f>
        <v/>
      </c>
      <c r="JN7" s="104" t="str" cm="1">
        <f t="array" ref="JN7">_xlfn.SINGLE(IFERROR(IF(WEEKDAY(_xlfn.SINGLE(9:9),2)&gt;5,"WE",IF(VLOOKUP(JN9,Paramètres!$C$3:$C$42,1,FALSE)=JN9,"Férié","")),_xlfn._xlws.FILTER(Date_IA_PIP[Cérémonie],(Date_IA_PIP[Date début]&lt;=JN9)*(Date_IA_PIP[[Date fin ]]&gt;=JN9),"")))</f>
        <v/>
      </c>
      <c r="JO7" s="104" t="str" cm="1">
        <f t="array" ref="JO7">_xlfn.SINGLE(IFERROR(IF(WEEKDAY(_xlfn.SINGLE(9:9),2)&gt;5,"WE",IF(VLOOKUP(JO9,Paramètres!$C$3:$C$42,1,FALSE)=JO9,"Férié","")),_xlfn._xlws.FILTER(Date_IA_PIP[Cérémonie],(Date_IA_PIP[Date début]&lt;=JO9)*(Date_IA_PIP[[Date fin ]]&gt;=JO9),"")))</f>
        <v>WE</v>
      </c>
      <c r="JP7" s="104" t="str" cm="1">
        <f t="array" ref="JP7">_xlfn.SINGLE(IFERROR(IF(WEEKDAY(_xlfn.SINGLE(9:9),2)&gt;5,"WE",IF(VLOOKUP(JP9,Paramètres!$C$3:$C$42,1,FALSE)=JP9,"Férié","")),_xlfn._xlws.FILTER(Date_IA_PIP[Cérémonie],(Date_IA_PIP[Date début]&lt;=JP9)*(Date_IA_PIP[[Date fin ]]&gt;=JP9),"")))</f>
        <v>WE</v>
      </c>
      <c r="JQ7" s="104" t="str" cm="1">
        <f t="array" ref="JQ7">_xlfn.SINGLE(IFERROR(IF(WEEKDAY(_xlfn.SINGLE(9:9),2)&gt;5,"WE",IF(VLOOKUP(JQ9,Paramètres!$C$3:$C$42,1,FALSE)=JQ9,"Férié","")),_xlfn._xlws.FILTER(Date_IA_PIP[Cérémonie],(Date_IA_PIP[Date début]&lt;=JQ9)*(Date_IA_PIP[[Date fin ]]&gt;=JQ9),"")))</f>
        <v/>
      </c>
      <c r="JR7" s="104" t="str" cm="1">
        <f t="array" ref="JR7">_xlfn.SINGLE(IFERROR(IF(WEEKDAY(_xlfn.SINGLE(9:9),2)&gt;5,"WE",IF(VLOOKUP(JR9,Paramètres!$C$3:$C$42,1,FALSE)=JR9,"Férié","")),_xlfn._xlws.FILTER(Date_IA_PIP[Cérémonie],(Date_IA_PIP[Date début]&lt;=JR9)*(Date_IA_PIP[[Date fin ]]&gt;=JR9),"")))</f>
        <v/>
      </c>
      <c r="JS7" s="104" t="str" cm="1">
        <f t="array" ref="JS7">_xlfn.SINGLE(IFERROR(IF(WEEKDAY(_xlfn.SINGLE(9:9),2)&gt;5,"WE",IF(VLOOKUP(JS9,Paramètres!$C$3:$C$42,1,FALSE)=JS9,"Férié","")),_xlfn._xlws.FILTER(Date_IA_PIP[Cérémonie],(Date_IA_PIP[Date début]&lt;=JS9)*(Date_IA_PIP[[Date fin ]]&gt;=JS9),"")))</f>
        <v/>
      </c>
      <c r="JT7" s="104" t="str" cm="1">
        <f t="array" ref="JT7">_xlfn.SINGLE(IFERROR(IF(WEEKDAY(_xlfn.SINGLE(9:9),2)&gt;5,"WE",IF(VLOOKUP(JT9,Paramètres!$C$3:$C$42,1,FALSE)=JT9,"Férié","")),_xlfn._xlws.FILTER(Date_IA_PIP[Cérémonie],(Date_IA_PIP[Date début]&lt;=JT9)*(Date_IA_PIP[[Date fin ]]&gt;=JT9),"")))</f>
        <v/>
      </c>
      <c r="JU7" s="104" t="str" cm="1">
        <f t="array" ref="JU7">_xlfn.SINGLE(IFERROR(IF(WEEKDAY(_xlfn.SINGLE(9:9),2)&gt;5,"WE",IF(VLOOKUP(JU9,Paramètres!$C$3:$C$42,1,FALSE)=JU9,"Férié","")),_xlfn._xlws.FILTER(Date_IA_PIP[Cérémonie],(Date_IA_PIP[Date début]&lt;=JU9)*(Date_IA_PIP[[Date fin ]]&gt;=JU9),"")))</f>
        <v/>
      </c>
      <c r="JV7" s="104" t="str" cm="1">
        <f t="array" ref="JV7">_xlfn.SINGLE(IFERROR(IF(WEEKDAY(_xlfn.SINGLE(9:9),2)&gt;5,"WE",IF(VLOOKUP(JV9,Paramètres!$C$3:$C$42,1,FALSE)=JV9,"Férié","")),_xlfn._xlws.FILTER(Date_IA_PIP[Cérémonie],(Date_IA_PIP[Date début]&lt;=JV9)*(Date_IA_PIP[[Date fin ]]&gt;=JV9),"")))</f>
        <v>WE</v>
      </c>
      <c r="JW7" s="104" t="str" cm="1">
        <f t="array" ref="JW7">_xlfn.SINGLE(IFERROR(IF(WEEKDAY(_xlfn.SINGLE(9:9),2)&gt;5,"WE",IF(VLOOKUP(JW9,Paramètres!$C$3:$C$42,1,FALSE)=JW9,"Férié","")),_xlfn._xlws.FILTER(Date_IA_PIP[Cérémonie],(Date_IA_PIP[Date début]&lt;=JW9)*(Date_IA_PIP[[Date fin ]]&gt;=JW9),"")))</f>
        <v>WE</v>
      </c>
      <c r="JX7" s="104" t="str" cm="1">
        <f t="array" ref="JX7">_xlfn.SINGLE(IFERROR(IF(WEEKDAY(_xlfn.SINGLE(9:9),2)&gt;5,"WE",IF(VLOOKUP(JX9,Paramètres!$C$3:$C$42,1,FALSE)=JX9,"Férié","")),_xlfn._xlws.FILTER(Date_IA_PIP[Cérémonie],(Date_IA_PIP[Date début]&lt;=JX9)*(Date_IA_PIP[[Date fin ]]&gt;=JX9),"")))</f>
        <v/>
      </c>
      <c r="JY7" s="104" t="str" cm="1">
        <f t="array" ref="JY7">_xlfn.SINGLE(IFERROR(IF(WEEKDAY(_xlfn.SINGLE(9:9),2)&gt;5,"WE",IF(VLOOKUP(JY9,Paramètres!$C$3:$C$42,1,FALSE)=JY9,"Férié","")),_xlfn._xlws.FILTER(Date_IA_PIP[Cérémonie],(Date_IA_PIP[Date début]&lt;=JY9)*(Date_IA_PIP[[Date fin ]]&gt;=JY9),"")))</f>
        <v/>
      </c>
      <c r="JZ7" s="104" t="str" cm="1">
        <f t="array" ref="JZ7">_xlfn.SINGLE(IFERROR(IF(WEEKDAY(_xlfn.SINGLE(9:9),2)&gt;5,"WE",IF(VLOOKUP(JZ9,Paramètres!$C$3:$C$42,1,FALSE)=JZ9,"Férié","")),_xlfn._xlws.FILTER(Date_IA_PIP[Cérémonie],(Date_IA_PIP[Date début]&lt;=JZ9)*(Date_IA_PIP[[Date fin ]]&gt;=JZ9),"")))</f>
        <v/>
      </c>
      <c r="KA7" s="104" t="str" cm="1">
        <f t="array" ref="KA7">_xlfn.SINGLE(IFERROR(IF(WEEKDAY(_xlfn.SINGLE(9:9),2)&gt;5,"WE",IF(VLOOKUP(KA9,Paramètres!$C$3:$C$42,1,FALSE)=KA9,"Férié","")),_xlfn._xlws.FILTER(Date_IA_PIP[Cérémonie],(Date_IA_PIP[Date début]&lt;=KA9)*(Date_IA_PIP[[Date fin ]]&gt;=KA9),"")))</f>
        <v/>
      </c>
      <c r="KB7" s="104" t="str" cm="1">
        <f t="array" ref="KB7">_xlfn.SINGLE(IFERROR(IF(WEEKDAY(_xlfn.SINGLE(9:9),2)&gt;5,"WE",IF(VLOOKUP(KB9,Paramètres!$C$3:$C$42,1,FALSE)=KB9,"Férié","")),_xlfn._xlws.FILTER(Date_IA_PIP[Cérémonie],(Date_IA_PIP[Date début]&lt;=KB9)*(Date_IA_PIP[[Date fin ]]&gt;=KB9),"")))</f>
        <v/>
      </c>
      <c r="KC7" s="104" t="str" cm="1">
        <f t="array" ref="KC7">_xlfn.SINGLE(IFERROR(IF(WEEKDAY(_xlfn.SINGLE(9:9),2)&gt;5,"WE",IF(VLOOKUP(KC9,Paramètres!$C$3:$C$42,1,FALSE)=KC9,"Férié","")),_xlfn._xlws.FILTER(Date_IA_PIP[Cérémonie],(Date_IA_PIP[Date début]&lt;=KC9)*(Date_IA_PIP[[Date fin ]]&gt;=KC9),"")))</f>
        <v>WE</v>
      </c>
      <c r="KD7" s="104" t="str" cm="1">
        <f t="array" ref="KD7">_xlfn.SINGLE(IFERROR(IF(WEEKDAY(_xlfn.SINGLE(9:9),2)&gt;5,"WE",IF(VLOOKUP(KD9,Paramètres!$C$3:$C$42,1,FALSE)=KD9,"Férié","")),_xlfn._xlws.FILTER(Date_IA_PIP[Cérémonie],(Date_IA_PIP[Date début]&lt;=KD9)*(Date_IA_PIP[[Date fin ]]&gt;=KD9),"")))</f>
        <v>WE</v>
      </c>
      <c r="KE7" s="104" t="str" cm="1">
        <f t="array" ref="KE7">_xlfn.SINGLE(IFERROR(IF(WEEKDAY(_xlfn.SINGLE(9:9),2)&gt;5,"WE",IF(VLOOKUP(KE9,Paramètres!$C$3:$C$42,1,FALSE)=KE9,"Férié","")),_xlfn._xlws.FILTER(Date_IA_PIP[Cérémonie],(Date_IA_PIP[Date début]&lt;=KE9)*(Date_IA_PIP[[Date fin ]]&gt;=KE9),"")))</f>
        <v/>
      </c>
      <c r="KF7" s="104" t="str" cm="1">
        <f t="array" ref="KF7">_xlfn.SINGLE(IFERROR(IF(WEEKDAY(_xlfn.SINGLE(9:9),2)&gt;5,"WE",IF(VLOOKUP(KF9,Paramètres!$C$3:$C$42,1,FALSE)=KF9,"Férié","")),_xlfn._xlws.FILTER(Date_IA_PIP[Cérémonie],(Date_IA_PIP[Date début]&lt;=KF9)*(Date_IA_PIP[[Date fin ]]&gt;=KF9),"")))</f>
        <v/>
      </c>
      <c r="KG7" s="104" t="str" cm="1">
        <f t="array" ref="KG7">_xlfn.SINGLE(IFERROR(IF(WEEKDAY(_xlfn.SINGLE(9:9),2)&gt;5,"WE",IF(VLOOKUP(KG9,Paramètres!$C$3:$C$42,1,FALSE)=KG9,"Férié","")),_xlfn._xlws.FILTER(Date_IA_PIP[Cérémonie],(Date_IA_PIP[Date début]&lt;=KG9)*(Date_IA_PIP[[Date fin ]]&gt;=KG9),"")))</f>
        <v/>
      </c>
      <c r="KH7" s="104" t="str" cm="1">
        <f t="array" ref="KH7">_xlfn.SINGLE(IFERROR(IF(WEEKDAY(_xlfn.SINGLE(9:9),2)&gt;5,"WE",IF(VLOOKUP(KH9,Paramètres!$C$3:$C$42,1,FALSE)=KH9,"Férié","")),_xlfn._xlws.FILTER(Date_IA_PIP[Cérémonie],(Date_IA_PIP[Date début]&lt;=KH9)*(Date_IA_PIP[[Date fin ]]&gt;=KH9),"")))</f>
        <v/>
      </c>
      <c r="KI7" s="104" t="str" cm="1">
        <f t="array" ref="KI7">_xlfn.SINGLE(IFERROR(IF(WEEKDAY(_xlfn.SINGLE(9:9),2)&gt;5,"WE",IF(VLOOKUP(KI9,Paramètres!$C$3:$C$42,1,FALSE)=KI9,"Férié","")),_xlfn._xlws.FILTER(Date_IA_PIP[Cérémonie],(Date_IA_PIP[Date début]&lt;=KI9)*(Date_IA_PIP[[Date fin ]]&gt;=KI9),"")))</f>
        <v/>
      </c>
      <c r="KJ7" s="104" t="str" cm="1">
        <f t="array" ref="KJ7">_xlfn.SINGLE(IFERROR(IF(WEEKDAY(_xlfn.SINGLE(9:9),2)&gt;5,"WE",IF(VLOOKUP(KJ9,Paramètres!$C$3:$C$42,1,FALSE)=KJ9,"Férié","")),_xlfn._xlws.FILTER(Date_IA_PIP[Cérémonie],(Date_IA_PIP[Date début]&lt;=KJ9)*(Date_IA_PIP[[Date fin ]]&gt;=KJ9),"")))</f>
        <v>WE</v>
      </c>
      <c r="KK7" s="104" t="str" cm="1">
        <f t="array" ref="KK7">_xlfn.SINGLE(IFERROR(IF(WEEKDAY(_xlfn.SINGLE(9:9),2)&gt;5,"WE",IF(VLOOKUP(KK9,Paramètres!$C$3:$C$42,1,FALSE)=KK9,"Férié","")),_xlfn._xlws.FILTER(Date_IA_PIP[Cérémonie],(Date_IA_PIP[Date début]&lt;=KK9)*(Date_IA_PIP[[Date fin ]]&gt;=KK9),"")))</f>
        <v>WE</v>
      </c>
      <c r="KL7" s="104" t="str" cm="1">
        <f t="array" ref="KL7">_xlfn.SINGLE(IFERROR(IF(WEEKDAY(_xlfn.SINGLE(9:9),2)&gt;5,"WE",IF(VLOOKUP(KL9,Paramètres!$C$3:$C$42,1,FALSE)=KL9,"Férié","")),_xlfn._xlws.FILTER(Date_IA_PIP[Cérémonie],(Date_IA_PIP[Date début]&lt;=KL9)*(Date_IA_PIP[[Date fin ]]&gt;=KL9),"")))</f>
        <v/>
      </c>
      <c r="KM7" s="104" t="str" cm="1">
        <f t="array" ref="KM7">_xlfn.SINGLE(IFERROR(IF(WEEKDAY(_xlfn.SINGLE(9:9),2)&gt;5,"WE",IF(VLOOKUP(KM9,Paramètres!$C$3:$C$42,1,FALSE)=KM9,"Férié","")),_xlfn._xlws.FILTER(Date_IA_PIP[Cérémonie],(Date_IA_PIP[Date début]&lt;=KM9)*(Date_IA_PIP[[Date fin ]]&gt;=KM9),"")))</f>
        <v>I&amp;A</v>
      </c>
      <c r="KN7" s="104" t="str" cm="1">
        <f t="array" ref="KN7">_xlfn.SINGLE(IFERROR(IF(WEEKDAY(_xlfn.SINGLE(9:9),2)&gt;5,"WE",IF(VLOOKUP(KN9,Paramètres!$C$3:$C$42,1,FALSE)=KN9,"Férié","")),_xlfn._xlws.FILTER(Date_IA_PIP[Cérémonie],(Date_IA_PIP[Date début]&lt;=KN9)*(Date_IA_PIP[[Date fin ]]&gt;=KN9),"")))</f>
        <v>PIP</v>
      </c>
      <c r="KO7" s="104" t="str" cm="1">
        <f t="array" ref="KO7">_xlfn.SINGLE(IFERROR(IF(WEEKDAY(_xlfn.SINGLE(9:9),2)&gt;5,"WE",IF(VLOOKUP(KO9,Paramètres!$C$3:$C$42,1,FALSE)=KO9,"Férié","")),_xlfn._xlws.FILTER(Date_IA_PIP[Cérémonie],(Date_IA_PIP[Date début]&lt;=KO9)*(Date_IA_PIP[[Date fin ]]&gt;=KO9),"")))</f>
        <v>PIP</v>
      </c>
      <c r="KP7" s="104" t="str" cm="1">
        <f t="array" ref="KP7">_xlfn.SINGLE(IFERROR(IF(WEEKDAY(_xlfn.SINGLE(9:9),2)&gt;5,"WE",IF(VLOOKUP(KP9,Paramètres!$C$3:$C$42,1,FALSE)=KP9,"Férié","")),_xlfn._xlws.FILTER(Date_IA_PIP[Cérémonie],(Date_IA_PIP[Date début]&lt;=KP9)*(Date_IA_PIP[[Date fin ]]&gt;=KP9),"")))</f>
        <v/>
      </c>
      <c r="KQ7" s="104" t="str" cm="1">
        <f t="array" ref="KQ7">_xlfn.SINGLE(IFERROR(IF(WEEKDAY(_xlfn.SINGLE(9:9),2)&gt;5,"WE",IF(VLOOKUP(KQ9,Paramètres!$C$3:$C$42,1,FALSE)=KQ9,"Férié","")),_xlfn._xlws.FILTER(Date_IA_PIP[Cérémonie],(Date_IA_PIP[Date début]&lt;=KQ9)*(Date_IA_PIP[[Date fin ]]&gt;=KQ9),"")))</f>
        <v>WE</v>
      </c>
      <c r="KR7" s="104" t="str" cm="1">
        <f t="array" ref="KR7">_xlfn.SINGLE(IFERROR(IF(WEEKDAY(_xlfn.SINGLE(9:9),2)&gt;5,"WE",IF(VLOOKUP(KR9,Paramètres!$C$3:$C$42,1,FALSE)=KR9,"Férié","")),_xlfn._xlws.FILTER(Date_IA_PIP[Cérémonie],(Date_IA_PIP[Date début]&lt;=KR9)*(Date_IA_PIP[[Date fin ]]&gt;=KR9),"")))</f>
        <v>WE</v>
      </c>
      <c r="KS7" s="104" t="str" cm="1">
        <f t="array" ref="KS7">_xlfn.SINGLE(IFERROR(IF(WEEKDAY(_xlfn.SINGLE(9:9),2)&gt;5,"WE",IF(VLOOKUP(KS9,Paramètres!$C$3:$C$42,1,FALSE)=KS9,"Férié","")),_xlfn._xlws.FILTER(Date_IA_PIP[Cérémonie],(Date_IA_PIP[Date début]&lt;=KS9)*(Date_IA_PIP[[Date fin ]]&gt;=KS9),"")))</f>
        <v/>
      </c>
      <c r="KT7" s="104" t="str" cm="1">
        <f t="array" ref="KT7">_xlfn.SINGLE(IFERROR(IF(WEEKDAY(_xlfn.SINGLE(9:9),2)&gt;5,"WE",IF(VLOOKUP(KT9,Paramètres!$C$3:$C$42,1,FALSE)=KT9,"Férié","")),_xlfn._xlws.FILTER(Date_IA_PIP[Cérémonie],(Date_IA_PIP[Date début]&lt;=KT9)*(Date_IA_PIP[[Date fin ]]&gt;=KT9),"")))</f>
        <v/>
      </c>
      <c r="KU7" s="104" t="str" cm="1">
        <f t="array" ref="KU7">_xlfn.SINGLE(IFERROR(IF(WEEKDAY(_xlfn.SINGLE(9:9),2)&gt;5,"WE",IF(VLOOKUP(KU9,Paramètres!$C$3:$C$42,1,FALSE)=KU9,"Férié","")),_xlfn._xlws.FILTER(Date_IA_PIP[Cérémonie],(Date_IA_PIP[Date début]&lt;=KU9)*(Date_IA_PIP[[Date fin ]]&gt;=KU9),"")))</f>
        <v/>
      </c>
      <c r="KV7" s="104" t="str" cm="1">
        <f t="array" ref="KV7">_xlfn.SINGLE(IFERROR(IF(WEEKDAY(_xlfn.SINGLE(9:9),2)&gt;5,"WE",IF(VLOOKUP(KV9,Paramètres!$C$3:$C$42,1,FALSE)=KV9,"Férié","")),_xlfn._xlws.FILTER(Date_IA_PIP[Cérémonie],(Date_IA_PIP[Date début]&lt;=KV9)*(Date_IA_PIP[[Date fin ]]&gt;=KV9),"")))</f>
        <v/>
      </c>
      <c r="KW7" s="104" t="str" cm="1">
        <f t="array" ref="KW7">_xlfn.SINGLE(IFERROR(IF(WEEKDAY(_xlfn.SINGLE(9:9),2)&gt;5,"WE",IF(VLOOKUP(KW9,Paramètres!$C$3:$C$42,1,FALSE)=KW9,"Férié","")),_xlfn._xlws.FILTER(Date_IA_PIP[Cérémonie],(Date_IA_PIP[Date début]&lt;=KW9)*(Date_IA_PIP[[Date fin ]]&gt;=KW9),"")))</f>
        <v/>
      </c>
      <c r="KX7" s="104" t="str" cm="1">
        <f t="array" ref="KX7">_xlfn.SINGLE(IFERROR(IF(WEEKDAY(_xlfn.SINGLE(9:9),2)&gt;5,"WE",IF(VLOOKUP(KX9,Paramètres!$C$3:$C$42,1,FALSE)=KX9,"Férié","")),_xlfn._xlws.FILTER(Date_IA_PIP[Cérémonie],(Date_IA_PIP[Date début]&lt;=KX9)*(Date_IA_PIP[[Date fin ]]&gt;=KX9),"")))</f>
        <v>WE</v>
      </c>
      <c r="KY7" s="104" t="str" cm="1">
        <f t="array" ref="KY7">_xlfn.SINGLE(IFERROR(IF(WEEKDAY(_xlfn.SINGLE(9:9),2)&gt;5,"WE",IF(VLOOKUP(KY9,Paramètres!$C$3:$C$42,1,FALSE)=KY9,"Férié","")),_xlfn._xlws.FILTER(Date_IA_PIP[Cérémonie],(Date_IA_PIP[Date début]&lt;=KY9)*(Date_IA_PIP[[Date fin ]]&gt;=KY9),"")))</f>
        <v>WE</v>
      </c>
      <c r="KZ7" s="104" t="str" cm="1">
        <f t="array" ref="KZ7">_xlfn.SINGLE(IFERROR(IF(WEEKDAY(_xlfn.SINGLE(9:9),2)&gt;5,"WE",IF(VLOOKUP(KZ9,Paramètres!$C$3:$C$42,1,FALSE)=KZ9,"Férié","")),_xlfn._xlws.FILTER(Date_IA_PIP[Cérémonie],(Date_IA_PIP[Date début]&lt;=KZ9)*(Date_IA_PIP[[Date fin ]]&gt;=KZ9),"")))</f>
        <v/>
      </c>
      <c r="LA7" s="104" t="str" cm="1">
        <f t="array" ref="LA7">_xlfn.SINGLE(IFERROR(IF(WEEKDAY(_xlfn.SINGLE(9:9),2)&gt;5,"WE",IF(VLOOKUP(LA9,Paramètres!$C$3:$C$42,1,FALSE)=LA9,"Férié","")),_xlfn._xlws.FILTER(Date_IA_PIP[Cérémonie],(Date_IA_PIP[Date début]&lt;=LA9)*(Date_IA_PIP[[Date fin ]]&gt;=LA9),"")))</f>
        <v/>
      </c>
      <c r="LB7" s="104" t="str" cm="1">
        <f t="array" ref="LB7">_xlfn.SINGLE(IFERROR(IF(WEEKDAY(_xlfn.SINGLE(9:9),2)&gt;5,"WE",IF(VLOOKUP(LB9,Paramètres!$C$3:$C$42,1,FALSE)=LB9,"Férié","")),_xlfn._xlws.FILTER(Date_IA_PIP[Cérémonie],(Date_IA_PIP[Date début]&lt;=LB9)*(Date_IA_PIP[[Date fin ]]&gt;=LB9),"")))</f>
        <v/>
      </c>
      <c r="LC7" s="104" t="str" cm="1">
        <f t="array" ref="LC7">_xlfn.SINGLE(IFERROR(IF(WEEKDAY(_xlfn.SINGLE(9:9),2)&gt;5,"WE",IF(VLOOKUP(LC9,Paramètres!$C$3:$C$42,1,FALSE)=LC9,"Férié","")),_xlfn._xlws.FILTER(Date_IA_PIP[Cérémonie],(Date_IA_PIP[Date début]&lt;=LC9)*(Date_IA_PIP[[Date fin ]]&gt;=LC9),"")))</f>
        <v/>
      </c>
      <c r="LD7" s="104" t="str" cm="1">
        <f t="array" ref="LD7">_xlfn.SINGLE(IFERROR(IF(WEEKDAY(_xlfn.SINGLE(9:9),2)&gt;5,"WE",IF(VLOOKUP(LD9,Paramètres!$C$3:$C$42,1,FALSE)=LD9,"Férié","")),_xlfn._xlws.FILTER(Date_IA_PIP[Cérémonie],(Date_IA_PIP[Date début]&lt;=LD9)*(Date_IA_PIP[[Date fin ]]&gt;=LD9),"")))</f>
        <v/>
      </c>
      <c r="LE7" s="104" t="str" cm="1">
        <f t="array" ref="LE7">_xlfn.SINGLE(IFERROR(IF(WEEKDAY(_xlfn.SINGLE(9:9),2)&gt;5,"WE",IF(VLOOKUP(LE9,Paramètres!$C$3:$C$42,1,FALSE)=LE9,"Férié","")),_xlfn._xlws.FILTER(Date_IA_PIP[Cérémonie],(Date_IA_PIP[Date début]&lt;=LE9)*(Date_IA_PIP[[Date fin ]]&gt;=LE9),"")))</f>
        <v>WE</v>
      </c>
      <c r="LF7" s="104" t="str" cm="1">
        <f t="array" ref="LF7">_xlfn.SINGLE(IFERROR(IF(WEEKDAY(_xlfn.SINGLE(9:9),2)&gt;5,"WE",IF(VLOOKUP(LF9,Paramètres!$C$3:$C$42,1,FALSE)=LF9,"Férié","")),_xlfn._xlws.FILTER(Date_IA_PIP[Cérémonie],(Date_IA_PIP[Date début]&lt;=LF9)*(Date_IA_PIP[[Date fin ]]&gt;=LF9),"")))</f>
        <v>WE</v>
      </c>
      <c r="LG7" s="104" t="str" cm="1">
        <f t="array" ref="LG7">_xlfn.SINGLE(IFERROR(IF(WEEKDAY(_xlfn.SINGLE(9:9),2)&gt;5,"WE",IF(VLOOKUP(LG9,Paramètres!$C$3:$C$42,1,FALSE)=LG9,"Férié","")),_xlfn._xlws.FILTER(Date_IA_PIP[Cérémonie],(Date_IA_PIP[Date début]&lt;=LG9)*(Date_IA_PIP[[Date fin ]]&gt;=LG9),"")))</f>
        <v/>
      </c>
      <c r="LH7" s="104" t="str" cm="1">
        <f t="array" ref="LH7">_xlfn.SINGLE(IFERROR(IF(WEEKDAY(_xlfn.SINGLE(9:9),2)&gt;5,"WE",IF(VLOOKUP(LH9,Paramètres!$C$3:$C$42,1,FALSE)=LH9,"Férié","")),_xlfn._xlws.FILTER(Date_IA_PIP[Cérémonie],(Date_IA_PIP[Date début]&lt;=LH9)*(Date_IA_PIP[[Date fin ]]&gt;=LH9),"")))</f>
        <v/>
      </c>
      <c r="LI7" s="104" t="str" cm="1">
        <f t="array" ref="LI7">_xlfn.SINGLE(IFERROR(IF(WEEKDAY(_xlfn.SINGLE(9:9),2)&gt;5,"WE",IF(VLOOKUP(LI9,Paramètres!$C$3:$C$42,1,FALSE)=LI9,"Férié","")),_xlfn._xlws.FILTER(Date_IA_PIP[Cérémonie],(Date_IA_PIP[Date début]&lt;=LI9)*(Date_IA_PIP[[Date fin ]]&gt;=LI9),"")))</f>
        <v/>
      </c>
      <c r="LJ7" s="104" t="str" cm="1">
        <f t="array" ref="LJ7">_xlfn.SINGLE(IFERROR(IF(WEEKDAY(_xlfn.SINGLE(9:9),2)&gt;5,"WE",IF(VLOOKUP(LJ9,Paramètres!$C$3:$C$42,1,FALSE)=LJ9,"Férié","")),_xlfn._xlws.FILTER(Date_IA_PIP[Cérémonie],(Date_IA_PIP[Date début]&lt;=LJ9)*(Date_IA_PIP[[Date fin ]]&gt;=LJ9),"")))</f>
        <v/>
      </c>
      <c r="LK7" s="104" t="str" cm="1">
        <f t="array" ref="LK7">_xlfn.SINGLE(IFERROR(IF(WEEKDAY(_xlfn.SINGLE(9:9),2)&gt;5,"WE",IF(VLOOKUP(LK9,Paramètres!$C$3:$C$42,1,FALSE)=LK9,"Férié","")),_xlfn._xlws.FILTER(Date_IA_PIP[Cérémonie],(Date_IA_PIP[Date début]&lt;=LK9)*(Date_IA_PIP[[Date fin ]]&gt;=LK9),"")))</f>
        <v/>
      </c>
      <c r="LL7" s="104" t="str" cm="1">
        <f t="array" ref="LL7">_xlfn.SINGLE(IFERROR(IF(WEEKDAY(_xlfn.SINGLE(9:9),2)&gt;5,"WE",IF(VLOOKUP(LL9,Paramètres!$C$3:$C$42,1,FALSE)=LL9,"Férié","")),_xlfn._xlws.FILTER(Date_IA_PIP[Cérémonie],(Date_IA_PIP[Date début]&lt;=LL9)*(Date_IA_PIP[[Date fin ]]&gt;=LL9),"")))</f>
        <v>WE</v>
      </c>
      <c r="LM7" s="104" t="str" cm="1">
        <f t="array" ref="LM7">_xlfn.SINGLE(IFERROR(IF(WEEKDAY(_xlfn.SINGLE(9:9),2)&gt;5,"WE",IF(VLOOKUP(LM9,Paramètres!$C$3:$C$42,1,FALSE)=LM9,"Férié","")),_xlfn._xlws.FILTER(Date_IA_PIP[Cérémonie],(Date_IA_PIP[Date début]&lt;=LM9)*(Date_IA_PIP[[Date fin ]]&gt;=LM9),"")))</f>
        <v>WE</v>
      </c>
      <c r="LN7" s="104" t="str" cm="1">
        <f t="array" ref="LN7">_xlfn.SINGLE(IFERROR(IF(WEEKDAY(_xlfn.SINGLE(9:9),2)&gt;5,"WE",IF(VLOOKUP(LN9,Paramètres!$C$3:$C$42,1,FALSE)=LN9,"Férié","")),_xlfn._xlws.FILTER(Date_IA_PIP[Cérémonie],(Date_IA_PIP[Date début]&lt;=LN9)*(Date_IA_PIP[[Date fin ]]&gt;=LN9),"")))</f>
        <v/>
      </c>
      <c r="LO7" s="104" t="str" cm="1">
        <f t="array" ref="LO7">_xlfn.SINGLE(IFERROR(IF(WEEKDAY(_xlfn.SINGLE(9:9),2)&gt;5,"WE",IF(VLOOKUP(LO9,Paramètres!$C$3:$C$42,1,FALSE)=LO9,"Férié","")),_xlfn._xlws.FILTER(Date_IA_PIP[Cérémonie],(Date_IA_PIP[Date début]&lt;=LO9)*(Date_IA_PIP[[Date fin ]]&gt;=LO9),"")))</f>
        <v/>
      </c>
      <c r="LP7" s="104" t="str" cm="1">
        <f t="array" ref="LP7">_xlfn.SINGLE(IFERROR(IF(WEEKDAY(_xlfn.SINGLE(9:9),2)&gt;5,"WE",IF(VLOOKUP(LP9,Paramètres!$C$3:$C$42,1,FALSE)=LP9,"Férié","")),_xlfn._xlws.FILTER(Date_IA_PIP[Cérémonie],(Date_IA_PIP[Date début]&lt;=LP9)*(Date_IA_PIP[[Date fin ]]&gt;=LP9),"")))</f>
        <v/>
      </c>
      <c r="LQ7" s="104" t="str" cm="1">
        <f t="array" ref="LQ7">_xlfn.SINGLE(IFERROR(IF(WEEKDAY(_xlfn.SINGLE(9:9),2)&gt;5,"WE",IF(VLOOKUP(LQ9,Paramètres!$C$3:$C$42,1,FALSE)=LQ9,"Férié","")),_xlfn._xlws.FILTER(Date_IA_PIP[Cérémonie],(Date_IA_PIP[Date début]&lt;=LQ9)*(Date_IA_PIP[[Date fin ]]&gt;=LQ9),"")))</f>
        <v/>
      </c>
      <c r="LR7" s="104" t="str" cm="1">
        <f t="array" ref="LR7">_xlfn.SINGLE(IFERROR(IF(WEEKDAY(_xlfn.SINGLE(9:9),2)&gt;5,"WE",IF(VLOOKUP(LR9,Paramètres!$C$3:$C$42,1,FALSE)=LR9,"Férié","")),_xlfn._xlws.FILTER(Date_IA_PIP[Cérémonie],(Date_IA_PIP[Date début]&lt;=LR9)*(Date_IA_PIP[[Date fin ]]&gt;=LR9),"")))</f>
        <v/>
      </c>
      <c r="LS7" s="104" t="str" cm="1">
        <f t="array" ref="LS7">_xlfn.SINGLE(IFERROR(IF(WEEKDAY(_xlfn.SINGLE(9:9),2)&gt;5,"WE",IF(VLOOKUP(LS9,Paramètres!$C$3:$C$42,1,FALSE)=LS9,"Férié","")),_xlfn._xlws.FILTER(Date_IA_PIP[Cérémonie],(Date_IA_PIP[Date début]&lt;=LS9)*(Date_IA_PIP[[Date fin ]]&gt;=LS9),"")))</f>
        <v>WE</v>
      </c>
      <c r="LT7" s="104" t="str" cm="1">
        <f t="array" ref="LT7">_xlfn.SINGLE(IFERROR(IF(WEEKDAY(_xlfn.SINGLE(9:9),2)&gt;5,"WE",IF(VLOOKUP(LT9,Paramètres!$C$3:$C$42,1,FALSE)=LT9,"Férié","")),_xlfn._xlws.FILTER(Date_IA_PIP[Cérémonie],(Date_IA_PIP[Date début]&lt;=LT9)*(Date_IA_PIP[[Date fin ]]&gt;=LT9),"")))</f>
        <v>WE</v>
      </c>
      <c r="LU7" s="104" t="str" cm="1">
        <f t="array" ref="LU7">_xlfn.SINGLE(IFERROR(IF(WEEKDAY(_xlfn.SINGLE(9:9),2)&gt;5,"WE",IF(VLOOKUP(LU9,Paramètres!$C$3:$C$42,1,FALSE)=LU9,"Férié","")),_xlfn._xlws.FILTER(Date_IA_PIP[Cérémonie],(Date_IA_PIP[Date début]&lt;=LU9)*(Date_IA_PIP[[Date fin ]]&gt;=LU9),"")))</f>
        <v/>
      </c>
      <c r="LV7" s="104" t="str" cm="1">
        <f t="array" ref="LV7">_xlfn.SINGLE(IFERROR(IF(WEEKDAY(_xlfn.SINGLE(9:9),2)&gt;5,"WE",IF(VLOOKUP(LV9,Paramètres!$C$3:$C$42,1,FALSE)=LV9,"Férié","")),_xlfn._xlws.FILTER(Date_IA_PIP[Cérémonie],(Date_IA_PIP[Date début]&lt;=LV9)*(Date_IA_PIP[[Date fin ]]&gt;=LV9),"")))</f>
        <v/>
      </c>
      <c r="LW7" s="104" t="str" cm="1">
        <f t="array" ref="LW7">_xlfn.SINGLE(IFERROR(IF(WEEKDAY(_xlfn.SINGLE(9:9),2)&gt;5,"WE",IF(VLOOKUP(LW9,Paramètres!$C$3:$C$42,1,FALSE)=LW9,"Férié","")),_xlfn._xlws.FILTER(Date_IA_PIP[Cérémonie],(Date_IA_PIP[Date début]&lt;=LW9)*(Date_IA_PIP[[Date fin ]]&gt;=LW9),"")))</f>
        <v/>
      </c>
      <c r="LX7" s="104" t="str" cm="1">
        <f t="array" ref="LX7">_xlfn.SINGLE(IFERROR(IF(WEEKDAY(_xlfn.SINGLE(9:9),2)&gt;5,"WE",IF(VLOOKUP(LX9,Paramètres!$C$3:$C$42,1,FALSE)=LX9,"Férié","")),_xlfn._xlws.FILTER(Date_IA_PIP[Cérémonie],(Date_IA_PIP[Date début]&lt;=LX9)*(Date_IA_PIP[[Date fin ]]&gt;=LX9),"")))</f>
        <v/>
      </c>
      <c r="LY7" s="104" t="str" cm="1">
        <f t="array" ref="LY7">_xlfn.SINGLE(IFERROR(IF(WEEKDAY(_xlfn.SINGLE(9:9),2)&gt;5,"WE",IF(VLOOKUP(LY9,Paramètres!$C$3:$C$42,1,FALSE)=LY9,"Férié","")),_xlfn._xlws.FILTER(Date_IA_PIP[Cérémonie],(Date_IA_PIP[Date début]&lt;=LY9)*(Date_IA_PIP[[Date fin ]]&gt;=LY9),"")))</f>
        <v/>
      </c>
      <c r="LZ7" s="104" t="str" cm="1">
        <f t="array" ref="LZ7">_xlfn.SINGLE(IFERROR(IF(WEEKDAY(_xlfn.SINGLE(9:9),2)&gt;5,"WE",IF(VLOOKUP(LZ9,Paramètres!$C$3:$C$42,1,FALSE)=LZ9,"Férié","")),_xlfn._xlws.FILTER(Date_IA_PIP[Cérémonie],(Date_IA_PIP[Date début]&lt;=LZ9)*(Date_IA_PIP[[Date fin ]]&gt;=LZ9),"")))</f>
        <v>WE</v>
      </c>
      <c r="MA7" s="104" t="str" cm="1">
        <f t="array" ref="MA7">_xlfn.SINGLE(IFERROR(IF(WEEKDAY(_xlfn.SINGLE(9:9),2)&gt;5,"WE",IF(VLOOKUP(MA9,Paramètres!$C$3:$C$42,1,FALSE)=MA9,"Férié","")),_xlfn._xlws.FILTER(Date_IA_PIP[Cérémonie],(Date_IA_PIP[Date début]&lt;=MA9)*(Date_IA_PIP[[Date fin ]]&gt;=MA9),"")))</f>
        <v>WE</v>
      </c>
      <c r="MB7" s="104" t="str" cm="1">
        <f t="array" ref="MB7">_xlfn.SINGLE(IFERROR(IF(WEEKDAY(_xlfn.SINGLE(9:9),2)&gt;5,"WE",IF(VLOOKUP(MB9,Paramètres!$C$3:$C$42,1,FALSE)=MB9,"Férié","")),_xlfn._xlws.FILTER(Date_IA_PIP[Cérémonie],(Date_IA_PIP[Date début]&lt;=MB9)*(Date_IA_PIP[[Date fin ]]&gt;=MB9),"")))</f>
        <v/>
      </c>
      <c r="MC7" s="104" t="str" cm="1">
        <f t="array" ref="MC7">_xlfn.SINGLE(IFERROR(IF(WEEKDAY(_xlfn.SINGLE(9:9),2)&gt;5,"WE",IF(VLOOKUP(MC9,Paramètres!$C$3:$C$42,1,FALSE)=MC9,"Férié","")),_xlfn._xlws.FILTER(Date_IA_PIP[Cérémonie],(Date_IA_PIP[Date début]&lt;=MC9)*(Date_IA_PIP[[Date fin ]]&gt;=MC9),"")))</f>
        <v/>
      </c>
      <c r="MD7" s="104" t="str" cm="1">
        <f t="array" ref="MD7">_xlfn.SINGLE(IFERROR(IF(WEEKDAY(_xlfn.SINGLE(9:9),2)&gt;5,"WE",IF(VLOOKUP(MD9,Paramètres!$C$3:$C$42,1,FALSE)=MD9,"Férié","")),_xlfn._xlws.FILTER(Date_IA_PIP[Cérémonie],(Date_IA_PIP[Date début]&lt;=MD9)*(Date_IA_PIP[[Date fin ]]&gt;=MD9),"")))</f>
        <v/>
      </c>
      <c r="ME7" s="104" t="str" cm="1">
        <f t="array" ref="ME7">_xlfn.SINGLE(IFERROR(IF(WEEKDAY(_xlfn.SINGLE(9:9),2)&gt;5,"WE",IF(VLOOKUP(ME9,Paramètres!$C$3:$C$42,1,FALSE)=ME9,"Férié","")),_xlfn._xlws.FILTER(Date_IA_PIP[Cérémonie],(Date_IA_PIP[Date début]&lt;=ME9)*(Date_IA_PIP[[Date fin ]]&gt;=ME9),"")))</f>
        <v/>
      </c>
      <c r="MF7" s="104" t="str" cm="1">
        <f t="array" ref="MF7">_xlfn.SINGLE(IFERROR(IF(WEEKDAY(_xlfn.SINGLE(9:9),2)&gt;5,"WE",IF(VLOOKUP(MF9,Paramètres!$C$3:$C$42,1,FALSE)=MF9,"Férié","")),_xlfn._xlws.FILTER(Date_IA_PIP[Cérémonie],(Date_IA_PIP[Date début]&lt;=MF9)*(Date_IA_PIP[[Date fin ]]&gt;=MF9),"")))</f>
        <v/>
      </c>
      <c r="MG7" s="104" t="str" cm="1">
        <f t="array" ref="MG7">_xlfn.SINGLE(IFERROR(IF(WEEKDAY(_xlfn.SINGLE(9:9),2)&gt;5,"WE",IF(VLOOKUP(MG9,Paramètres!$C$3:$C$42,1,FALSE)=MG9,"Férié","")),_xlfn._xlws.FILTER(Date_IA_PIP[Cérémonie],(Date_IA_PIP[Date début]&lt;=MG9)*(Date_IA_PIP[[Date fin ]]&gt;=MG9),"")))</f>
        <v>WE</v>
      </c>
      <c r="MH7" s="104" t="str" cm="1">
        <f t="array" ref="MH7">_xlfn.SINGLE(IFERROR(IF(WEEKDAY(_xlfn.SINGLE(9:9),2)&gt;5,"WE",IF(VLOOKUP(MH9,Paramètres!$C$3:$C$42,1,FALSE)=MH9,"Férié","")),_xlfn._xlws.FILTER(Date_IA_PIP[Cérémonie],(Date_IA_PIP[Date début]&lt;=MH9)*(Date_IA_PIP[[Date fin ]]&gt;=MH9),"")))</f>
        <v>WE</v>
      </c>
      <c r="MI7" s="104" t="str" cm="1">
        <f t="array" ref="MI7">_xlfn.SINGLE(IFERROR(IF(WEEKDAY(_xlfn.SINGLE(9:9),2)&gt;5,"WE",IF(VLOOKUP(MI9,Paramètres!$C$3:$C$42,1,FALSE)=MI9,"Férié","")),_xlfn._xlws.FILTER(Date_IA_PIP[Cérémonie],(Date_IA_PIP[Date début]&lt;=MI9)*(Date_IA_PIP[[Date fin ]]&gt;=MI9),"")))</f>
        <v/>
      </c>
      <c r="MJ7" s="104" t="str" cm="1">
        <f t="array" ref="MJ7">_xlfn.SINGLE(IFERROR(IF(WEEKDAY(_xlfn.SINGLE(9:9),2)&gt;5,"WE",IF(VLOOKUP(MJ9,Paramètres!$C$3:$C$42,1,FALSE)=MJ9,"Férié","")),_xlfn._xlws.FILTER(Date_IA_PIP[Cérémonie],(Date_IA_PIP[Date début]&lt;=MJ9)*(Date_IA_PIP[[Date fin ]]&gt;=MJ9),"")))</f>
        <v>Férié</v>
      </c>
      <c r="MK7" s="104" t="str" cm="1">
        <f t="array" ref="MK7">_xlfn.SINGLE(IFERROR(IF(WEEKDAY(_xlfn.SINGLE(9:9),2)&gt;5,"WE",IF(VLOOKUP(MK9,Paramètres!$C$3:$C$42,1,FALSE)=MK9,"Férié","")),_xlfn._xlws.FILTER(Date_IA_PIP[Cérémonie],(Date_IA_PIP[Date début]&lt;=MK9)*(Date_IA_PIP[[Date fin ]]&gt;=MK9),"")))</f>
        <v/>
      </c>
      <c r="ML7" s="104" t="str" cm="1">
        <f t="array" ref="ML7">_xlfn.SINGLE(IFERROR(IF(WEEKDAY(_xlfn.SINGLE(9:9),2)&gt;5,"WE",IF(VLOOKUP(ML9,Paramètres!$C$3:$C$42,1,FALSE)=ML9,"Férié","")),_xlfn._xlws.FILTER(Date_IA_PIP[Cérémonie],(Date_IA_PIP[Date début]&lt;=ML9)*(Date_IA_PIP[[Date fin ]]&gt;=ML9),"")))</f>
        <v/>
      </c>
      <c r="MM7" s="104" t="str" cm="1">
        <f t="array" ref="MM7">_xlfn.SINGLE(IFERROR(IF(WEEKDAY(_xlfn.SINGLE(9:9),2)&gt;5,"WE",IF(VLOOKUP(MM9,Paramètres!$C$3:$C$42,1,FALSE)=MM9,"Férié","")),_xlfn._xlws.FILTER(Date_IA_PIP[Cérémonie],(Date_IA_PIP[Date début]&lt;=MM9)*(Date_IA_PIP[[Date fin ]]&gt;=MM9),"")))</f>
        <v/>
      </c>
      <c r="MN7" s="104" t="str" cm="1">
        <f t="array" ref="MN7">_xlfn.SINGLE(IFERROR(IF(WEEKDAY(_xlfn.SINGLE(9:9),2)&gt;5,"WE",IF(VLOOKUP(MN9,Paramètres!$C$3:$C$42,1,FALSE)=MN9,"Férié","")),_xlfn._xlws.FILTER(Date_IA_PIP[Cérémonie],(Date_IA_PIP[Date début]&lt;=MN9)*(Date_IA_PIP[[Date fin ]]&gt;=MN9),"")))</f>
        <v>WE</v>
      </c>
      <c r="MO7" s="104" t="str" cm="1">
        <f t="array" ref="MO7">_xlfn.SINGLE(IFERROR(IF(WEEKDAY(_xlfn.SINGLE(9:9),2)&gt;5,"WE",IF(VLOOKUP(MO9,Paramètres!$C$3:$C$42,1,FALSE)=MO9,"Férié","")),_xlfn._xlws.FILTER(Date_IA_PIP[Cérémonie],(Date_IA_PIP[Date début]&lt;=MO9)*(Date_IA_PIP[[Date fin ]]&gt;=MO9),"")))</f>
        <v>WE</v>
      </c>
      <c r="MP7" s="104" t="str" cm="1">
        <f t="array" ref="MP7">_xlfn.SINGLE(IFERROR(IF(WEEKDAY(_xlfn.SINGLE(9:9),2)&gt;5,"WE",IF(VLOOKUP(MP9,Paramètres!$C$3:$C$42,1,FALSE)=MP9,"Férié","")),_xlfn._xlws.FILTER(Date_IA_PIP[Cérémonie],(Date_IA_PIP[Date début]&lt;=MP9)*(Date_IA_PIP[[Date fin ]]&gt;=MP9),"")))</f>
        <v/>
      </c>
      <c r="MQ7" s="104" t="str" cm="1">
        <f t="array" ref="MQ7">_xlfn.SINGLE(IFERROR(IF(WEEKDAY(_xlfn.SINGLE(9:9),2)&gt;5,"WE",IF(VLOOKUP(MQ9,Paramètres!$C$3:$C$42,1,FALSE)=MQ9,"Férié","")),_xlfn._xlws.FILTER(Date_IA_PIP[Cérémonie],(Date_IA_PIP[Date début]&lt;=MQ9)*(Date_IA_PIP[[Date fin ]]&gt;=MQ9),"")))</f>
        <v/>
      </c>
      <c r="MR7" s="104" t="str" cm="1">
        <f t="array" ref="MR7">_xlfn.SINGLE(IFERROR(IF(WEEKDAY(_xlfn.SINGLE(9:9),2)&gt;5,"WE",IF(VLOOKUP(MR9,Paramètres!$C$3:$C$42,1,FALSE)=MR9,"Férié","")),_xlfn._xlws.FILTER(Date_IA_PIP[Cérémonie],(Date_IA_PIP[Date début]&lt;=MR9)*(Date_IA_PIP[[Date fin ]]&gt;=MR9),"")))</f>
        <v/>
      </c>
      <c r="MS7" s="104" t="str" cm="1">
        <f t="array" ref="MS7">_xlfn.SINGLE(IFERROR(IF(WEEKDAY(_xlfn.SINGLE(9:9),2)&gt;5,"WE",IF(VLOOKUP(MS9,Paramètres!$C$3:$C$42,1,FALSE)=MS9,"Férié","")),_xlfn._xlws.FILTER(Date_IA_PIP[Cérémonie],(Date_IA_PIP[Date début]&lt;=MS9)*(Date_IA_PIP[[Date fin ]]&gt;=MS9),"")))</f>
        <v/>
      </c>
      <c r="MT7" s="104" t="str" cm="1">
        <f t="array" ref="MT7">_xlfn.SINGLE(IFERROR(IF(WEEKDAY(_xlfn.SINGLE(9:9),2)&gt;5,"WE",IF(VLOOKUP(MT9,Paramètres!$C$3:$C$42,1,FALSE)=MT9,"Férié","")),_xlfn._xlws.FILTER(Date_IA_PIP[Cérémonie],(Date_IA_PIP[Date début]&lt;=MT9)*(Date_IA_PIP[[Date fin ]]&gt;=MT9),"")))</f>
        <v/>
      </c>
      <c r="MU7" s="104" t="str" cm="1">
        <f t="array" ref="MU7">_xlfn.SINGLE(IFERROR(IF(WEEKDAY(_xlfn.SINGLE(9:9),2)&gt;5,"WE",IF(VLOOKUP(MU9,Paramètres!$C$3:$C$42,1,FALSE)=MU9,"Férié","")),_xlfn._xlws.FILTER(Date_IA_PIP[Cérémonie],(Date_IA_PIP[Date début]&lt;=MU9)*(Date_IA_PIP[[Date fin ]]&gt;=MU9),"")))</f>
        <v>WE</v>
      </c>
      <c r="MV7" s="104" t="str" cm="1">
        <f t="array" ref="MV7">_xlfn.SINGLE(IFERROR(IF(WEEKDAY(_xlfn.SINGLE(9:9),2)&gt;5,"WE",IF(VLOOKUP(MV9,Paramètres!$C$3:$C$42,1,FALSE)=MV9,"Férié","")),_xlfn._xlws.FILTER(Date_IA_PIP[Cérémonie],(Date_IA_PIP[Date début]&lt;=MV9)*(Date_IA_PIP[[Date fin ]]&gt;=MV9),"")))</f>
        <v>WE</v>
      </c>
      <c r="MW7" s="104" t="str" cm="1">
        <f t="array" ref="MW7">_xlfn.SINGLE(IFERROR(IF(WEEKDAY(_xlfn.SINGLE(9:9),2)&gt;5,"WE",IF(VLOOKUP(MW9,Paramètres!$C$3:$C$42,1,FALSE)=MW9,"Férié","")),_xlfn._xlws.FILTER(Date_IA_PIP[Cérémonie],(Date_IA_PIP[Date début]&lt;=MW9)*(Date_IA_PIP[[Date fin ]]&gt;=MW9),"")))</f>
        <v/>
      </c>
      <c r="MX7" s="104" t="str" cm="1">
        <f t="array" ref="MX7">_xlfn.SINGLE(IFERROR(IF(WEEKDAY(_xlfn.SINGLE(9:9),2)&gt;5,"WE",IF(VLOOKUP(MX9,Paramètres!$C$3:$C$42,1,FALSE)=MX9,"Férié","")),_xlfn._xlws.FILTER(Date_IA_PIP[Cérémonie],(Date_IA_PIP[Date début]&lt;=MX9)*(Date_IA_PIP[[Date fin ]]&gt;=MX9),"")))</f>
        <v/>
      </c>
      <c r="MY7" s="104" t="str" cm="1">
        <f t="array" ref="MY7">_xlfn.SINGLE(IFERROR(IF(WEEKDAY(_xlfn.SINGLE(9:9),2)&gt;5,"WE",IF(VLOOKUP(MY9,Paramètres!$C$3:$C$42,1,FALSE)=MY9,"Férié","")),_xlfn._xlws.FILTER(Date_IA_PIP[Cérémonie],(Date_IA_PIP[Date début]&lt;=MY9)*(Date_IA_PIP[[Date fin ]]&gt;=MY9),"")))</f>
        <v/>
      </c>
      <c r="MZ7" s="104" t="str" cm="1">
        <f t="array" ref="MZ7">_xlfn.SINGLE(IFERROR(IF(WEEKDAY(_xlfn.SINGLE(9:9),2)&gt;5,"WE",IF(VLOOKUP(MZ9,Paramètres!$C$3:$C$42,1,FALSE)=MZ9,"Férié","")),_xlfn._xlws.FILTER(Date_IA_PIP[Cérémonie],(Date_IA_PIP[Date début]&lt;=MZ9)*(Date_IA_PIP[[Date fin ]]&gt;=MZ9),"")))</f>
        <v/>
      </c>
      <c r="NA7" s="104" t="str" cm="1">
        <f t="array" ref="NA7">_xlfn.SINGLE(IFERROR(IF(WEEKDAY(_xlfn.SINGLE(9:9),2)&gt;5,"WE",IF(VLOOKUP(NA9,Paramètres!$C$3:$C$42,1,FALSE)=NA9,"Férié","")),_xlfn._xlws.FILTER(Date_IA_PIP[Cérémonie],(Date_IA_PIP[Date début]&lt;=NA9)*(Date_IA_PIP[[Date fin ]]&gt;=NA9),"")))</f>
        <v/>
      </c>
      <c r="NB7" s="104" t="str" cm="1">
        <f t="array" ref="NB7">_xlfn.SINGLE(IFERROR(IF(WEEKDAY(_xlfn.SINGLE(9:9),2)&gt;5,"WE",IF(VLOOKUP(NB9,Paramètres!$C$3:$C$42,1,FALSE)=NB9,"Férié","")),_xlfn._xlws.FILTER(Date_IA_PIP[Cérémonie],(Date_IA_PIP[Date début]&lt;=NB9)*(Date_IA_PIP[[Date fin ]]&gt;=NB9),"")))</f>
        <v>WE</v>
      </c>
      <c r="NC7" s="104" t="str" cm="1">
        <f t="array" ref="NC7">_xlfn.SINGLE(IFERROR(IF(WEEKDAY(_xlfn.SINGLE(9:9),2)&gt;5,"WE",IF(VLOOKUP(NC9,Paramètres!$C$3:$C$42,1,FALSE)=NC9,"Férié","")),_xlfn._xlws.FILTER(Date_IA_PIP[Cérémonie],(Date_IA_PIP[Date début]&lt;=NC9)*(Date_IA_PIP[[Date fin ]]&gt;=NC9),"")))</f>
        <v>WE</v>
      </c>
      <c r="ND7" s="104" t="str" cm="1">
        <f t="array" ref="ND7">_xlfn.SINGLE(IFERROR(IF(WEEKDAY(_xlfn.SINGLE(9:9),2)&gt;5,"WE",IF(VLOOKUP(ND9,Paramètres!$C$3:$C$42,1,FALSE)=ND9,"Férié","")),_xlfn._xlws.FILTER(Date_IA_PIP[Cérémonie],(Date_IA_PIP[Date début]&lt;=ND9)*(Date_IA_PIP[[Date fin ]]&gt;=ND9),"")))</f>
        <v/>
      </c>
      <c r="NE7" s="104" t="str" cm="1">
        <f t="array" ref="NE7">_xlfn.SINGLE(IFERROR(IF(WEEKDAY(_xlfn.SINGLE(9:9),2)&gt;5,"WE",IF(VLOOKUP(NE9,Paramètres!$C$3:$C$42,1,FALSE)=NE9,"Férié","")),_xlfn._xlws.FILTER(Date_IA_PIP[Cérémonie],(Date_IA_PIP[Date début]&lt;=NE9)*(Date_IA_PIP[[Date fin ]]&gt;=NE9),"")))</f>
        <v/>
      </c>
      <c r="NF7" s="104" t="str" cm="1">
        <f t="array" ref="NF7">_xlfn.SINGLE(IFERROR(IF(WEEKDAY(_xlfn.SINGLE(9:9),2)&gt;5,"WE",IF(VLOOKUP(NF9,Paramètres!$C$3:$C$42,1,FALSE)=NF9,"Férié","")),_xlfn._xlws.FILTER(Date_IA_PIP[Cérémonie],(Date_IA_PIP[Date début]&lt;=NF9)*(Date_IA_PIP[[Date fin ]]&gt;=NF9),"")))</f>
        <v/>
      </c>
      <c r="NG7" s="104" t="str" cm="1">
        <f t="array" ref="NG7">_xlfn.SINGLE(IFERROR(IF(WEEKDAY(_xlfn.SINGLE(9:9),2)&gt;5,"WE",IF(VLOOKUP(NG9,Paramètres!$C$3:$C$42,1,FALSE)=NG9,"Férié","")),_xlfn._xlws.FILTER(Date_IA_PIP[Cérémonie],(Date_IA_PIP[Date début]&lt;=NG9)*(Date_IA_PIP[[Date fin ]]&gt;=NG9),"")))</f>
        <v/>
      </c>
      <c r="NH7" s="104" t="str" cm="1">
        <f t="array" ref="NH7">_xlfn.SINGLE(IFERROR(IF(WEEKDAY(_xlfn.SINGLE(9:9),2)&gt;5,"WE",IF(VLOOKUP(NH9,Paramètres!$C$3:$C$42,1,FALSE)=NH9,"Férié","")),_xlfn._xlws.FILTER(Date_IA_PIP[Cérémonie],(Date_IA_PIP[Date début]&lt;=NH9)*(Date_IA_PIP[[Date fin ]]&gt;=NH9),"")))</f>
        <v/>
      </c>
      <c r="NI7" s="104" t="str" cm="1">
        <f t="array" ref="NI7">_xlfn.SINGLE(IFERROR(IF(WEEKDAY(_xlfn.SINGLE(9:9),2)&gt;5,"WE",IF(VLOOKUP(NI9,Paramètres!$C$3:$C$42,1,FALSE)=NI9,"Férié","")),_xlfn._xlws.FILTER(Date_IA_PIP[Cérémonie],(Date_IA_PIP[Date début]&lt;=NI9)*(Date_IA_PIP[[Date fin ]]&gt;=NI9),"")))</f>
        <v>WE</v>
      </c>
      <c r="NJ7" s="104" t="str" cm="1">
        <f t="array" ref="NJ7">_xlfn.SINGLE(IFERROR(IF(WEEKDAY(_xlfn.SINGLE(9:9),2)&gt;5,"WE",IF(VLOOKUP(NJ9,Paramètres!$C$3:$C$42,1,FALSE)=NJ9,"Férié","")),_xlfn._xlws.FILTER(Date_IA_PIP[Cérémonie],(Date_IA_PIP[Date début]&lt;=NJ9)*(Date_IA_PIP[[Date fin ]]&gt;=NJ9),"")))</f>
        <v>WE</v>
      </c>
      <c r="NK7" s="104" t="str" cm="1">
        <f t="array" ref="NK7">_xlfn.SINGLE(IFERROR(IF(WEEKDAY(_xlfn.SINGLE(9:9),2)&gt;5,"WE",IF(VLOOKUP(NK9,Paramètres!$C$3:$C$42,1,FALSE)=NK9,"Férié","")),_xlfn._xlws.FILTER(Date_IA_PIP[Cérémonie],(Date_IA_PIP[Date début]&lt;=NK9)*(Date_IA_PIP[[Date fin ]]&gt;=NK9),"")))</f>
        <v/>
      </c>
      <c r="NL7" s="104" t="str" cm="1">
        <f t="array" ref="NL7">_xlfn.SINGLE(IFERROR(IF(WEEKDAY(_xlfn.SINGLE(9:9),2)&gt;5,"WE",IF(VLOOKUP(NL9,Paramètres!$C$3:$C$42,1,FALSE)=NL9,"Férié","")),_xlfn._xlws.FILTER(Date_IA_PIP[Cérémonie],(Date_IA_PIP[Date début]&lt;=NL9)*(Date_IA_PIP[[Date fin ]]&gt;=NL9),"")))</f>
        <v/>
      </c>
      <c r="NM7" s="104" t="str" cm="1">
        <f t="array" ref="NM7">_xlfn.SINGLE(IFERROR(IF(WEEKDAY(_xlfn.SINGLE(9:9),2)&gt;5,"WE",IF(VLOOKUP(NM9,Paramètres!$C$3:$C$42,1,FALSE)=NM9,"Férié","")),_xlfn._xlws.FILTER(Date_IA_PIP[Cérémonie],(Date_IA_PIP[Date début]&lt;=NM9)*(Date_IA_PIP[[Date fin ]]&gt;=NM9),"")))</f>
        <v/>
      </c>
      <c r="NN7" s="104" t="str" cm="1">
        <f t="array" ref="NN7">_xlfn.SINGLE(IFERROR(IF(WEEKDAY(_xlfn.SINGLE(9:9),2)&gt;5,"WE",IF(VLOOKUP(NN9,Paramètres!$C$3:$C$42,1,FALSE)=NN9,"Férié","")),_xlfn._xlws.FILTER(Date_IA_PIP[Cérémonie],(Date_IA_PIP[Date début]&lt;=NN9)*(Date_IA_PIP[[Date fin ]]&gt;=NN9),"")))</f>
        <v/>
      </c>
      <c r="NO7" s="104" t="str" cm="1">
        <f t="array" ref="NO7">_xlfn.SINGLE(IFERROR(IF(WEEKDAY(_xlfn.SINGLE(9:9),2)&gt;5,"WE",IF(VLOOKUP(NO9,Paramètres!$C$3:$C$42,1,FALSE)=NO9,"Férié","")),_xlfn._xlws.FILTER(Date_IA_PIP[Cérémonie],(Date_IA_PIP[Date début]&lt;=NO9)*(Date_IA_PIP[[Date fin ]]&gt;=NO9),"")))</f>
        <v/>
      </c>
      <c r="NP7" s="104" t="str" cm="1">
        <f t="array" ref="NP7">_xlfn.SINGLE(IFERROR(IF(WEEKDAY(_xlfn.SINGLE(9:9),2)&gt;5,"WE",IF(VLOOKUP(NP9,Paramètres!$C$3:$C$42,1,FALSE)=NP9,"Férié","")),_xlfn._xlws.FILTER(Date_IA_PIP[Cérémonie],(Date_IA_PIP[Date début]&lt;=NP9)*(Date_IA_PIP[[Date fin ]]&gt;=NP9),"")))</f>
        <v>WE</v>
      </c>
      <c r="NQ7" s="104" t="str" cm="1">
        <f t="array" ref="NQ7">_xlfn.SINGLE(IFERROR(IF(WEEKDAY(_xlfn.SINGLE(9:9),2)&gt;5,"WE",IF(VLOOKUP(NQ9,Paramètres!$C$3:$C$42,1,FALSE)=NQ9,"Férié","")),_xlfn._xlws.FILTER(Date_IA_PIP[Cérémonie],(Date_IA_PIP[Date début]&lt;=NQ9)*(Date_IA_PIP[[Date fin ]]&gt;=NQ9),"")))</f>
        <v>WE</v>
      </c>
      <c r="NR7" s="104" t="str" cm="1">
        <f t="array" ref="NR7">_xlfn.SINGLE(IFERROR(IF(WEEKDAY(_xlfn.SINGLE(9:9),2)&gt;5,"WE",IF(VLOOKUP(NR9,Paramètres!$C$3:$C$42,1,FALSE)=NR9,"Férié","")),_xlfn._xlws.FILTER(Date_IA_PIP[Cérémonie],(Date_IA_PIP[Date début]&lt;=NR9)*(Date_IA_PIP[[Date fin ]]&gt;=NR9),"")))</f>
        <v/>
      </c>
      <c r="NS7" s="104" t="str" cm="1">
        <f t="array" ref="NS7">_xlfn.SINGLE(IFERROR(IF(WEEKDAY(_xlfn.SINGLE(9:9),2)&gt;5,"WE",IF(VLOOKUP(NS9,Paramètres!$C$3:$C$42,1,FALSE)=NS9,"Férié","")),_xlfn._xlws.FILTER(Date_IA_PIP[Cérémonie],(Date_IA_PIP[Date début]&lt;=NS9)*(Date_IA_PIP[[Date fin ]]&gt;=NS9),"")))</f>
        <v/>
      </c>
      <c r="NT7" s="104" t="str" cm="1">
        <f t="array" ref="NT7">_xlfn.SINGLE(IFERROR(IF(WEEKDAY(_xlfn.SINGLE(9:9),2)&gt;5,"WE",IF(VLOOKUP(NT9,Paramètres!$C$3:$C$42,1,FALSE)=NT9,"Férié","")),_xlfn._xlws.FILTER(Date_IA_PIP[Cérémonie],(Date_IA_PIP[Date début]&lt;=NT9)*(Date_IA_PIP[[Date fin ]]&gt;=NT9),"")))</f>
        <v/>
      </c>
      <c r="NU7" s="104" t="str" cm="1">
        <f t="array" ref="NU7">_xlfn.SINGLE(IFERROR(IF(WEEKDAY(_xlfn.SINGLE(9:9),2)&gt;5,"WE",IF(VLOOKUP(NU9,Paramètres!$C$3:$C$42,1,FALSE)=NU9,"Férié","")),_xlfn._xlws.FILTER(Date_IA_PIP[Cérémonie],(Date_IA_PIP[Date début]&lt;=NU9)*(Date_IA_PIP[[Date fin ]]&gt;=NU9),"")))</f>
        <v/>
      </c>
      <c r="NV7" s="104" t="str" cm="1">
        <f t="array" ref="NV7">_xlfn.SINGLE(IFERROR(IF(WEEKDAY(_xlfn.SINGLE(9:9),2)&gt;5,"WE",IF(VLOOKUP(NV9,Paramètres!$C$3:$C$42,1,FALSE)=NV9,"Férié","")),_xlfn._xlws.FILTER(Date_IA_PIP[Cérémonie],(Date_IA_PIP[Date début]&lt;=NV9)*(Date_IA_PIP[[Date fin ]]&gt;=NV9),"")))</f>
        <v/>
      </c>
      <c r="NW7" s="104" t="str" cm="1">
        <f t="array" ref="NW7">_xlfn.SINGLE(IFERROR(IF(WEEKDAY(_xlfn.SINGLE(9:9),2)&gt;5,"WE",IF(VLOOKUP(NW9,Paramètres!$C$3:$C$42,1,FALSE)=NW9,"Férié","")),_xlfn._xlws.FILTER(Date_IA_PIP[Cérémonie],(Date_IA_PIP[Date début]&lt;=NW9)*(Date_IA_PIP[[Date fin ]]&gt;=NW9),"")))</f>
        <v>WE</v>
      </c>
      <c r="NX7" s="104" t="str" cm="1">
        <f t="array" ref="NX7">_xlfn.SINGLE(IFERROR(IF(WEEKDAY(_xlfn.SINGLE(9:9),2)&gt;5,"WE",IF(VLOOKUP(NX9,Paramètres!$C$3:$C$42,1,FALSE)=NX9,"Férié","")),_xlfn._xlws.FILTER(Date_IA_PIP[Cérémonie],(Date_IA_PIP[Date début]&lt;=NX9)*(Date_IA_PIP[[Date fin ]]&gt;=NX9),"")))</f>
        <v>WE</v>
      </c>
      <c r="NY7" s="104" t="str" cm="1">
        <f t="array" ref="NY7">_xlfn.SINGLE(IFERROR(IF(WEEKDAY(_xlfn.SINGLE(9:9),2)&gt;5,"WE",IF(VLOOKUP(NY9,Paramètres!$C$3:$C$42,1,FALSE)=NY9,"Férié","")),_xlfn._xlws.FILTER(Date_IA_PIP[Cérémonie],(Date_IA_PIP[Date début]&lt;=NY9)*(Date_IA_PIP[[Date fin ]]&gt;=NY9),"")))</f>
        <v/>
      </c>
      <c r="NZ7" s="104" t="str" cm="1">
        <f t="array" ref="NZ7">_xlfn.SINGLE(IFERROR(IF(WEEKDAY(_xlfn.SINGLE(9:9),2)&gt;5,"WE",IF(VLOOKUP(NZ9,Paramètres!$C$3:$C$42,1,FALSE)=NZ9,"Férié","")),_xlfn._xlws.FILTER(Date_IA_PIP[Cérémonie],(Date_IA_PIP[Date début]&lt;=NZ9)*(Date_IA_PIP[[Date fin ]]&gt;=NZ9),"")))</f>
        <v/>
      </c>
      <c r="OA7" s="104" t="str" cm="1">
        <f t="array" ref="OA7">_xlfn.SINGLE(IFERROR(IF(WEEKDAY(_xlfn.SINGLE(9:9),2)&gt;5,"WE",IF(VLOOKUP(OA9,Paramètres!$C$3:$C$42,1,FALSE)=OA9,"Férié","")),_xlfn._xlws.FILTER(Date_IA_PIP[Cérémonie],(Date_IA_PIP[Date début]&lt;=OA9)*(Date_IA_PIP[[Date fin ]]&gt;=OA9),"")))</f>
        <v/>
      </c>
      <c r="OB7" s="104" t="str" cm="1">
        <f t="array" ref="OB7">_xlfn.SINGLE(IFERROR(IF(WEEKDAY(_xlfn.SINGLE(9:9),2)&gt;5,"WE",IF(VLOOKUP(OB9,Paramètres!$C$3:$C$42,1,FALSE)=OB9,"Férié","")),_xlfn._xlws.FILTER(Date_IA_PIP[Cérémonie],(Date_IA_PIP[Date début]&lt;=OB9)*(Date_IA_PIP[[Date fin ]]&gt;=OB9),"")))</f>
        <v>Férié</v>
      </c>
      <c r="OC7" s="104" t="str" cm="1">
        <f t="array" ref="OC7">_xlfn.SINGLE(IFERROR(IF(WEEKDAY(_xlfn.SINGLE(9:9),2)&gt;5,"WE",IF(VLOOKUP(OC9,Paramètres!$C$3:$C$42,1,FALSE)=OC9,"Férié","")),_xlfn._xlws.FILTER(Date_IA_PIP[Cérémonie],(Date_IA_PIP[Date début]&lt;=OC9)*(Date_IA_PIP[[Date fin ]]&gt;=OC9),"")))</f>
        <v/>
      </c>
      <c r="OD7" s="104" t="str" cm="1">
        <f t="array" ref="OD7">_xlfn.SINGLE(IFERROR(IF(WEEKDAY(_xlfn.SINGLE(9:9),2)&gt;5,"WE",IF(VLOOKUP(OD9,Paramètres!$C$3:$C$42,1,FALSE)=OD9,"Férié","")),_xlfn._xlws.FILTER(Date_IA_PIP[Cérémonie],(Date_IA_PIP[Date début]&lt;=OD9)*(Date_IA_PIP[[Date fin ]]&gt;=OD9),"")))</f>
        <v>WE</v>
      </c>
      <c r="OE7" s="104" t="str" cm="1">
        <f t="array" ref="OE7">_xlfn.SINGLE(IFERROR(IF(WEEKDAY(_xlfn.SINGLE(9:9),2)&gt;5,"WE",IF(VLOOKUP(OE9,Paramètres!$C$3:$C$42,1,FALSE)=OE9,"Férié","")),_xlfn._xlws.FILTER(Date_IA_PIP[Cérémonie],(Date_IA_PIP[Date début]&lt;=OE9)*(Date_IA_PIP[[Date fin ]]&gt;=OE9),"")))</f>
        <v>WE</v>
      </c>
      <c r="OF7" s="104" t="str" cm="1">
        <f t="array" ref="OF7">_xlfn.SINGLE(IFERROR(IF(WEEKDAY(_xlfn.SINGLE(9:9),2)&gt;5,"WE",IF(VLOOKUP(OF9,Paramètres!$C$3:$C$42,1,FALSE)=OF9,"Férié","")),_xlfn._xlws.FILTER(Date_IA_PIP[Cérémonie],(Date_IA_PIP[Date début]&lt;=OF9)*(Date_IA_PIP[[Date fin ]]&gt;=OF9),"")))</f>
        <v/>
      </c>
      <c r="OG7" s="104" t="str" cm="1">
        <f t="array" ref="OG7">_xlfn.SINGLE(IFERROR(IF(WEEKDAY(_xlfn.SINGLE(9:9),2)&gt;5,"WE",IF(VLOOKUP(OG9,Paramètres!$C$3:$C$42,1,FALSE)=OG9,"Férié","")),_xlfn._xlws.FILTER(Date_IA_PIP[Cérémonie],(Date_IA_PIP[Date début]&lt;=OG9)*(Date_IA_PIP[[Date fin ]]&gt;=OG9),"")))</f>
        <v/>
      </c>
      <c r="OH7" s="104" t="str" cm="1">
        <f t="array" ref="OH7">_xlfn.SINGLE(IFERROR(IF(WEEKDAY(_xlfn.SINGLE(9:9),2)&gt;5,"WE",IF(VLOOKUP(OH9,Paramètres!$C$3:$C$42,1,FALSE)=OH9,"Férié","")),_xlfn._xlws.FILTER(Date_IA_PIP[Cérémonie],(Date_IA_PIP[Date début]&lt;=OH9)*(Date_IA_PIP[[Date fin ]]&gt;=OH9),"")))</f>
        <v/>
      </c>
      <c r="OI7" s="105"/>
      <c r="OJ7" s="105"/>
      <c r="OK7" s="105"/>
      <c r="OL7" s="105"/>
      <c r="OM7" s="105"/>
      <c r="ON7" s="105"/>
      <c r="OO7" s="105"/>
      <c r="OP7" s="105"/>
      <c r="OQ7" s="105"/>
      <c r="OR7" s="105"/>
      <c r="OS7" s="105"/>
      <c r="OT7" s="105"/>
      <c r="OU7" s="105"/>
      <c r="OV7" s="105"/>
      <c r="OW7" s="105"/>
      <c r="OX7" s="105"/>
      <c r="OY7" s="105"/>
      <c r="OZ7" s="105"/>
      <c r="PA7" s="105"/>
      <c r="PB7" s="105"/>
      <c r="PC7" s="105"/>
      <c r="PD7" s="105"/>
      <c r="PE7" s="105"/>
      <c r="PF7" s="105"/>
      <c r="PG7" s="105"/>
      <c r="PH7" s="105"/>
      <c r="PI7" s="105"/>
      <c r="PJ7" s="105"/>
      <c r="PK7" s="105"/>
      <c r="PL7" s="105"/>
      <c r="PM7" s="105"/>
      <c r="PN7" s="105"/>
      <c r="PO7" s="105"/>
      <c r="PP7" s="105"/>
      <c r="PQ7" s="105"/>
      <c r="PR7" s="105"/>
      <c r="PS7" s="105"/>
      <c r="PT7" s="105"/>
      <c r="PU7" s="105"/>
      <c r="PV7" s="105"/>
      <c r="PW7" s="105"/>
      <c r="PX7" s="105"/>
      <c r="PY7" s="105"/>
      <c r="PZ7" s="105"/>
      <c r="QA7" s="105"/>
      <c r="QB7" s="105"/>
      <c r="QC7" s="105"/>
      <c r="QD7" s="105"/>
      <c r="QE7" s="105"/>
      <c r="QF7" s="105"/>
      <c r="QG7" s="105"/>
      <c r="QH7" s="105"/>
      <c r="QI7" s="105"/>
      <c r="QJ7" s="105"/>
      <c r="QK7" s="105"/>
      <c r="QL7" s="105"/>
      <c r="QM7" s="105"/>
    </row>
    <row r="8" spans="1:455" customFormat="1" ht="9" customHeight="1" x14ac:dyDescent="0.25">
      <c r="A8" s="102"/>
      <c r="B8" s="102"/>
      <c r="C8" s="128" t="s">
        <v>8</v>
      </c>
      <c r="D8" s="129"/>
      <c r="E8" s="129"/>
      <c r="F8" s="129"/>
      <c r="G8" s="129"/>
      <c r="H8" s="129"/>
      <c r="I8" s="129"/>
      <c r="J8" s="129"/>
      <c r="K8" s="129"/>
      <c r="L8" s="129"/>
      <c r="M8" s="129"/>
      <c r="N8" s="129"/>
      <c r="O8" s="129"/>
      <c r="P8" s="129"/>
      <c r="Q8" s="129"/>
      <c r="R8" s="129"/>
      <c r="S8" s="129"/>
      <c r="T8" s="129"/>
      <c r="U8" s="129"/>
      <c r="V8" s="129"/>
      <c r="W8" s="129"/>
      <c r="X8" s="129"/>
      <c r="Y8" s="129"/>
      <c r="Z8" s="129"/>
      <c r="AA8" s="129"/>
      <c r="AB8" s="129"/>
      <c r="AC8" s="129"/>
      <c r="AD8" s="129"/>
      <c r="AE8" s="129"/>
      <c r="AF8" s="129"/>
      <c r="AG8" s="130"/>
      <c r="AH8" s="144" t="s">
        <v>9</v>
      </c>
      <c r="AI8" s="145"/>
      <c r="AJ8" s="145"/>
      <c r="AK8" s="145"/>
      <c r="AL8" s="145"/>
      <c r="AM8" s="145"/>
      <c r="AN8" s="145"/>
      <c r="AO8" s="145"/>
      <c r="AP8" s="145"/>
      <c r="AQ8" s="145"/>
      <c r="AR8" s="145"/>
      <c r="AS8" s="145"/>
      <c r="AT8" s="145"/>
      <c r="AU8" s="145"/>
      <c r="AV8" s="145"/>
      <c r="AW8" s="145"/>
      <c r="AX8" s="145"/>
      <c r="AY8" s="145"/>
      <c r="AZ8" s="145"/>
      <c r="BA8" s="145"/>
      <c r="BB8" s="145"/>
      <c r="BC8" s="145"/>
      <c r="BD8" s="145"/>
      <c r="BE8" s="145"/>
      <c r="BF8" s="145"/>
      <c r="BG8" s="145"/>
      <c r="BH8" s="145"/>
      <c r="BI8" s="145"/>
      <c r="BJ8" s="145"/>
      <c r="BK8" s="145"/>
      <c r="BL8" s="146"/>
      <c r="BM8" s="141" t="s">
        <v>10</v>
      </c>
      <c r="BN8" s="142"/>
      <c r="BO8" s="142"/>
      <c r="BP8" s="142"/>
      <c r="BQ8" s="142"/>
      <c r="BR8" s="142"/>
      <c r="BS8" s="142"/>
      <c r="BT8" s="142"/>
      <c r="BU8" s="142"/>
      <c r="BV8" s="142"/>
      <c r="BW8" s="142"/>
      <c r="BX8" s="142"/>
      <c r="BY8" s="142"/>
      <c r="BZ8" s="142"/>
      <c r="CA8" s="142"/>
      <c r="CB8" s="142"/>
      <c r="CC8" s="142"/>
      <c r="CD8" s="142"/>
      <c r="CE8" s="142"/>
      <c r="CF8" s="142"/>
      <c r="CG8" s="142"/>
      <c r="CH8" s="142"/>
      <c r="CI8" s="142"/>
      <c r="CJ8" s="142"/>
      <c r="CK8" s="142"/>
      <c r="CL8" s="142"/>
      <c r="CM8" s="142"/>
      <c r="CN8" s="143"/>
      <c r="CO8" s="136" t="s">
        <v>11</v>
      </c>
      <c r="CP8" s="137"/>
      <c r="CQ8" s="137"/>
      <c r="CR8" s="137"/>
      <c r="CS8" s="137"/>
      <c r="CT8" s="137"/>
      <c r="CU8" s="137"/>
      <c r="CV8" s="137"/>
      <c r="CW8" s="137"/>
      <c r="CX8" s="137"/>
      <c r="CY8" s="137"/>
      <c r="CZ8" s="137"/>
      <c r="DA8" s="137"/>
      <c r="DB8" s="137"/>
      <c r="DC8" s="137"/>
      <c r="DD8" s="137"/>
      <c r="DE8" s="137"/>
      <c r="DF8" s="137"/>
      <c r="DG8" s="137"/>
      <c r="DH8" s="137"/>
      <c r="DI8" s="137"/>
      <c r="DJ8" s="137"/>
      <c r="DK8" s="137"/>
      <c r="DL8" s="137"/>
      <c r="DM8" s="137"/>
      <c r="DN8" s="137"/>
      <c r="DO8" s="137"/>
      <c r="DP8" s="137"/>
      <c r="DQ8" s="137"/>
      <c r="DR8" s="137"/>
      <c r="DS8" s="138"/>
      <c r="DT8" s="141" t="s">
        <v>12</v>
      </c>
      <c r="DU8" s="142"/>
      <c r="DV8" s="142"/>
      <c r="DW8" s="142"/>
      <c r="DX8" s="142"/>
      <c r="DY8" s="142"/>
      <c r="DZ8" s="142"/>
      <c r="EA8" s="142"/>
      <c r="EB8" s="142"/>
      <c r="EC8" s="142"/>
      <c r="ED8" s="142"/>
      <c r="EE8" s="142"/>
      <c r="EF8" s="142"/>
      <c r="EG8" s="142"/>
      <c r="EH8" s="142"/>
      <c r="EI8" s="142"/>
      <c r="EJ8" s="142"/>
      <c r="EK8" s="142"/>
      <c r="EL8" s="142"/>
      <c r="EM8" s="142"/>
      <c r="EN8" s="142"/>
      <c r="EO8" s="142"/>
      <c r="EP8" s="142"/>
      <c r="EQ8" s="142"/>
      <c r="ER8" s="142"/>
      <c r="ES8" s="142"/>
      <c r="ET8" s="142"/>
      <c r="EU8" s="142"/>
      <c r="EV8" s="142"/>
      <c r="EW8" s="143"/>
      <c r="EX8" s="136" t="s">
        <v>13</v>
      </c>
      <c r="EY8" s="137"/>
      <c r="EZ8" s="137"/>
      <c r="FA8" s="137"/>
      <c r="FB8" s="137"/>
      <c r="FC8" s="137"/>
      <c r="FD8" s="137"/>
      <c r="FE8" s="137"/>
      <c r="FF8" s="137"/>
      <c r="FG8" s="137"/>
      <c r="FH8" s="137"/>
      <c r="FI8" s="137"/>
      <c r="FJ8" s="137"/>
      <c r="FK8" s="137"/>
      <c r="FL8" s="137"/>
      <c r="FM8" s="137"/>
      <c r="FN8" s="137"/>
      <c r="FO8" s="137"/>
      <c r="FP8" s="137"/>
      <c r="FQ8" s="137"/>
      <c r="FR8" s="137"/>
      <c r="FS8" s="137"/>
      <c r="FT8" s="137"/>
      <c r="FU8" s="137"/>
      <c r="FV8" s="137"/>
      <c r="FW8" s="137"/>
      <c r="FX8" s="137"/>
      <c r="FY8" s="137"/>
      <c r="FZ8" s="137"/>
      <c r="GA8" s="137"/>
      <c r="GB8" s="138"/>
      <c r="GC8" s="141" t="s">
        <v>14</v>
      </c>
      <c r="GD8" s="142"/>
      <c r="GE8" s="142"/>
      <c r="GF8" s="142"/>
      <c r="GG8" s="142"/>
      <c r="GH8" s="142"/>
      <c r="GI8" s="142"/>
      <c r="GJ8" s="142"/>
      <c r="GK8" s="142"/>
      <c r="GL8" s="142"/>
      <c r="GM8" s="142"/>
      <c r="GN8" s="142"/>
      <c r="GO8" s="140"/>
      <c r="GP8" s="140"/>
      <c r="GQ8" s="140"/>
      <c r="GR8" s="140"/>
      <c r="GS8" s="140"/>
      <c r="GT8" s="140"/>
      <c r="GU8" s="140"/>
      <c r="GV8" s="140"/>
      <c r="GW8" s="140"/>
      <c r="GX8" s="140"/>
      <c r="GY8" s="140"/>
      <c r="GZ8" s="140"/>
      <c r="HA8" s="140"/>
      <c r="HB8" s="140"/>
      <c r="HC8" s="140"/>
      <c r="HD8" s="140"/>
      <c r="HE8" s="140"/>
      <c r="HF8" s="140"/>
      <c r="HG8" s="139" t="s">
        <v>15</v>
      </c>
      <c r="HH8" s="139"/>
      <c r="HI8" s="139"/>
      <c r="HJ8" s="139"/>
      <c r="HK8" s="139"/>
      <c r="HL8" s="139"/>
      <c r="HM8" s="139"/>
      <c r="HN8" s="139"/>
      <c r="HO8" s="139"/>
      <c r="HP8" s="139"/>
      <c r="HQ8" s="139"/>
      <c r="HR8" s="139"/>
      <c r="HS8" s="139"/>
      <c r="HT8" s="139"/>
      <c r="HU8" s="139"/>
      <c r="HV8" s="139"/>
      <c r="HW8" s="139"/>
      <c r="HX8" s="139"/>
      <c r="HY8" s="139"/>
      <c r="HZ8" s="139"/>
      <c r="IA8" s="139"/>
      <c r="IB8" s="139"/>
      <c r="IC8" s="139"/>
      <c r="ID8" s="139"/>
      <c r="IE8" s="139"/>
      <c r="IF8" s="139"/>
      <c r="IG8" s="139"/>
      <c r="IH8" s="139"/>
      <c r="II8" s="139"/>
      <c r="IJ8" s="139"/>
      <c r="IK8" s="139"/>
      <c r="IL8" s="140" t="s">
        <v>16</v>
      </c>
      <c r="IM8" s="140"/>
      <c r="IN8" s="140"/>
      <c r="IO8" s="140"/>
      <c r="IP8" s="140"/>
      <c r="IQ8" s="140"/>
      <c r="IR8" s="140"/>
      <c r="IS8" s="140"/>
      <c r="IT8" s="140"/>
      <c r="IU8" s="140"/>
      <c r="IV8" s="140"/>
      <c r="IW8" s="140"/>
      <c r="IX8" s="140"/>
      <c r="IY8" s="140"/>
      <c r="IZ8" s="140"/>
      <c r="JA8" s="140"/>
      <c r="JB8" s="140"/>
      <c r="JC8" s="140"/>
      <c r="JD8" s="140"/>
      <c r="JE8" s="140"/>
      <c r="JF8" s="140"/>
      <c r="JG8" s="140"/>
      <c r="JH8" s="140"/>
      <c r="JI8" s="140"/>
      <c r="JJ8" s="140"/>
      <c r="JK8" s="140"/>
      <c r="JL8" s="140"/>
      <c r="JM8" s="140"/>
      <c r="JN8" s="140"/>
      <c r="JO8" s="140"/>
      <c r="JP8" s="140"/>
      <c r="JQ8" s="139" t="s">
        <v>17</v>
      </c>
      <c r="JR8" s="139"/>
      <c r="JS8" s="139"/>
      <c r="JT8" s="139"/>
      <c r="JU8" s="139"/>
      <c r="JV8" s="139"/>
      <c r="JW8" s="139"/>
      <c r="JX8" s="139"/>
      <c r="JY8" s="139"/>
      <c r="JZ8" s="139"/>
      <c r="KA8" s="139"/>
      <c r="KB8" s="139"/>
      <c r="KC8" s="139"/>
      <c r="KD8" s="139"/>
      <c r="KE8" s="139"/>
      <c r="KF8" s="139"/>
      <c r="KG8" s="139"/>
      <c r="KH8" s="139"/>
      <c r="KI8" s="139"/>
      <c r="KJ8" s="139"/>
      <c r="KK8" s="139"/>
      <c r="KL8" s="139"/>
      <c r="KM8" s="139"/>
      <c r="KN8" s="139"/>
      <c r="KO8" s="139"/>
      <c r="KP8" s="139"/>
      <c r="KQ8" s="139"/>
      <c r="KR8" s="139"/>
      <c r="KS8" s="139"/>
      <c r="KT8" s="139"/>
      <c r="KU8" s="140" t="s">
        <v>18</v>
      </c>
      <c r="KV8" s="140"/>
      <c r="KW8" s="140"/>
      <c r="KX8" s="140"/>
      <c r="KY8" s="140"/>
      <c r="KZ8" s="140"/>
      <c r="LA8" s="140"/>
      <c r="LB8" s="140"/>
      <c r="LC8" s="140"/>
      <c r="LD8" s="140"/>
      <c r="LE8" s="140"/>
      <c r="LF8" s="140"/>
      <c r="LG8" s="140"/>
      <c r="LH8" s="140"/>
      <c r="LI8" s="140"/>
      <c r="LJ8" s="140"/>
      <c r="LK8" s="140"/>
      <c r="LL8" s="140"/>
      <c r="LM8" s="140"/>
      <c r="LN8" s="140"/>
      <c r="LO8" s="140"/>
      <c r="LP8" s="140"/>
      <c r="LQ8" s="140"/>
      <c r="LR8" s="140"/>
      <c r="LS8" s="140"/>
      <c r="LT8" s="140"/>
      <c r="LU8" s="140"/>
      <c r="LV8" s="140"/>
      <c r="LW8" s="140"/>
      <c r="LX8" s="140"/>
      <c r="LY8" s="140"/>
      <c r="LZ8" s="139" t="s">
        <v>19</v>
      </c>
      <c r="MA8" s="139"/>
      <c r="MB8" s="139"/>
      <c r="MC8" s="139"/>
      <c r="MD8" s="139"/>
      <c r="ME8" s="139"/>
      <c r="MF8" s="139"/>
      <c r="MG8" s="139"/>
      <c r="MH8" s="139"/>
      <c r="MI8" s="139"/>
      <c r="MJ8" s="139"/>
      <c r="MK8" s="139"/>
      <c r="ML8" s="139"/>
      <c r="MM8" s="139"/>
      <c r="MN8" s="139"/>
      <c r="MO8" s="139"/>
      <c r="MP8" s="139"/>
      <c r="MQ8" s="139"/>
      <c r="MR8" s="139"/>
      <c r="MS8" s="139"/>
      <c r="MT8" s="139"/>
      <c r="MU8" s="139"/>
      <c r="MV8" s="139"/>
      <c r="MW8" s="139"/>
      <c r="MX8" s="139"/>
      <c r="MY8" s="139"/>
      <c r="MZ8" s="139"/>
      <c r="NA8" s="139"/>
      <c r="NB8" s="139"/>
      <c r="NC8" s="136"/>
      <c r="ND8" s="140" t="s">
        <v>20</v>
      </c>
      <c r="NE8" s="140"/>
      <c r="NF8" s="140"/>
      <c r="NG8" s="140"/>
      <c r="NH8" s="140"/>
      <c r="NI8" s="140"/>
      <c r="NJ8" s="140"/>
      <c r="NK8" s="140"/>
      <c r="NL8" s="140"/>
      <c r="NM8" s="140"/>
      <c r="NN8" s="140"/>
      <c r="NO8" s="140"/>
      <c r="NP8" s="140"/>
      <c r="NQ8" s="140"/>
      <c r="NR8" s="140"/>
      <c r="NS8" s="140"/>
      <c r="NT8" s="140"/>
      <c r="NU8" s="140"/>
      <c r="NV8" s="140"/>
      <c r="NW8" s="140"/>
      <c r="NX8" s="140"/>
      <c r="NY8" s="140"/>
      <c r="NZ8" s="140"/>
      <c r="OA8" s="140"/>
      <c r="OB8" s="140"/>
      <c r="OC8" s="140"/>
      <c r="OD8" s="140"/>
      <c r="OE8" s="140"/>
      <c r="OF8" s="140"/>
      <c r="OG8" s="140"/>
      <c r="OH8" s="140"/>
      <c r="OI8" s="103"/>
      <c r="OJ8" s="102"/>
      <c r="OK8" s="102"/>
      <c r="OL8" s="102"/>
      <c r="OM8" s="102"/>
      <c r="ON8" s="102"/>
      <c r="OO8" s="102"/>
      <c r="OP8" s="102"/>
      <c r="OQ8" s="102"/>
      <c r="OR8" s="102"/>
      <c r="OS8" s="102"/>
      <c r="OT8" s="102"/>
      <c r="OU8" s="102"/>
      <c r="OV8" s="102"/>
      <c r="OW8" s="102"/>
      <c r="OX8" s="102"/>
      <c r="OY8" s="102"/>
      <c r="OZ8" s="102"/>
      <c r="PA8" s="102"/>
      <c r="PB8" s="102"/>
      <c r="PC8" s="102"/>
      <c r="PD8" s="102"/>
      <c r="PE8" s="102"/>
      <c r="PF8" s="102"/>
      <c r="PG8" s="102"/>
      <c r="PH8" s="102"/>
      <c r="PI8" s="102"/>
      <c r="PJ8" s="102"/>
      <c r="PK8" s="102"/>
      <c r="PL8" s="102"/>
      <c r="PM8" s="102"/>
      <c r="PN8" s="102"/>
      <c r="PO8" s="102"/>
      <c r="PP8" s="102"/>
      <c r="PQ8" s="102"/>
      <c r="PR8" s="102"/>
      <c r="PS8" s="102"/>
      <c r="PT8" s="102"/>
      <c r="PU8" s="102"/>
      <c r="PV8" s="102"/>
      <c r="PW8" s="102"/>
      <c r="PX8" s="102"/>
      <c r="PY8" s="102"/>
      <c r="PZ8" s="102"/>
      <c r="QA8" s="102"/>
      <c r="QB8" s="102"/>
      <c r="QC8" s="102"/>
      <c r="QD8" s="102"/>
      <c r="QE8" s="102"/>
      <c r="QF8" s="102"/>
      <c r="QG8" s="102"/>
      <c r="QH8" s="102"/>
      <c r="QI8" s="102"/>
    </row>
    <row r="9" spans="1:455" s="90" customFormat="1" ht="9" customHeight="1" x14ac:dyDescent="0.25">
      <c r="C9" s="91">
        <v>45627</v>
      </c>
      <c r="D9" s="91">
        <v>45628</v>
      </c>
      <c r="E9" s="91">
        <v>45629</v>
      </c>
      <c r="F9" s="91">
        <v>45630</v>
      </c>
      <c r="G9" s="91">
        <v>45631</v>
      </c>
      <c r="H9" s="91">
        <v>45632</v>
      </c>
      <c r="I9" s="91">
        <v>45633</v>
      </c>
      <c r="J9" s="91">
        <v>45634</v>
      </c>
      <c r="K9" s="91">
        <v>45635</v>
      </c>
      <c r="L9" s="91">
        <v>45636</v>
      </c>
      <c r="M9" s="91">
        <v>45637</v>
      </c>
      <c r="N9" s="91">
        <v>45638</v>
      </c>
      <c r="O9" s="91">
        <v>45639</v>
      </c>
      <c r="P9" s="91">
        <v>45640</v>
      </c>
      <c r="Q9" s="91">
        <v>45641</v>
      </c>
      <c r="R9" s="91">
        <v>45642</v>
      </c>
      <c r="S9" s="91">
        <v>45643</v>
      </c>
      <c r="T9" s="91">
        <v>45644</v>
      </c>
      <c r="U9" s="91">
        <v>45645</v>
      </c>
      <c r="V9" s="92">
        <v>45646</v>
      </c>
      <c r="W9" s="93">
        <v>45647</v>
      </c>
      <c r="X9" s="93">
        <v>45648</v>
      </c>
      <c r="Y9" s="93">
        <v>45649</v>
      </c>
      <c r="Z9" s="93">
        <v>45650</v>
      </c>
      <c r="AA9" s="93">
        <v>45651</v>
      </c>
      <c r="AB9" s="93">
        <v>45652</v>
      </c>
      <c r="AC9" s="93">
        <v>45653</v>
      </c>
      <c r="AD9" s="93">
        <v>45654</v>
      </c>
      <c r="AE9" s="93">
        <v>45655</v>
      </c>
      <c r="AF9" s="93">
        <v>45656</v>
      </c>
      <c r="AG9" s="93">
        <v>45657</v>
      </c>
      <c r="AH9" s="94">
        <v>45658</v>
      </c>
      <c r="AI9" s="94">
        <v>45659</v>
      </c>
      <c r="AJ9" s="94">
        <v>45660</v>
      </c>
      <c r="AK9" s="94">
        <v>45661</v>
      </c>
      <c r="AL9" s="94">
        <v>45662</v>
      </c>
      <c r="AM9" s="94">
        <v>45663</v>
      </c>
      <c r="AN9" s="94">
        <v>45664</v>
      </c>
      <c r="AO9" s="94">
        <v>45665</v>
      </c>
      <c r="AP9" s="94">
        <v>45666</v>
      </c>
      <c r="AQ9" s="94">
        <v>45667</v>
      </c>
      <c r="AR9" s="94">
        <v>45668</v>
      </c>
      <c r="AS9" s="94">
        <v>45669</v>
      </c>
      <c r="AT9" s="94">
        <v>45670</v>
      </c>
      <c r="AU9" s="94">
        <v>45671</v>
      </c>
      <c r="AV9" s="94">
        <v>45672</v>
      </c>
      <c r="AW9" s="94">
        <v>45673</v>
      </c>
      <c r="AX9" s="94">
        <v>45674</v>
      </c>
      <c r="AY9" s="94">
        <v>45675</v>
      </c>
      <c r="AZ9" s="94">
        <v>45676</v>
      </c>
      <c r="BA9" s="94">
        <v>45677</v>
      </c>
      <c r="BB9" s="94">
        <v>45678</v>
      </c>
      <c r="BC9" s="94">
        <v>45679</v>
      </c>
      <c r="BD9" s="94">
        <v>45680</v>
      </c>
      <c r="BE9" s="94">
        <v>45681</v>
      </c>
      <c r="BF9" s="94">
        <v>45682</v>
      </c>
      <c r="BG9" s="94">
        <v>45683</v>
      </c>
      <c r="BH9" s="94">
        <v>45684</v>
      </c>
      <c r="BI9" s="94">
        <v>45685</v>
      </c>
      <c r="BJ9" s="94">
        <v>45686</v>
      </c>
      <c r="BK9" s="94">
        <v>45687</v>
      </c>
      <c r="BL9" s="94">
        <v>45688</v>
      </c>
      <c r="BM9" s="93">
        <v>45689</v>
      </c>
      <c r="BN9" s="93">
        <v>45690</v>
      </c>
      <c r="BO9" s="93">
        <v>45691</v>
      </c>
      <c r="BP9" s="93">
        <v>45692</v>
      </c>
      <c r="BQ9" s="93">
        <v>45693</v>
      </c>
      <c r="BR9" s="93">
        <v>45694</v>
      </c>
      <c r="BS9" s="93">
        <v>45695</v>
      </c>
      <c r="BT9" s="93">
        <v>45696</v>
      </c>
      <c r="BU9" s="93">
        <v>45697</v>
      </c>
      <c r="BV9" s="93">
        <v>45698</v>
      </c>
      <c r="BW9" s="93">
        <v>45699</v>
      </c>
      <c r="BX9" s="93">
        <v>45700</v>
      </c>
      <c r="BY9" s="93">
        <v>45701</v>
      </c>
      <c r="BZ9" s="93">
        <v>45702</v>
      </c>
      <c r="CA9" s="93">
        <v>45703</v>
      </c>
      <c r="CB9" s="93">
        <v>45704</v>
      </c>
      <c r="CC9" s="93">
        <v>45705</v>
      </c>
      <c r="CD9" s="93">
        <v>45706</v>
      </c>
      <c r="CE9" s="93">
        <v>45707</v>
      </c>
      <c r="CF9" s="93">
        <v>45708</v>
      </c>
      <c r="CG9" s="93">
        <v>45709</v>
      </c>
      <c r="CH9" s="93">
        <v>45710</v>
      </c>
      <c r="CI9" s="93">
        <v>45711</v>
      </c>
      <c r="CJ9" s="93">
        <v>45712</v>
      </c>
      <c r="CK9" s="93">
        <v>45713</v>
      </c>
      <c r="CL9" s="93">
        <v>45714</v>
      </c>
      <c r="CM9" s="93">
        <v>45715</v>
      </c>
      <c r="CN9" s="93">
        <v>45716</v>
      </c>
      <c r="CO9" s="94">
        <v>45717</v>
      </c>
      <c r="CP9" s="94">
        <v>45718</v>
      </c>
      <c r="CQ9" s="94">
        <v>45719</v>
      </c>
      <c r="CR9" s="94">
        <v>45720</v>
      </c>
      <c r="CS9" s="94">
        <v>45721</v>
      </c>
      <c r="CT9" s="94">
        <v>45722</v>
      </c>
      <c r="CU9" s="94">
        <v>45723</v>
      </c>
      <c r="CV9" s="94">
        <v>45724</v>
      </c>
      <c r="CW9" s="94">
        <v>45725</v>
      </c>
      <c r="CX9" s="94">
        <v>45726</v>
      </c>
      <c r="CY9" s="94">
        <v>45727</v>
      </c>
      <c r="CZ9" s="94">
        <v>45728</v>
      </c>
      <c r="DA9" s="94">
        <v>45729</v>
      </c>
      <c r="DB9" s="94">
        <v>45730</v>
      </c>
      <c r="DC9" s="94">
        <v>45731</v>
      </c>
      <c r="DD9" s="94">
        <v>45732</v>
      </c>
      <c r="DE9" s="94">
        <v>45733</v>
      </c>
      <c r="DF9" s="94">
        <v>45734</v>
      </c>
      <c r="DG9" s="94">
        <v>45735</v>
      </c>
      <c r="DH9" s="94">
        <v>45736</v>
      </c>
      <c r="DI9" s="94">
        <v>45737</v>
      </c>
      <c r="DJ9" s="94">
        <v>45738</v>
      </c>
      <c r="DK9" s="94">
        <v>45739</v>
      </c>
      <c r="DL9" s="94">
        <v>45740</v>
      </c>
      <c r="DM9" s="94">
        <v>45741</v>
      </c>
      <c r="DN9" s="94">
        <v>45742</v>
      </c>
      <c r="DO9" s="94">
        <v>45743</v>
      </c>
      <c r="DP9" s="94">
        <v>45744</v>
      </c>
      <c r="DQ9" s="94">
        <v>45745</v>
      </c>
      <c r="DR9" s="94">
        <v>45746</v>
      </c>
      <c r="DS9" s="94">
        <v>45747</v>
      </c>
      <c r="DT9" s="93">
        <v>45748</v>
      </c>
      <c r="DU9" s="93">
        <v>45749</v>
      </c>
      <c r="DV9" s="93">
        <v>45750</v>
      </c>
      <c r="DW9" s="93">
        <v>45751</v>
      </c>
      <c r="DX9" s="93">
        <v>45752</v>
      </c>
      <c r="DY9" s="93">
        <v>45753</v>
      </c>
      <c r="DZ9" s="93">
        <v>45754</v>
      </c>
      <c r="EA9" s="93">
        <v>45755</v>
      </c>
      <c r="EB9" s="93">
        <v>45756</v>
      </c>
      <c r="EC9" s="93">
        <v>45757</v>
      </c>
      <c r="ED9" s="93">
        <v>45758</v>
      </c>
      <c r="EE9" s="93">
        <v>45759</v>
      </c>
      <c r="EF9" s="93">
        <v>45760</v>
      </c>
      <c r="EG9" s="93">
        <v>45761</v>
      </c>
      <c r="EH9" s="93">
        <v>45762</v>
      </c>
      <c r="EI9" s="93">
        <v>45763</v>
      </c>
      <c r="EJ9" s="93">
        <v>45764</v>
      </c>
      <c r="EK9" s="93">
        <v>45765</v>
      </c>
      <c r="EL9" s="93">
        <v>45766</v>
      </c>
      <c r="EM9" s="93">
        <v>45767</v>
      </c>
      <c r="EN9" s="93">
        <v>45768</v>
      </c>
      <c r="EO9" s="93">
        <v>45769</v>
      </c>
      <c r="EP9" s="93">
        <v>45770</v>
      </c>
      <c r="EQ9" s="93">
        <v>45771</v>
      </c>
      <c r="ER9" s="93">
        <v>45772</v>
      </c>
      <c r="ES9" s="93">
        <v>45773</v>
      </c>
      <c r="ET9" s="93">
        <v>45774</v>
      </c>
      <c r="EU9" s="93">
        <v>45775</v>
      </c>
      <c r="EV9" s="93">
        <v>45776</v>
      </c>
      <c r="EW9" s="93">
        <v>45777</v>
      </c>
      <c r="EX9" s="94">
        <v>45778</v>
      </c>
      <c r="EY9" s="94">
        <v>45779</v>
      </c>
      <c r="EZ9" s="94">
        <v>45780</v>
      </c>
      <c r="FA9" s="94">
        <v>45781</v>
      </c>
      <c r="FB9" s="94">
        <v>45782</v>
      </c>
      <c r="FC9" s="94">
        <v>45783</v>
      </c>
      <c r="FD9" s="94">
        <v>45784</v>
      </c>
      <c r="FE9" s="94">
        <v>45785</v>
      </c>
      <c r="FF9" s="94">
        <v>45786</v>
      </c>
      <c r="FG9" s="94">
        <v>45787</v>
      </c>
      <c r="FH9" s="94">
        <v>45788</v>
      </c>
      <c r="FI9" s="94">
        <v>45789</v>
      </c>
      <c r="FJ9" s="94">
        <v>45790</v>
      </c>
      <c r="FK9" s="94">
        <v>45791</v>
      </c>
      <c r="FL9" s="94">
        <v>45792</v>
      </c>
      <c r="FM9" s="94">
        <v>45793</v>
      </c>
      <c r="FN9" s="94">
        <v>45794</v>
      </c>
      <c r="FO9" s="94">
        <v>45795</v>
      </c>
      <c r="FP9" s="94">
        <v>45796</v>
      </c>
      <c r="FQ9" s="94">
        <v>45797</v>
      </c>
      <c r="FR9" s="94">
        <v>45798</v>
      </c>
      <c r="FS9" s="94">
        <v>45799</v>
      </c>
      <c r="FT9" s="94">
        <v>45800</v>
      </c>
      <c r="FU9" s="94">
        <v>45801</v>
      </c>
      <c r="FV9" s="94">
        <v>45802</v>
      </c>
      <c r="FW9" s="94">
        <v>45803</v>
      </c>
      <c r="FX9" s="94">
        <v>45804</v>
      </c>
      <c r="FY9" s="94">
        <v>45805</v>
      </c>
      <c r="FZ9" s="94">
        <v>45806</v>
      </c>
      <c r="GA9" s="94">
        <v>45807</v>
      </c>
      <c r="GB9" s="94">
        <v>45808</v>
      </c>
      <c r="GC9" s="93">
        <v>45809</v>
      </c>
      <c r="GD9" s="93">
        <v>45810</v>
      </c>
      <c r="GE9" s="93">
        <v>45811</v>
      </c>
      <c r="GF9" s="93">
        <v>45812</v>
      </c>
      <c r="GG9" s="93">
        <v>45813</v>
      </c>
      <c r="GH9" s="93">
        <v>45814</v>
      </c>
      <c r="GI9" s="93">
        <v>45815</v>
      </c>
      <c r="GJ9" s="93">
        <v>45816</v>
      </c>
      <c r="GK9" s="93">
        <v>45817</v>
      </c>
      <c r="GL9" s="93">
        <v>45818</v>
      </c>
      <c r="GM9" s="93">
        <v>45819</v>
      </c>
      <c r="GN9" s="93">
        <v>45820</v>
      </c>
      <c r="GO9" s="93">
        <v>45821</v>
      </c>
      <c r="GP9" s="93">
        <v>45822</v>
      </c>
      <c r="GQ9" s="93">
        <v>45823</v>
      </c>
      <c r="GR9" s="93">
        <v>45824</v>
      </c>
      <c r="GS9" s="93">
        <v>45825</v>
      </c>
      <c r="GT9" s="93">
        <v>45826</v>
      </c>
      <c r="GU9" s="93">
        <v>45827</v>
      </c>
      <c r="GV9" s="93">
        <v>45828</v>
      </c>
      <c r="GW9" s="93">
        <v>45829</v>
      </c>
      <c r="GX9" s="93">
        <v>45830</v>
      </c>
      <c r="GY9" s="93">
        <v>45831</v>
      </c>
      <c r="GZ9" s="93">
        <v>45832</v>
      </c>
      <c r="HA9" s="93">
        <v>45833</v>
      </c>
      <c r="HB9" s="93">
        <v>45834</v>
      </c>
      <c r="HC9" s="93">
        <v>45835</v>
      </c>
      <c r="HD9" s="93">
        <v>45836</v>
      </c>
      <c r="HE9" s="93">
        <v>45837</v>
      </c>
      <c r="HF9" s="93">
        <v>45838</v>
      </c>
      <c r="HG9" s="94">
        <v>45839</v>
      </c>
      <c r="HH9" s="94">
        <v>45840</v>
      </c>
      <c r="HI9" s="94">
        <v>45841</v>
      </c>
      <c r="HJ9" s="94">
        <v>45842</v>
      </c>
      <c r="HK9" s="94">
        <v>45843</v>
      </c>
      <c r="HL9" s="94">
        <v>45844</v>
      </c>
      <c r="HM9" s="94">
        <v>45845</v>
      </c>
      <c r="HN9" s="94">
        <v>45846</v>
      </c>
      <c r="HO9" s="94">
        <v>45847</v>
      </c>
      <c r="HP9" s="94">
        <v>45848</v>
      </c>
      <c r="HQ9" s="94">
        <v>45849</v>
      </c>
      <c r="HR9" s="94">
        <v>45850</v>
      </c>
      <c r="HS9" s="94">
        <v>45851</v>
      </c>
      <c r="HT9" s="94">
        <v>45852</v>
      </c>
      <c r="HU9" s="94">
        <v>45853</v>
      </c>
      <c r="HV9" s="94">
        <v>45854</v>
      </c>
      <c r="HW9" s="94">
        <v>45855</v>
      </c>
      <c r="HX9" s="94">
        <v>45856</v>
      </c>
      <c r="HY9" s="94">
        <v>45857</v>
      </c>
      <c r="HZ9" s="94">
        <v>45858</v>
      </c>
      <c r="IA9" s="94">
        <v>45859</v>
      </c>
      <c r="IB9" s="94">
        <v>45860</v>
      </c>
      <c r="IC9" s="94">
        <v>45861</v>
      </c>
      <c r="ID9" s="94">
        <v>45862</v>
      </c>
      <c r="IE9" s="94">
        <v>45863</v>
      </c>
      <c r="IF9" s="94">
        <v>45864</v>
      </c>
      <c r="IG9" s="94">
        <v>45865</v>
      </c>
      <c r="IH9" s="94">
        <v>45866</v>
      </c>
      <c r="II9" s="94">
        <v>45867</v>
      </c>
      <c r="IJ9" s="94">
        <v>45868</v>
      </c>
      <c r="IK9" s="94">
        <v>45869</v>
      </c>
      <c r="IL9" s="93">
        <v>45870</v>
      </c>
      <c r="IM9" s="93">
        <v>45871</v>
      </c>
      <c r="IN9" s="93">
        <v>45872</v>
      </c>
      <c r="IO9" s="93">
        <v>45873</v>
      </c>
      <c r="IP9" s="93">
        <v>45874</v>
      </c>
      <c r="IQ9" s="93">
        <v>45875</v>
      </c>
      <c r="IR9" s="93">
        <v>45876</v>
      </c>
      <c r="IS9" s="93">
        <v>45877</v>
      </c>
      <c r="IT9" s="93">
        <v>45878</v>
      </c>
      <c r="IU9" s="93">
        <v>45879</v>
      </c>
      <c r="IV9" s="93">
        <v>45880</v>
      </c>
      <c r="IW9" s="93">
        <v>45881</v>
      </c>
      <c r="IX9" s="93">
        <v>45882</v>
      </c>
      <c r="IY9" s="93">
        <v>45883</v>
      </c>
      <c r="IZ9" s="93">
        <v>45884</v>
      </c>
      <c r="JA9" s="93">
        <v>45885</v>
      </c>
      <c r="JB9" s="93">
        <v>45886</v>
      </c>
      <c r="JC9" s="93">
        <v>45887</v>
      </c>
      <c r="JD9" s="93">
        <v>45888</v>
      </c>
      <c r="JE9" s="93">
        <v>45889</v>
      </c>
      <c r="JF9" s="93">
        <v>45890</v>
      </c>
      <c r="JG9" s="93">
        <v>45891</v>
      </c>
      <c r="JH9" s="93">
        <v>45892</v>
      </c>
      <c r="JI9" s="93">
        <v>45893</v>
      </c>
      <c r="JJ9" s="93">
        <v>45894</v>
      </c>
      <c r="JK9" s="93">
        <v>45895</v>
      </c>
      <c r="JL9" s="93">
        <v>45896</v>
      </c>
      <c r="JM9" s="93">
        <v>45897</v>
      </c>
      <c r="JN9" s="93">
        <v>45898</v>
      </c>
      <c r="JO9" s="93">
        <v>45899</v>
      </c>
      <c r="JP9" s="93">
        <v>45900</v>
      </c>
      <c r="JQ9" s="94">
        <v>45901</v>
      </c>
      <c r="JR9" s="94">
        <v>45902</v>
      </c>
      <c r="JS9" s="94">
        <v>45903</v>
      </c>
      <c r="JT9" s="94">
        <v>45904</v>
      </c>
      <c r="JU9" s="94">
        <v>45905</v>
      </c>
      <c r="JV9" s="94">
        <v>45906</v>
      </c>
      <c r="JW9" s="94">
        <v>45907</v>
      </c>
      <c r="JX9" s="94">
        <v>45908</v>
      </c>
      <c r="JY9" s="94">
        <v>45909</v>
      </c>
      <c r="JZ9" s="94">
        <v>45910</v>
      </c>
      <c r="KA9" s="94">
        <v>45911</v>
      </c>
      <c r="KB9" s="94">
        <v>45912</v>
      </c>
      <c r="KC9" s="94">
        <v>45913</v>
      </c>
      <c r="KD9" s="94">
        <v>45914</v>
      </c>
      <c r="KE9" s="94">
        <v>45915</v>
      </c>
      <c r="KF9" s="94">
        <v>45916</v>
      </c>
      <c r="KG9" s="94">
        <v>45917</v>
      </c>
      <c r="KH9" s="94">
        <v>45918</v>
      </c>
      <c r="KI9" s="94">
        <v>45919</v>
      </c>
      <c r="KJ9" s="94">
        <v>45920</v>
      </c>
      <c r="KK9" s="94">
        <v>45921</v>
      </c>
      <c r="KL9" s="94">
        <v>45922</v>
      </c>
      <c r="KM9" s="94">
        <v>45923</v>
      </c>
      <c r="KN9" s="94">
        <v>45924</v>
      </c>
      <c r="KO9" s="94">
        <v>45925</v>
      </c>
      <c r="KP9" s="94">
        <v>45926</v>
      </c>
      <c r="KQ9" s="94">
        <v>45927</v>
      </c>
      <c r="KR9" s="94">
        <v>45928</v>
      </c>
      <c r="KS9" s="94">
        <v>45929</v>
      </c>
      <c r="KT9" s="94">
        <v>45930</v>
      </c>
      <c r="KU9" s="93">
        <v>45931</v>
      </c>
      <c r="KV9" s="93">
        <v>45932</v>
      </c>
      <c r="KW9" s="93">
        <v>45933</v>
      </c>
      <c r="KX9" s="93">
        <v>45934</v>
      </c>
      <c r="KY9" s="93">
        <v>45935</v>
      </c>
      <c r="KZ9" s="93">
        <v>45936</v>
      </c>
      <c r="LA9" s="93">
        <v>45937</v>
      </c>
      <c r="LB9" s="93">
        <v>45938</v>
      </c>
      <c r="LC9" s="93">
        <v>45939</v>
      </c>
      <c r="LD9" s="93">
        <v>45940</v>
      </c>
      <c r="LE9" s="93">
        <v>45941</v>
      </c>
      <c r="LF9" s="93">
        <v>45942</v>
      </c>
      <c r="LG9" s="93">
        <v>45943</v>
      </c>
      <c r="LH9" s="93">
        <v>45944</v>
      </c>
      <c r="LI9" s="93">
        <v>45945</v>
      </c>
      <c r="LJ9" s="93">
        <v>45946</v>
      </c>
      <c r="LK9" s="93">
        <v>45947</v>
      </c>
      <c r="LL9" s="93">
        <v>45948</v>
      </c>
      <c r="LM9" s="93">
        <v>45949</v>
      </c>
      <c r="LN9" s="93">
        <v>45950</v>
      </c>
      <c r="LO9" s="93">
        <v>45951</v>
      </c>
      <c r="LP9" s="93">
        <v>45952</v>
      </c>
      <c r="LQ9" s="93">
        <v>45953</v>
      </c>
      <c r="LR9" s="93">
        <v>45954</v>
      </c>
      <c r="LS9" s="93">
        <v>45955</v>
      </c>
      <c r="LT9" s="93">
        <v>45956</v>
      </c>
      <c r="LU9" s="93">
        <v>45957</v>
      </c>
      <c r="LV9" s="93">
        <v>45958</v>
      </c>
      <c r="LW9" s="93">
        <v>45959</v>
      </c>
      <c r="LX9" s="93">
        <v>45960</v>
      </c>
      <c r="LY9" s="93">
        <v>45961</v>
      </c>
      <c r="LZ9" s="94">
        <v>45962</v>
      </c>
      <c r="MA9" s="94">
        <v>45963</v>
      </c>
      <c r="MB9" s="94">
        <v>45964</v>
      </c>
      <c r="MC9" s="94">
        <v>45965</v>
      </c>
      <c r="MD9" s="94">
        <v>45966</v>
      </c>
      <c r="ME9" s="94">
        <v>45967</v>
      </c>
      <c r="MF9" s="94">
        <v>45968</v>
      </c>
      <c r="MG9" s="94">
        <v>45969</v>
      </c>
      <c r="MH9" s="94">
        <v>45970</v>
      </c>
      <c r="MI9" s="94">
        <v>45971</v>
      </c>
      <c r="MJ9" s="94">
        <v>45972</v>
      </c>
      <c r="MK9" s="94">
        <v>45973</v>
      </c>
      <c r="ML9" s="94">
        <v>45974</v>
      </c>
      <c r="MM9" s="94">
        <v>45975</v>
      </c>
      <c r="MN9" s="94">
        <v>45976</v>
      </c>
      <c r="MO9" s="94">
        <v>45977</v>
      </c>
      <c r="MP9" s="94">
        <v>45978</v>
      </c>
      <c r="MQ9" s="94">
        <v>45979</v>
      </c>
      <c r="MR9" s="94">
        <v>45980</v>
      </c>
      <c r="MS9" s="94">
        <v>45981</v>
      </c>
      <c r="MT9" s="94">
        <v>45982</v>
      </c>
      <c r="MU9" s="94">
        <v>45983</v>
      </c>
      <c r="MV9" s="94">
        <v>45984</v>
      </c>
      <c r="MW9" s="94">
        <v>45985</v>
      </c>
      <c r="MX9" s="94">
        <v>45986</v>
      </c>
      <c r="MY9" s="94">
        <v>45987</v>
      </c>
      <c r="MZ9" s="94">
        <v>45988</v>
      </c>
      <c r="NA9" s="94">
        <v>45989</v>
      </c>
      <c r="NB9" s="94">
        <v>45990</v>
      </c>
      <c r="NC9" s="94">
        <v>45991</v>
      </c>
      <c r="ND9" s="93">
        <v>45992</v>
      </c>
      <c r="NE9" s="93">
        <v>45993</v>
      </c>
      <c r="NF9" s="93">
        <v>45994</v>
      </c>
      <c r="NG9" s="93">
        <v>45995</v>
      </c>
      <c r="NH9" s="93">
        <v>45996</v>
      </c>
      <c r="NI9" s="93">
        <v>45997</v>
      </c>
      <c r="NJ9" s="93">
        <v>45998</v>
      </c>
      <c r="NK9" s="93">
        <v>45999</v>
      </c>
      <c r="NL9" s="93">
        <v>46000</v>
      </c>
      <c r="NM9" s="93">
        <v>46001</v>
      </c>
      <c r="NN9" s="93">
        <v>46002</v>
      </c>
      <c r="NO9" s="93">
        <v>46003</v>
      </c>
      <c r="NP9" s="93">
        <v>46004</v>
      </c>
      <c r="NQ9" s="93">
        <v>46005</v>
      </c>
      <c r="NR9" s="93">
        <v>46006</v>
      </c>
      <c r="NS9" s="93">
        <v>46007</v>
      </c>
      <c r="NT9" s="93">
        <v>46008</v>
      </c>
      <c r="NU9" s="93">
        <v>46009</v>
      </c>
      <c r="NV9" s="93">
        <v>46010</v>
      </c>
      <c r="NW9" s="93">
        <v>46011</v>
      </c>
      <c r="NX9" s="93">
        <v>46012</v>
      </c>
      <c r="NY9" s="93">
        <v>46013</v>
      </c>
      <c r="NZ9" s="93">
        <v>46014</v>
      </c>
      <c r="OA9" s="93">
        <v>46015</v>
      </c>
      <c r="OB9" s="93">
        <v>46016</v>
      </c>
      <c r="OC9" s="93">
        <v>46017</v>
      </c>
      <c r="OD9" s="93">
        <v>46018</v>
      </c>
      <c r="OE9" s="93">
        <v>46019</v>
      </c>
      <c r="OF9" s="93">
        <v>46020</v>
      </c>
      <c r="OG9" s="93">
        <v>46021</v>
      </c>
      <c r="OH9" s="95">
        <v>46022</v>
      </c>
    </row>
    <row r="10" spans="1:455" s="90" customFormat="1" ht="9" customHeight="1" x14ac:dyDescent="0.25">
      <c r="C10" s="96">
        <f>C9</f>
        <v>45627</v>
      </c>
      <c r="D10" s="97">
        <f t="shared" ref="D10:BO10" si="0">D9</f>
        <v>45628</v>
      </c>
      <c r="E10" s="97">
        <f t="shared" si="0"/>
        <v>45629</v>
      </c>
      <c r="F10" s="97">
        <f t="shared" si="0"/>
        <v>45630</v>
      </c>
      <c r="G10" s="97">
        <f t="shared" si="0"/>
        <v>45631</v>
      </c>
      <c r="H10" s="97">
        <f t="shared" si="0"/>
        <v>45632</v>
      </c>
      <c r="I10" s="97">
        <f t="shared" si="0"/>
        <v>45633</v>
      </c>
      <c r="J10" s="97">
        <f t="shared" si="0"/>
        <v>45634</v>
      </c>
      <c r="K10" s="97">
        <f t="shared" si="0"/>
        <v>45635</v>
      </c>
      <c r="L10" s="97">
        <f t="shared" si="0"/>
        <v>45636</v>
      </c>
      <c r="M10" s="97">
        <f t="shared" si="0"/>
        <v>45637</v>
      </c>
      <c r="N10" s="97">
        <f t="shared" si="0"/>
        <v>45638</v>
      </c>
      <c r="O10" s="97">
        <f t="shared" si="0"/>
        <v>45639</v>
      </c>
      <c r="P10" s="97">
        <f t="shared" si="0"/>
        <v>45640</v>
      </c>
      <c r="Q10" s="97">
        <f t="shared" si="0"/>
        <v>45641</v>
      </c>
      <c r="R10" s="97">
        <f t="shared" si="0"/>
        <v>45642</v>
      </c>
      <c r="S10" s="97">
        <f t="shared" si="0"/>
        <v>45643</v>
      </c>
      <c r="T10" s="97">
        <f t="shared" si="0"/>
        <v>45644</v>
      </c>
      <c r="U10" s="97">
        <f t="shared" si="0"/>
        <v>45645</v>
      </c>
      <c r="V10" s="98">
        <f t="shared" si="0"/>
        <v>45646</v>
      </c>
      <c r="W10" s="99">
        <f t="shared" si="0"/>
        <v>45647</v>
      </c>
      <c r="X10" s="99">
        <f t="shared" si="0"/>
        <v>45648</v>
      </c>
      <c r="Y10" s="99">
        <f t="shared" si="0"/>
        <v>45649</v>
      </c>
      <c r="Z10" s="99">
        <f t="shared" si="0"/>
        <v>45650</v>
      </c>
      <c r="AA10" s="99">
        <f t="shared" si="0"/>
        <v>45651</v>
      </c>
      <c r="AB10" s="99">
        <f t="shared" si="0"/>
        <v>45652</v>
      </c>
      <c r="AC10" s="99">
        <f t="shared" si="0"/>
        <v>45653</v>
      </c>
      <c r="AD10" s="99">
        <f t="shared" si="0"/>
        <v>45654</v>
      </c>
      <c r="AE10" s="99">
        <f t="shared" si="0"/>
        <v>45655</v>
      </c>
      <c r="AF10" s="99">
        <f t="shared" si="0"/>
        <v>45656</v>
      </c>
      <c r="AG10" s="99">
        <f t="shared" si="0"/>
        <v>45657</v>
      </c>
      <c r="AH10" s="100">
        <f t="shared" si="0"/>
        <v>45658</v>
      </c>
      <c r="AI10" s="100">
        <f t="shared" si="0"/>
        <v>45659</v>
      </c>
      <c r="AJ10" s="100">
        <f t="shared" si="0"/>
        <v>45660</v>
      </c>
      <c r="AK10" s="100">
        <f t="shared" si="0"/>
        <v>45661</v>
      </c>
      <c r="AL10" s="100">
        <f t="shared" si="0"/>
        <v>45662</v>
      </c>
      <c r="AM10" s="100">
        <f t="shared" si="0"/>
        <v>45663</v>
      </c>
      <c r="AN10" s="100">
        <f t="shared" si="0"/>
        <v>45664</v>
      </c>
      <c r="AO10" s="100">
        <f t="shared" si="0"/>
        <v>45665</v>
      </c>
      <c r="AP10" s="100">
        <f t="shared" si="0"/>
        <v>45666</v>
      </c>
      <c r="AQ10" s="100">
        <f t="shared" si="0"/>
        <v>45667</v>
      </c>
      <c r="AR10" s="100">
        <f t="shared" si="0"/>
        <v>45668</v>
      </c>
      <c r="AS10" s="100">
        <f t="shared" si="0"/>
        <v>45669</v>
      </c>
      <c r="AT10" s="100">
        <f t="shared" si="0"/>
        <v>45670</v>
      </c>
      <c r="AU10" s="100">
        <f t="shared" si="0"/>
        <v>45671</v>
      </c>
      <c r="AV10" s="100">
        <f t="shared" si="0"/>
        <v>45672</v>
      </c>
      <c r="AW10" s="100">
        <f t="shared" si="0"/>
        <v>45673</v>
      </c>
      <c r="AX10" s="100">
        <f t="shared" si="0"/>
        <v>45674</v>
      </c>
      <c r="AY10" s="100">
        <f t="shared" si="0"/>
        <v>45675</v>
      </c>
      <c r="AZ10" s="100">
        <f t="shared" si="0"/>
        <v>45676</v>
      </c>
      <c r="BA10" s="100">
        <f t="shared" si="0"/>
        <v>45677</v>
      </c>
      <c r="BB10" s="100">
        <f t="shared" si="0"/>
        <v>45678</v>
      </c>
      <c r="BC10" s="100">
        <f t="shared" si="0"/>
        <v>45679</v>
      </c>
      <c r="BD10" s="100">
        <f t="shared" si="0"/>
        <v>45680</v>
      </c>
      <c r="BE10" s="100">
        <f t="shared" si="0"/>
        <v>45681</v>
      </c>
      <c r="BF10" s="100">
        <f t="shared" si="0"/>
        <v>45682</v>
      </c>
      <c r="BG10" s="100">
        <f t="shared" si="0"/>
        <v>45683</v>
      </c>
      <c r="BH10" s="100">
        <f t="shared" si="0"/>
        <v>45684</v>
      </c>
      <c r="BI10" s="100">
        <f t="shared" si="0"/>
        <v>45685</v>
      </c>
      <c r="BJ10" s="100">
        <f t="shared" si="0"/>
        <v>45686</v>
      </c>
      <c r="BK10" s="100">
        <f t="shared" si="0"/>
        <v>45687</v>
      </c>
      <c r="BL10" s="100">
        <f t="shared" si="0"/>
        <v>45688</v>
      </c>
      <c r="BM10" s="99">
        <f t="shared" si="0"/>
        <v>45689</v>
      </c>
      <c r="BN10" s="99">
        <f t="shared" si="0"/>
        <v>45690</v>
      </c>
      <c r="BO10" s="99">
        <f t="shared" si="0"/>
        <v>45691</v>
      </c>
      <c r="BP10" s="99">
        <f t="shared" ref="BP10:EA10" si="1">BP9</f>
        <v>45692</v>
      </c>
      <c r="BQ10" s="99">
        <f t="shared" si="1"/>
        <v>45693</v>
      </c>
      <c r="BR10" s="99">
        <f t="shared" si="1"/>
        <v>45694</v>
      </c>
      <c r="BS10" s="99">
        <f t="shared" si="1"/>
        <v>45695</v>
      </c>
      <c r="BT10" s="99">
        <f t="shared" si="1"/>
        <v>45696</v>
      </c>
      <c r="BU10" s="99">
        <f t="shared" si="1"/>
        <v>45697</v>
      </c>
      <c r="BV10" s="99">
        <f t="shared" si="1"/>
        <v>45698</v>
      </c>
      <c r="BW10" s="99">
        <f t="shared" si="1"/>
        <v>45699</v>
      </c>
      <c r="BX10" s="99">
        <f t="shared" si="1"/>
        <v>45700</v>
      </c>
      <c r="BY10" s="99">
        <f t="shared" si="1"/>
        <v>45701</v>
      </c>
      <c r="BZ10" s="99">
        <f t="shared" si="1"/>
        <v>45702</v>
      </c>
      <c r="CA10" s="99">
        <f t="shared" si="1"/>
        <v>45703</v>
      </c>
      <c r="CB10" s="99">
        <f t="shared" si="1"/>
        <v>45704</v>
      </c>
      <c r="CC10" s="99">
        <f t="shared" si="1"/>
        <v>45705</v>
      </c>
      <c r="CD10" s="99">
        <f t="shared" si="1"/>
        <v>45706</v>
      </c>
      <c r="CE10" s="99">
        <f t="shared" si="1"/>
        <v>45707</v>
      </c>
      <c r="CF10" s="99">
        <f t="shared" si="1"/>
        <v>45708</v>
      </c>
      <c r="CG10" s="99">
        <f t="shared" si="1"/>
        <v>45709</v>
      </c>
      <c r="CH10" s="99">
        <f t="shared" si="1"/>
        <v>45710</v>
      </c>
      <c r="CI10" s="99">
        <f t="shared" si="1"/>
        <v>45711</v>
      </c>
      <c r="CJ10" s="99">
        <f t="shared" si="1"/>
        <v>45712</v>
      </c>
      <c r="CK10" s="99">
        <f t="shared" si="1"/>
        <v>45713</v>
      </c>
      <c r="CL10" s="99">
        <f t="shared" si="1"/>
        <v>45714</v>
      </c>
      <c r="CM10" s="99">
        <f t="shared" si="1"/>
        <v>45715</v>
      </c>
      <c r="CN10" s="99">
        <f t="shared" si="1"/>
        <v>45716</v>
      </c>
      <c r="CO10" s="100">
        <f t="shared" si="1"/>
        <v>45717</v>
      </c>
      <c r="CP10" s="100">
        <f t="shared" si="1"/>
        <v>45718</v>
      </c>
      <c r="CQ10" s="100">
        <f t="shared" si="1"/>
        <v>45719</v>
      </c>
      <c r="CR10" s="100">
        <f t="shared" si="1"/>
        <v>45720</v>
      </c>
      <c r="CS10" s="100">
        <f t="shared" si="1"/>
        <v>45721</v>
      </c>
      <c r="CT10" s="100">
        <f t="shared" si="1"/>
        <v>45722</v>
      </c>
      <c r="CU10" s="100">
        <f t="shared" si="1"/>
        <v>45723</v>
      </c>
      <c r="CV10" s="100">
        <f t="shared" si="1"/>
        <v>45724</v>
      </c>
      <c r="CW10" s="100">
        <f t="shared" si="1"/>
        <v>45725</v>
      </c>
      <c r="CX10" s="100">
        <f t="shared" si="1"/>
        <v>45726</v>
      </c>
      <c r="CY10" s="100">
        <f t="shared" si="1"/>
        <v>45727</v>
      </c>
      <c r="CZ10" s="100">
        <f t="shared" si="1"/>
        <v>45728</v>
      </c>
      <c r="DA10" s="100">
        <f t="shared" si="1"/>
        <v>45729</v>
      </c>
      <c r="DB10" s="100">
        <f t="shared" si="1"/>
        <v>45730</v>
      </c>
      <c r="DC10" s="100">
        <f t="shared" si="1"/>
        <v>45731</v>
      </c>
      <c r="DD10" s="100">
        <f t="shared" si="1"/>
        <v>45732</v>
      </c>
      <c r="DE10" s="100">
        <f t="shared" si="1"/>
        <v>45733</v>
      </c>
      <c r="DF10" s="100">
        <f t="shared" si="1"/>
        <v>45734</v>
      </c>
      <c r="DG10" s="100">
        <f t="shared" si="1"/>
        <v>45735</v>
      </c>
      <c r="DH10" s="100">
        <f t="shared" si="1"/>
        <v>45736</v>
      </c>
      <c r="DI10" s="100">
        <f t="shared" si="1"/>
        <v>45737</v>
      </c>
      <c r="DJ10" s="100">
        <f t="shared" si="1"/>
        <v>45738</v>
      </c>
      <c r="DK10" s="100">
        <f t="shared" si="1"/>
        <v>45739</v>
      </c>
      <c r="DL10" s="100">
        <f t="shared" si="1"/>
        <v>45740</v>
      </c>
      <c r="DM10" s="100">
        <f t="shared" si="1"/>
        <v>45741</v>
      </c>
      <c r="DN10" s="100">
        <f t="shared" si="1"/>
        <v>45742</v>
      </c>
      <c r="DO10" s="100">
        <f t="shared" si="1"/>
        <v>45743</v>
      </c>
      <c r="DP10" s="100">
        <f t="shared" si="1"/>
        <v>45744</v>
      </c>
      <c r="DQ10" s="100">
        <f t="shared" si="1"/>
        <v>45745</v>
      </c>
      <c r="DR10" s="100">
        <f t="shared" si="1"/>
        <v>45746</v>
      </c>
      <c r="DS10" s="100">
        <f t="shared" si="1"/>
        <v>45747</v>
      </c>
      <c r="DT10" s="99">
        <f t="shared" si="1"/>
        <v>45748</v>
      </c>
      <c r="DU10" s="99">
        <f t="shared" si="1"/>
        <v>45749</v>
      </c>
      <c r="DV10" s="99">
        <f t="shared" si="1"/>
        <v>45750</v>
      </c>
      <c r="DW10" s="99">
        <f t="shared" si="1"/>
        <v>45751</v>
      </c>
      <c r="DX10" s="99">
        <f t="shared" si="1"/>
        <v>45752</v>
      </c>
      <c r="DY10" s="99">
        <f t="shared" si="1"/>
        <v>45753</v>
      </c>
      <c r="DZ10" s="99">
        <f t="shared" si="1"/>
        <v>45754</v>
      </c>
      <c r="EA10" s="99">
        <f t="shared" si="1"/>
        <v>45755</v>
      </c>
      <c r="EB10" s="99">
        <f t="shared" ref="EB10:GM10" si="2">EB9</f>
        <v>45756</v>
      </c>
      <c r="EC10" s="99">
        <f t="shared" si="2"/>
        <v>45757</v>
      </c>
      <c r="ED10" s="99">
        <f t="shared" si="2"/>
        <v>45758</v>
      </c>
      <c r="EE10" s="99">
        <f t="shared" si="2"/>
        <v>45759</v>
      </c>
      <c r="EF10" s="99">
        <f t="shared" si="2"/>
        <v>45760</v>
      </c>
      <c r="EG10" s="99">
        <f t="shared" si="2"/>
        <v>45761</v>
      </c>
      <c r="EH10" s="99">
        <f t="shared" si="2"/>
        <v>45762</v>
      </c>
      <c r="EI10" s="99">
        <f t="shared" si="2"/>
        <v>45763</v>
      </c>
      <c r="EJ10" s="99">
        <f t="shared" si="2"/>
        <v>45764</v>
      </c>
      <c r="EK10" s="99">
        <f t="shared" si="2"/>
        <v>45765</v>
      </c>
      <c r="EL10" s="99">
        <f t="shared" si="2"/>
        <v>45766</v>
      </c>
      <c r="EM10" s="99">
        <f t="shared" si="2"/>
        <v>45767</v>
      </c>
      <c r="EN10" s="99">
        <f t="shared" si="2"/>
        <v>45768</v>
      </c>
      <c r="EO10" s="99">
        <f t="shared" si="2"/>
        <v>45769</v>
      </c>
      <c r="EP10" s="99">
        <f t="shared" si="2"/>
        <v>45770</v>
      </c>
      <c r="EQ10" s="99">
        <f t="shared" si="2"/>
        <v>45771</v>
      </c>
      <c r="ER10" s="99">
        <f t="shared" si="2"/>
        <v>45772</v>
      </c>
      <c r="ES10" s="99">
        <f t="shared" si="2"/>
        <v>45773</v>
      </c>
      <c r="ET10" s="99">
        <f t="shared" si="2"/>
        <v>45774</v>
      </c>
      <c r="EU10" s="99">
        <f t="shared" si="2"/>
        <v>45775</v>
      </c>
      <c r="EV10" s="99">
        <f t="shared" si="2"/>
        <v>45776</v>
      </c>
      <c r="EW10" s="99">
        <f t="shared" si="2"/>
        <v>45777</v>
      </c>
      <c r="EX10" s="100">
        <f t="shared" si="2"/>
        <v>45778</v>
      </c>
      <c r="EY10" s="100">
        <f t="shared" si="2"/>
        <v>45779</v>
      </c>
      <c r="EZ10" s="100">
        <f t="shared" si="2"/>
        <v>45780</v>
      </c>
      <c r="FA10" s="100">
        <f t="shared" si="2"/>
        <v>45781</v>
      </c>
      <c r="FB10" s="100">
        <f t="shared" si="2"/>
        <v>45782</v>
      </c>
      <c r="FC10" s="100">
        <f t="shared" si="2"/>
        <v>45783</v>
      </c>
      <c r="FD10" s="100">
        <f t="shared" si="2"/>
        <v>45784</v>
      </c>
      <c r="FE10" s="100">
        <f t="shared" si="2"/>
        <v>45785</v>
      </c>
      <c r="FF10" s="100">
        <f t="shared" si="2"/>
        <v>45786</v>
      </c>
      <c r="FG10" s="100">
        <f t="shared" si="2"/>
        <v>45787</v>
      </c>
      <c r="FH10" s="100">
        <f t="shared" si="2"/>
        <v>45788</v>
      </c>
      <c r="FI10" s="100">
        <f t="shared" si="2"/>
        <v>45789</v>
      </c>
      <c r="FJ10" s="100">
        <f t="shared" si="2"/>
        <v>45790</v>
      </c>
      <c r="FK10" s="100">
        <f t="shared" si="2"/>
        <v>45791</v>
      </c>
      <c r="FL10" s="100">
        <f t="shared" si="2"/>
        <v>45792</v>
      </c>
      <c r="FM10" s="100">
        <f t="shared" si="2"/>
        <v>45793</v>
      </c>
      <c r="FN10" s="100">
        <f t="shared" si="2"/>
        <v>45794</v>
      </c>
      <c r="FO10" s="100">
        <f t="shared" si="2"/>
        <v>45795</v>
      </c>
      <c r="FP10" s="100">
        <f t="shared" si="2"/>
        <v>45796</v>
      </c>
      <c r="FQ10" s="100">
        <f t="shared" si="2"/>
        <v>45797</v>
      </c>
      <c r="FR10" s="100">
        <f t="shared" si="2"/>
        <v>45798</v>
      </c>
      <c r="FS10" s="100">
        <f t="shared" si="2"/>
        <v>45799</v>
      </c>
      <c r="FT10" s="100">
        <f t="shared" si="2"/>
        <v>45800</v>
      </c>
      <c r="FU10" s="100">
        <f t="shared" si="2"/>
        <v>45801</v>
      </c>
      <c r="FV10" s="100">
        <f t="shared" si="2"/>
        <v>45802</v>
      </c>
      <c r="FW10" s="100">
        <f t="shared" si="2"/>
        <v>45803</v>
      </c>
      <c r="FX10" s="100">
        <f t="shared" si="2"/>
        <v>45804</v>
      </c>
      <c r="FY10" s="100">
        <f t="shared" si="2"/>
        <v>45805</v>
      </c>
      <c r="FZ10" s="100">
        <f t="shared" si="2"/>
        <v>45806</v>
      </c>
      <c r="GA10" s="100">
        <f t="shared" si="2"/>
        <v>45807</v>
      </c>
      <c r="GB10" s="100">
        <f t="shared" si="2"/>
        <v>45808</v>
      </c>
      <c r="GC10" s="99">
        <f t="shared" si="2"/>
        <v>45809</v>
      </c>
      <c r="GD10" s="99">
        <f t="shared" si="2"/>
        <v>45810</v>
      </c>
      <c r="GE10" s="99">
        <f t="shared" si="2"/>
        <v>45811</v>
      </c>
      <c r="GF10" s="99">
        <f t="shared" si="2"/>
        <v>45812</v>
      </c>
      <c r="GG10" s="99">
        <f t="shared" si="2"/>
        <v>45813</v>
      </c>
      <c r="GH10" s="99">
        <f t="shared" si="2"/>
        <v>45814</v>
      </c>
      <c r="GI10" s="99">
        <f t="shared" si="2"/>
        <v>45815</v>
      </c>
      <c r="GJ10" s="99">
        <f t="shared" si="2"/>
        <v>45816</v>
      </c>
      <c r="GK10" s="99">
        <f t="shared" si="2"/>
        <v>45817</v>
      </c>
      <c r="GL10" s="99">
        <f t="shared" si="2"/>
        <v>45818</v>
      </c>
      <c r="GM10" s="99">
        <f t="shared" si="2"/>
        <v>45819</v>
      </c>
      <c r="GN10" s="99">
        <f t="shared" ref="GN10:IY10" si="3">GN9</f>
        <v>45820</v>
      </c>
      <c r="GO10" s="99">
        <f t="shared" si="3"/>
        <v>45821</v>
      </c>
      <c r="GP10" s="99">
        <f t="shared" si="3"/>
        <v>45822</v>
      </c>
      <c r="GQ10" s="99">
        <f t="shared" si="3"/>
        <v>45823</v>
      </c>
      <c r="GR10" s="99">
        <f t="shared" si="3"/>
        <v>45824</v>
      </c>
      <c r="GS10" s="99">
        <f t="shared" si="3"/>
        <v>45825</v>
      </c>
      <c r="GT10" s="99">
        <f t="shared" si="3"/>
        <v>45826</v>
      </c>
      <c r="GU10" s="99">
        <f t="shared" si="3"/>
        <v>45827</v>
      </c>
      <c r="GV10" s="99">
        <f t="shared" si="3"/>
        <v>45828</v>
      </c>
      <c r="GW10" s="99">
        <f t="shared" si="3"/>
        <v>45829</v>
      </c>
      <c r="GX10" s="99">
        <f t="shared" si="3"/>
        <v>45830</v>
      </c>
      <c r="GY10" s="99">
        <f t="shared" si="3"/>
        <v>45831</v>
      </c>
      <c r="GZ10" s="99">
        <f t="shared" si="3"/>
        <v>45832</v>
      </c>
      <c r="HA10" s="99">
        <f t="shared" si="3"/>
        <v>45833</v>
      </c>
      <c r="HB10" s="99">
        <f t="shared" si="3"/>
        <v>45834</v>
      </c>
      <c r="HC10" s="99">
        <f t="shared" si="3"/>
        <v>45835</v>
      </c>
      <c r="HD10" s="99">
        <f t="shared" si="3"/>
        <v>45836</v>
      </c>
      <c r="HE10" s="99">
        <f t="shared" si="3"/>
        <v>45837</v>
      </c>
      <c r="HF10" s="99">
        <f t="shared" si="3"/>
        <v>45838</v>
      </c>
      <c r="HG10" s="100">
        <f t="shared" si="3"/>
        <v>45839</v>
      </c>
      <c r="HH10" s="100">
        <f t="shared" si="3"/>
        <v>45840</v>
      </c>
      <c r="HI10" s="100">
        <f t="shared" si="3"/>
        <v>45841</v>
      </c>
      <c r="HJ10" s="100">
        <f t="shared" si="3"/>
        <v>45842</v>
      </c>
      <c r="HK10" s="100">
        <f t="shared" si="3"/>
        <v>45843</v>
      </c>
      <c r="HL10" s="100">
        <f t="shared" si="3"/>
        <v>45844</v>
      </c>
      <c r="HM10" s="100">
        <f t="shared" si="3"/>
        <v>45845</v>
      </c>
      <c r="HN10" s="100">
        <f t="shared" si="3"/>
        <v>45846</v>
      </c>
      <c r="HO10" s="100">
        <f t="shared" si="3"/>
        <v>45847</v>
      </c>
      <c r="HP10" s="100">
        <f t="shared" si="3"/>
        <v>45848</v>
      </c>
      <c r="HQ10" s="100">
        <f t="shared" si="3"/>
        <v>45849</v>
      </c>
      <c r="HR10" s="100">
        <f t="shared" si="3"/>
        <v>45850</v>
      </c>
      <c r="HS10" s="100">
        <f t="shared" si="3"/>
        <v>45851</v>
      </c>
      <c r="HT10" s="100">
        <f t="shared" si="3"/>
        <v>45852</v>
      </c>
      <c r="HU10" s="100">
        <f t="shared" si="3"/>
        <v>45853</v>
      </c>
      <c r="HV10" s="100">
        <f t="shared" si="3"/>
        <v>45854</v>
      </c>
      <c r="HW10" s="100">
        <f t="shared" si="3"/>
        <v>45855</v>
      </c>
      <c r="HX10" s="100">
        <f t="shared" si="3"/>
        <v>45856</v>
      </c>
      <c r="HY10" s="100">
        <f t="shared" si="3"/>
        <v>45857</v>
      </c>
      <c r="HZ10" s="100">
        <f t="shared" si="3"/>
        <v>45858</v>
      </c>
      <c r="IA10" s="100">
        <f t="shared" si="3"/>
        <v>45859</v>
      </c>
      <c r="IB10" s="100">
        <f t="shared" si="3"/>
        <v>45860</v>
      </c>
      <c r="IC10" s="100">
        <f t="shared" si="3"/>
        <v>45861</v>
      </c>
      <c r="ID10" s="100">
        <f t="shared" si="3"/>
        <v>45862</v>
      </c>
      <c r="IE10" s="100">
        <f t="shared" si="3"/>
        <v>45863</v>
      </c>
      <c r="IF10" s="100">
        <f t="shared" si="3"/>
        <v>45864</v>
      </c>
      <c r="IG10" s="100">
        <f t="shared" si="3"/>
        <v>45865</v>
      </c>
      <c r="IH10" s="100">
        <f t="shared" si="3"/>
        <v>45866</v>
      </c>
      <c r="II10" s="100">
        <f t="shared" si="3"/>
        <v>45867</v>
      </c>
      <c r="IJ10" s="100">
        <f t="shared" si="3"/>
        <v>45868</v>
      </c>
      <c r="IK10" s="100">
        <f t="shared" si="3"/>
        <v>45869</v>
      </c>
      <c r="IL10" s="99">
        <f t="shared" si="3"/>
        <v>45870</v>
      </c>
      <c r="IM10" s="99">
        <f t="shared" si="3"/>
        <v>45871</v>
      </c>
      <c r="IN10" s="99">
        <f t="shared" si="3"/>
        <v>45872</v>
      </c>
      <c r="IO10" s="99">
        <f t="shared" si="3"/>
        <v>45873</v>
      </c>
      <c r="IP10" s="99">
        <f t="shared" si="3"/>
        <v>45874</v>
      </c>
      <c r="IQ10" s="99">
        <f t="shared" si="3"/>
        <v>45875</v>
      </c>
      <c r="IR10" s="99">
        <f t="shared" si="3"/>
        <v>45876</v>
      </c>
      <c r="IS10" s="99">
        <f t="shared" si="3"/>
        <v>45877</v>
      </c>
      <c r="IT10" s="99">
        <f t="shared" si="3"/>
        <v>45878</v>
      </c>
      <c r="IU10" s="99">
        <f t="shared" si="3"/>
        <v>45879</v>
      </c>
      <c r="IV10" s="99">
        <f t="shared" si="3"/>
        <v>45880</v>
      </c>
      <c r="IW10" s="99">
        <f t="shared" si="3"/>
        <v>45881</v>
      </c>
      <c r="IX10" s="99">
        <f t="shared" si="3"/>
        <v>45882</v>
      </c>
      <c r="IY10" s="99">
        <f t="shared" si="3"/>
        <v>45883</v>
      </c>
      <c r="IZ10" s="99">
        <f t="shared" ref="IZ10:LK10" si="4">IZ9</f>
        <v>45884</v>
      </c>
      <c r="JA10" s="99">
        <f t="shared" si="4"/>
        <v>45885</v>
      </c>
      <c r="JB10" s="99">
        <f t="shared" si="4"/>
        <v>45886</v>
      </c>
      <c r="JC10" s="99">
        <f t="shared" si="4"/>
        <v>45887</v>
      </c>
      <c r="JD10" s="99">
        <f t="shared" si="4"/>
        <v>45888</v>
      </c>
      <c r="JE10" s="99">
        <f t="shared" si="4"/>
        <v>45889</v>
      </c>
      <c r="JF10" s="99">
        <f t="shared" si="4"/>
        <v>45890</v>
      </c>
      <c r="JG10" s="99">
        <f t="shared" si="4"/>
        <v>45891</v>
      </c>
      <c r="JH10" s="99">
        <f t="shared" si="4"/>
        <v>45892</v>
      </c>
      <c r="JI10" s="99">
        <f t="shared" si="4"/>
        <v>45893</v>
      </c>
      <c r="JJ10" s="99">
        <f t="shared" si="4"/>
        <v>45894</v>
      </c>
      <c r="JK10" s="99">
        <f t="shared" si="4"/>
        <v>45895</v>
      </c>
      <c r="JL10" s="99">
        <f t="shared" si="4"/>
        <v>45896</v>
      </c>
      <c r="JM10" s="99">
        <f t="shared" si="4"/>
        <v>45897</v>
      </c>
      <c r="JN10" s="99">
        <f t="shared" si="4"/>
        <v>45898</v>
      </c>
      <c r="JO10" s="99">
        <f t="shared" si="4"/>
        <v>45899</v>
      </c>
      <c r="JP10" s="99">
        <f t="shared" si="4"/>
        <v>45900</v>
      </c>
      <c r="JQ10" s="100">
        <f t="shared" si="4"/>
        <v>45901</v>
      </c>
      <c r="JR10" s="100">
        <f t="shared" si="4"/>
        <v>45902</v>
      </c>
      <c r="JS10" s="100">
        <f t="shared" si="4"/>
        <v>45903</v>
      </c>
      <c r="JT10" s="100">
        <f t="shared" si="4"/>
        <v>45904</v>
      </c>
      <c r="JU10" s="100">
        <f t="shared" si="4"/>
        <v>45905</v>
      </c>
      <c r="JV10" s="100">
        <f t="shared" si="4"/>
        <v>45906</v>
      </c>
      <c r="JW10" s="100">
        <f t="shared" si="4"/>
        <v>45907</v>
      </c>
      <c r="JX10" s="100">
        <f t="shared" si="4"/>
        <v>45908</v>
      </c>
      <c r="JY10" s="100">
        <f t="shared" si="4"/>
        <v>45909</v>
      </c>
      <c r="JZ10" s="100">
        <f t="shared" si="4"/>
        <v>45910</v>
      </c>
      <c r="KA10" s="100">
        <f t="shared" si="4"/>
        <v>45911</v>
      </c>
      <c r="KB10" s="100">
        <f t="shared" si="4"/>
        <v>45912</v>
      </c>
      <c r="KC10" s="100">
        <f t="shared" si="4"/>
        <v>45913</v>
      </c>
      <c r="KD10" s="100">
        <f t="shared" si="4"/>
        <v>45914</v>
      </c>
      <c r="KE10" s="100">
        <f t="shared" si="4"/>
        <v>45915</v>
      </c>
      <c r="KF10" s="100">
        <f t="shared" si="4"/>
        <v>45916</v>
      </c>
      <c r="KG10" s="100">
        <f t="shared" si="4"/>
        <v>45917</v>
      </c>
      <c r="KH10" s="100">
        <f t="shared" si="4"/>
        <v>45918</v>
      </c>
      <c r="KI10" s="100">
        <f t="shared" si="4"/>
        <v>45919</v>
      </c>
      <c r="KJ10" s="100">
        <f t="shared" si="4"/>
        <v>45920</v>
      </c>
      <c r="KK10" s="100">
        <f t="shared" si="4"/>
        <v>45921</v>
      </c>
      <c r="KL10" s="100">
        <f t="shared" si="4"/>
        <v>45922</v>
      </c>
      <c r="KM10" s="100">
        <f t="shared" si="4"/>
        <v>45923</v>
      </c>
      <c r="KN10" s="100">
        <f t="shared" si="4"/>
        <v>45924</v>
      </c>
      <c r="KO10" s="100">
        <f t="shared" si="4"/>
        <v>45925</v>
      </c>
      <c r="KP10" s="100">
        <f t="shared" si="4"/>
        <v>45926</v>
      </c>
      <c r="KQ10" s="100">
        <f t="shared" si="4"/>
        <v>45927</v>
      </c>
      <c r="KR10" s="100">
        <f t="shared" si="4"/>
        <v>45928</v>
      </c>
      <c r="KS10" s="100">
        <f t="shared" si="4"/>
        <v>45929</v>
      </c>
      <c r="KT10" s="100">
        <f t="shared" si="4"/>
        <v>45930</v>
      </c>
      <c r="KU10" s="99">
        <f t="shared" si="4"/>
        <v>45931</v>
      </c>
      <c r="KV10" s="99">
        <f t="shared" si="4"/>
        <v>45932</v>
      </c>
      <c r="KW10" s="99">
        <f t="shared" si="4"/>
        <v>45933</v>
      </c>
      <c r="KX10" s="99">
        <f t="shared" si="4"/>
        <v>45934</v>
      </c>
      <c r="KY10" s="99">
        <f t="shared" si="4"/>
        <v>45935</v>
      </c>
      <c r="KZ10" s="99">
        <f t="shared" si="4"/>
        <v>45936</v>
      </c>
      <c r="LA10" s="99">
        <f t="shared" si="4"/>
        <v>45937</v>
      </c>
      <c r="LB10" s="99">
        <f t="shared" si="4"/>
        <v>45938</v>
      </c>
      <c r="LC10" s="99">
        <f t="shared" si="4"/>
        <v>45939</v>
      </c>
      <c r="LD10" s="99">
        <f t="shared" si="4"/>
        <v>45940</v>
      </c>
      <c r="LE10" s="99">
        <f t="shared" si="4"/>
        <v>45941</v>
      </c>
      <c r="LF10" s="99">
        <f t="shared" si="4"/>
        <v>45942</v>
      </c>
      <c r="LG10" s="99">
        <f t="shared" si="4"/>
        <v>45943</v>
      </c>
      <c r="LH10" s="99">
        <f t="shared" si="4"/>
        <v>45944</v>
      </c>
      <c r="LI10" s="99">
        <f t="shared" si="4"/>
        <v>45945</v>
      </c>
      <c r="LJ10" s="99">
        <f t="shared" si="4"/>
        <v>45946</v>
      </c>
      <c r="LK10" s="99">
        <f t="shared" si="4"/>
        <v>45947</v>
      </c>
      <c r="LL10" s="99">
        <f t="shared" ref="LL10:NW10" si="5">LL9</f>
        <v>45948</v>
      </c>
      <c r="LM10" s="99">
        <f t="shared" si="5"/>
        <v>45949</v>
      </c>
      <c r="LN10" s="99">
        <f t="shared" si="5"/>
        <v>45950</v>
      </c>
      <c r="LO10" s="99">
        <f t="shared" si="5"/>
        <v>45951</v>
      </c>
      <c r="LP10" s="99">
        <f t="shared" si="5"/>
        <v>45952</v>
      </c>
      <c r="LQ10" s="99">
        <f t="shared" si="5"/>
        <v>45953</v>
      </c>
      <c r="LR10" s="99">
        <f t="shared" si="5"/>
        <v>45954</v>
      </c>
      <c r="LS10" s="99">
        <f t="shared" si="5"/>
        <v>45955</v>
      </c>
      <c r="LT10" s="99">
        <f t="shared" si="5"/>
        <v>45956</v>
      </c>
      <c r="LU10" s="99">
        <f t="shared" si="5"/>
        <v>45957</v>
      </c>
      <c r="LV10" s="99">
        <f t="shared" si="5"/>
        <v>45958</v>
      </c>
      <c r="LW10" s="99">
        <f t="shared" si="5"/>
        <v>45959</v>
      </c>
      <c r="LX10" s="99">
        <f t="shared" si="5"/>
        <v>45960</v>
      </c>
      <c r="LY10" s="99">
        <f t="shared" si="5"/>
        <v>45961</v>
      </c>
      <c r="LZ10" s="100">
        <f t="shared" si="5"/>
        <v>45962</v>
      </c>
      <c r="MA10" s="100">
        <f t="shared" si="5"/>
        <v>45963</v>
      </c>
      <c r="MB10" s="100">
        <f t="shared" si="5"/>
        <v>45964</v>
      </c>
      <c r="MC10" s="100">
        <f t="shared" si="5"/>
        <v>45965</v>
      </c>
      <c r="MD10" s="100">
        <f t="shared" si="5"/>
        <v>45966</v>
      </c>
      <c r="ME10" s="100">
        <f t="shared" si="5"/>
        <v>45967</v>
      </c>
      <c r="MF10" s="100">
        <f t="shared" si="5"/>
        <v>45968</v>
      </c>
      <c r="MG10" s="100">
        <f t="shared" si="5"/>
        <v>45969</v>
      </c>
      <c r="MH10" s="100">
        <f t="shared" si="5"/>
        <v>45970</v>
      </c>
      <c r="MI10" s="100">
        <f t="shared" si="5"/>
        <v>45971</v>
      </c>
      <c r="MJ10" s="100">
        <f t="shared" si="5"/>
        <v>45972</v>
      </c>
      <c r="MK10" s="100">
        <f t="shared" si="5"/>
        <v>45973</v>
      </c>
      <c r="ML10" s="100">
        <f t="shared" si="5"/>
        <v>45974</v>
      </c>
      <c r="MM10" s="100">
        <f t="shared" si="5"/>
        <v>45975</v>
      </c>
      <c r="MN10" s="100">
        <f t="shared" si="5"/>
        <v>45976</v>
      </c>
      <c r="MO10" s="100">
        <f t="shared" si="5"/>
        <v>45977</v>
      </c>
      <c r="MP10" s="100">
        <f t="shared" si="5"/>
        <v>45978</v>
      </c>
      <c r="MQ10" s="100">
        <f t="shared" si="5"/>
        <v>45979</v>
      </c>
      <c r="MR10" s="100">
        <f t="shared" si="5"/>
        <v>45980</v>
      </c>
      <c r="MS10" s="100">
        <f t="shared" si="5"/>
        <v>45981</v>
      </c>
      <c r="MT10" s="100">
        <f t="shared" si="5"/>
        <v>45982</v>
      </c>
      <c r="MU10" s="100">
        <f t="shared" si="5"/>
        <v>45983</v>
      </c>
      <c r="MV10" s="100">
        <f t="shared" si="5"/>
        <v>45984</v>
      </c>
      <c r="MW10" s="100">
        <f t="shared" si="5"/>
        <v>45985</v>
      </c>
      <c r="MX10" s="100">
        <f t="shared" si="5"/>
        <v>45986</v>
      </c>
      <c r="MY10" s="100">
        <f t="shared" si="5"/>
        <v>45987</v>
      </c>
      <c r="MZ10" s="100">
        <f t="shared" si="5"/>
        <v>45988</v>
      </c>
      <c r="NA10" s="100">
        <f t="shared" si="5"/>
        <v>45989</v>
      </c>
      <c r="NB10" s="100">
        <f t="shared" si="5"/>
        <v>45990</v>
      </c>
      <c r="NC10" s="100">
        <f t="shared" si="5"/>
        <v>45991</v>
      </c>
      <c r="ND10" s="99">
        <f t="shared" si="5"/>
        <v>45992</v>
      </c>
      <c r="NE10" s="99">
        <f t="shared" si="5"/>
        <v>45993</v>
      </c>
      <c r="NF10" s="99">
        <f t="shared" si="5"/>
        <v>45994</v>
      </c>
      <c r="NG10" s="99">
        <f t="shared" si="5"/>
        <v>45995</v>
      </c>
      <c r="NH10" s="99">
        <f t="shared" si="5"/>
        <v>45996</v>
      </c>
      <c r="NI10" s="99">
        <f t="shared" si="5"/>
        <v>45997</v>
      </c>
      <c r="NJ10" s="99">
        <f t="shared" si="5"/>
        <v>45998</v>
      </c>
      <c r="NK10" s="99">
        <f t="shared" si="5"/>
        <v>45999</v>
      </c>
      <c r="NL10" s="99">
        <f t="shared" si="5"/>
        <v>46000</v>
      </c>
      <c r="NM10" s="99">
        <f t="shared" si="5"/>
        <v>46001</v>
      </c>
      <c r="NN10" s="99">
        <f t="shared" si="5"/>
        <v>46002</v>
      </c>
      <c r="NO10" s="99">
        <f t="shared" si="5"/>
        <v>46003</v>
      </c>
      <c r="NP10" s="99">
        <f t="shared" si="5"/>
        <v>46004</v>
      </c>
      <c r="NQ10" s="99">
        <f t="shared" si="5"/>
        <v>46005</v>
      </c>
      <c r="NR10" s="99">
        <f t="shared" si="5"/>
        <v>46006</v>
      </c>
      <c r="NS10" s="99">
        <f t="shared" si="5"/>
        <v>46007</v>
      </c>
      <c r="NT10" s="99">
        <f t="shared" si="5"/>
        <v>46008</v>
      </c>
      <c r="NU10" s="99">
        <f t="shared" si="5"/>
        <v>46009</v>
      </c>
      <c r="NV10" s="99">
        <f t="shared" si="5"/>
        <v>46010</v>
      </c>
      <c r="NW10" s="99">
        <f t="shared" si="5"/>
        <v>46011</v>
      </c>
      <c r="NX10" s="99">
        <f t="shared" ref="NX10:OH10" si="6">NX9</f>
        <v>46012</v>
      </c>
      <c r="NY10" s="99">
        <f t="shared" si="6"/>
        <v>46013</v>
      </c>
      <c r="NZ10" s="99">
        <f t="shared" si="6"/>
        <v>46014</v>
      </c>
      <c r="OA10" s="99">
        <f t="shared" si="6"/>
        <v>46015</v>
      </c>
      <c r="OB10" s="99">
        <f t="shared" si="6"/>
        <v>46016</v>
      </c>
      <c r="OC10" s="99">
        <f t="shared" si="6"/>
        <v>46017</v>
      </c>
      <c r="OD10" s="99">
        <f t="shared" si="6"/>
        <v>46018</v>
      </c>
      <c r="OE10" s="99">
        <f t="shared" si="6"/>
        <v>46019</v>
      </c>
      <c r="OF10" s="99">
        <f t="shared" si="6"/>
        <v>46020</v>
      </c>
      <c r="OG10" s="99">
        <f t="shared" si="6"/>
        <v>46021</v>
      </c>
      <c r="OH10" s="101">
        <f t="shared" si="6"/>
        <v>46022</v>
      </c>
    </row>
    <row r="11" spans="1:455" customFormat="1" ht="9.75" customHeight="1" x14ac:dyDescent="0.25">
      <c r="A11" s="147" t="s">
        <v>21</v>
      </c>
      <c r="B11" s="35" t="s">
        <v>22</v>
      </c>
      <c r="C11" s="65"/>
      <c r="D11" s="65"/>
      <c r="E11" s="65"/>
      <c r="F11" s="65"/>
      <c r="G11" s="65"/>
      <c r="H11" s="65"/>
      <c r="I11" s="65"/>
      <c r="J11" s="65"/>
      <c r="K11" s="65"/>
      <c r="L11" s="65"/>
      <c r="M11" s="65"/>
      <c r="N11" s="65"/>
      <c r="O11" s="65"/>
      <c r="P11" s="65"/>
      <c r="Q11" s="65"/>
      <c r="R11" s="65"/>
      <c r="S11" s="65"/>
      <c r="T11" s="65"/>
      <c r="U11" s="65"/>
      <c r="V11" s="65"/>
      <c r="W11" s="65"/>
      <c r="X11" s="65"/>
      <c r="Y11" s="65"/>
      <c r="Z11" s="65"/>
      <c r="AA11" s="65"/>
      <c r="AB11" s="65"/>
      <c r="AC11" s="65"/>
      <c r="AD11" s="65"/>
      <c r="AE11" s="65"/>
      <c r="AF11" s="65"/>
      <c r="AG11" s="65"/>
      <c r="AH11" s="87"/>
      <c r="AI11" s="87"/>
      <c r="AJ11" s="87"/>
      <c r="AK11" s="87"/>
      <c r="AL11" s="87"/>
      <c r="AM11" s="87"/>
      <c r="AN11" s="87"/>
      <c r="AO11" s="87"/>
      <c r="AP11" s="87"/>
      <c r="AQ11" s="87"/>
      <c r="AR11" s="87"/>
      <c r="AS11" s="87"/>
      <c r="AT11" s="87"/>
      <c r="AU11" s="87"/>
      <c r="AV11" s="87"/>
      <c r="AW11" s="87"/>
      <c r="AX11" s="87"/>
      <c r="AY11" s="87"/>
      <c r="AZ11" s="87"/>
      <c r="BA11" s="87"/>
      <c r="BB11" s="87"/>
      <c r="BC11" s="87"/>
      <c r="BD11" s="87"/>
      <c r="BE11" s="87"/>
      <c r="BF11" s="87"/>
      <c r="BG11" s="87"/>
      <c r="BH11" s="87"/>
      <c r="BI11" s="87"/>
      <c r="BJ11" s="87"/>
      <c r="BK11" s="87"/>
      <c r="BL11" s="87"/>
      <c r="BM11" s="87"/>
      <c r="BN11" s="87"/>
      <c r="BO11" s="87"/>
      <c r="BP11" s="87"/>
      <c r="BQ11" s="87"/>
      <c r="BR11" s="87"/>
      <c r="BS11" s="87"/>
      <c r="BT11" s="87"/>
      <c r="BU11" s="87"/>
      <c r="BV11" s="87"/>
      <c r="BW11" s="87"/>
      <c r="BX11" s="87"/>
      <c r="BY11" s="87"/>
      <c r="BZ11" s="87"/>
      <c r="CA11" s="87"/>
      <c r="CB11" s="88"/>
      <c r="CC11" s="88"/>
      <c r="CD11" s="88"/>
      <c r="CE11" s="88"/>
      <c r="CF11" s="88"/>
      <c r="CG11" s="88"/>
      <c r="CH11" s="88"/>
      <c r="CI11" s="88"/>
      <c r="CJ11" s="88"/>
      <c r="CK11" s="88"/>
      <c r="CL11" s="88"/>
      <c r="CM11" s="88"/>
      <c r="CN11" s="88"/>
      <c r="CO11" s="88"/>
      <c r="CP11" s="88"/>
      <c r="CQ11" s="88"/>
      <c r="CR11" s="88"/>
      <c r="CS11" s="88"/>
      <c r="CT11" s="88"/>
      <c r="CU11" s="88"/>
      <c r="CV11" s="88"/>
      <c r="CW11" s="88"/>
      <c r="CX11" s="88"/>
      <c r="CY11" s="88"/>
      <c r="CZ11" s="88"/>
      <c r="DA11" s="88"/>
      <c r="DB11" s="88"/>
      <c r="DC11" s="88"/>
      <c r="DD11" s="88"/>
      <c r="DE11" s="88"/>
      <c r="DF11" s="88"/>
      <c r="DG11" s="88"/>
      <c r="DH11" s="88"/>
      <c r="DI11" s="88"/>
      <c r="DJ11" s="88"/>
      <c r="DK11" s="88"/>
      <c r="DL11" s="88"/>
      <c r="DM11" s="88"/>
      <c r="DN11" s="88"/>
      <c r="DO11" s="88"/>
      <c r="DP11" s="88"/>
      <c r="DQ11" s="88"/>
      <c r="DR11" s="88"/>
      <c r="DS11" s="88"/>
      <c r="DT11" s="88"/>
      <c r="DU11" s="88"/>
      <c r="DV11" s="88"/>
      <c r="DW11" s="88"/>
      <c r="DX11" s="88"/>
      <c r="DY11" s="88"/>
      <c r="DZ11" s="88"/>
      <c r="EA11" s="88"/>
      <c r="EB11" s="88"/>
      <c r="EC11" s="88"/>
      <c r="ED11" s="88"/>
      <c r="EE11" s="88"/>
      <c r="EF11" s="88"/>
      <c r="EG11" s="88"/>
      <c r="EH11" s="88"/>
      <c r="EI11" s="88"/>
      <c r="EJ11" s="88"/>
      <c r="EK11" s="88"/>
      <c r="EL11" s="88"/>
      <c r="EM11" s="88"/>
      <c r="EN11" s="88"/>
      <c r="EO11" s="88"/>
      <c r="EP11" s="88"/>
      <c r="EQ11" s="88"/>
      <c r="ER11" s="88"/>
      <c r="ES11" s="88"/>
      <c r="ET11" s="88"/>
      <c r="EU11" s="88"/>
      <c r="EV11" s="88"/>
      <c r="EW11" s="88"/>
      <c r="EX11" s="88"/>
      <c r="EY11" s="88"/>
      <c r="EZ11" s="88"/>
      <c r="FA11" s="88"/>
      <c r="FB11" s="88"/>
      <c r="FC11" s="88"/>
      <c r="FD11" s="88"/>
      <c r="FE11" s="88"/>
      <c r="FF11" s="88"/>
      <c r="FG11" s="88"/>
      <c r="FH11" s="88"/>
      <c r="FI11" s="88"/>
      <c r="FJ11" s="88"/>
      <c r="FK11" s="88"/>
      <c r="FL11" s="88"/>
      <c r="FM11" s="88"/>
      <c r="FN11" s="88"/>
      <c r="FO11" s="88"/>
      <c r="FP11" s="88"/>
      <c r="FQ11" s="88"/>
      <c r="FR11" s="88"/>
      <c r="FS11" s="88"/>
      <c r="FT11" s="88"/>
      <c r="FU11" s="88"/>
      <c r="FV11" s="88"/>
      <c r="FW11" s="88"/>
      <c r="FX11" s="88"/>
      <c r="FY11" s="88"/>
      <c r="FZ11" s="88"/>
      <c r="GA11" s="88"/>
      <c r="GB11" s="88"/>
      <c r="GC11" s="88"/>
      <c r="GD11" s="88"/>
      <c r="GE11" s="88"/>
      <c r="GF11" s="88"/>
      <c r="GG11" s="88"/>
      <c r="GH11" s="88"/>
      <c r="GI11" s="88"/>
      <c r="GJ11" s="88"/>
      <c r="GK11" s="88"/>
      <c r="GL11" s="88"/>
      <c r="GM11" s="88"/>
      <c r="GN11" s="88"/>
      <c r="GO11" s="88"/>
      <c r="GP11" s="88"/>
      <c r="GQ11" s="88"/>
      <c r="GR11" s="88"/>
      <c r="GS11" s="88"/>
      <c r="GT11" s="88"/>
      <c r="GU11" s="88"/>
      <c r="GV11" s="88"/>
      <c r="GW11" s="88"/>
      <c r="GX11" s="88"/>
      <c r="GY11" s="88"/>
      <c r="GZ11" s="88"/>
      <c r="HA11" s="88"/>
      <c r="HB11" s="88"/>
      <c r="HC11" s="88"/>
      <c r="HD11" s="88"/>
      <c r="HE11" s="88"/>
      <c r="HF11" s="88"/>
      <c r="HG11" s="88"/>
      <c r="HH11" s="88"/>
      <c r="HI11" s="88"/>
      <c r="HJ11" s="88"/>
      <c r="HK11" s="88"/>
      <c r="HL11" s="88"/>
      <c r="HM11" s="88"/>
      <c r="HN11" s="88"/>
      <c r="HO11" s="88"/>
      <c r="HP11" s="88"/>
      <c r="HQ11" s="88"/>
      <c r="HR11" s="88"/>
      <c r="HS11" s="88"/>
      <c r="HT11" s="88"/>
      <c r="HU11" s="88"/>
      <c r="HV11" s="88"/>
      <c r="HW11" s="88"/>
      <c r="HX11" s="88"/>
      <c r="HY11" s="88"/>
      <c r="HZ11" s="88"/>
      <c r="IA11" s="88"/>
      <c r="IB11" s="88"/>
      <c r="IC11" s="88"/>
      <c r="ID11" s="88"/>
      <c r="IE11" s="88"/>
      <c r="IF11" s="88"/>
      <c r="IG11" s="88"/>
      <c r="IH11" s="88"/>
      <c r="II11" s="88"/>
      <c r="IJ11" s="88"/>
      <c r="IK11" s="88"/>
      <c r="IL11" s="88"/>
      <c r="IM11" s="88"/>
      <c r="IN11" s="88"/>
      <c r="IO11" s="88"/>
      <c r="IP11" s="88"/>
      <c r="IQ11" s="88"/>
      <c r="IR11" s="88"/>
      <c r="IS11" s="88"/>
      <c r="IT11" s="88"/>
      <c r="IU11" s="88"/>
      <c r="IV11" s="88"/>
      <c r="IW11" s="88"/>
      <c r="IX11" s="88"/>
      <c r="IY11" s="88"/>
      <c r="IZ11" s="88"/>
      <c r="JA11" s="88"/>
      <c r="JB11" s="88"/>
      <c r="JC11" s="88"/>
      <c r="JD11" s="88"/>
      <c r="JE11" s="88"/>
      <c r="JF11" s="88"/>
      <c r="JG11" s="88"/>
      <c r="JH11" s="88"/>
      <c r="JI11" s="88"/>
      <c r="JJ11" s="88"/>
      <c r="JK11" s="88"/>
      <c r="JL11" s="88"/>
      <c r="JM11" s="88"/>
      <c r="JN11" s="88"/>
      <c r="JO11" s="88"/>
      <c r="JP11" s="88"/>
      <c r="JQ11" s="88"/>
      <c r="JR11" s="88"/>
      <c r="JS11" s="88"/>
      <c r="JT11" s="88"/>
      <c r="JU11" s="88"/>
      <c r="JV11" s="88"/>
      <c r="JW11" s="88"/>
      <c r="JX11" s="88"/>
      <c r="JY11" s="88"/>
      <c r="JZ11" s="88"/>
      <c r="KA11" s="88"/>
      <c r="KB11" s="88"/>
      <c r="KC11" s="88"/>
      <c r="KD11" s="88"/>
      <c r="KE11" s="88"/>
      <c r="KF11" s="88"/>
      <c r="KG11" s="88"/>
      <c r="KH11" s="88"/>
      <c r="KI11" s="88"/>
      <c r="KJ11" s="88"/>
      <c r="KK11" s="88"/>
      <c r="KL11" s="88"/>
      <c r="KM11" s="88"/>
      <c r="KN11" s="88"/>
      <c r="KO11" s="88"/>
      <c r="KP11" s="88"/>
      <c r="KQ11" s="88"/>
      <c r="KR11" s="88"/>
      <c r="KS11" s="88"/>
      <c r="KT11" s="88"/>
      <c r="KU11" s="88"/>
      <c r="KV11" s="88"/>
      <c r="KW11" s="88"/>
      <c r="KX11" s="88"/>
      <c r="KY11" s="88"/>
      <c r="KZ11" s="88"/>
      <c r="LA11" s="88"/>
      <c r="LB11" s="88"/>
      <c r="LC11" s="88"/>
      <c r="LD11" s="88"/>
      <c r="LE11" s="88"/>
      <c r="LF11" s="88"/>
      <c r="LG11" s="88"/>
      <c r="LH11" s="88"/>
      <c r="LI11" s="88"/>
      <c r="LJ11" s="88"/>
      <c r="LK11" s="88"/>
      <c r="LL11" s="88"/>
      <c r="LM11" s="88"/>
      <c r="LN11" s="88"/>
      <c r="LO11" s="88"/>
      <c r="LP11" s="88"/>
      <c r="LQ11" s="88"/>
      <c r="LR11" s="88"/>
      <c r="LS11" s="88"/>
      <c r="LT11" s="88"/>
      <c r="LU11" s="88"/>
      <c r="LV11" s="88"/>
      <c r="LW11" s="88"/>
      <c r="LX11" s="88"/>
      <c r="LY11" s="88"/>
      <c r="LZ11" s="88"/>
      <c r="MA11" s="88"/>
      <c r="MB11" s="88"/>
      <c r="MC11" s="88"/>
      <c r="MD11" s="88"/>
      <c r="ME11" s="88"/>
      <c r="MF11" s="88"/>
      <c r="MG11" s="88"/>
      <c r="MH11" s="88"/>
      <c r="MI11" s="88"/>
      <c r="MJ11" s="88"/>
      <c r="MK11" s="88"/>
      <c r="ML11" s="88"/>
      <c r="MM11" s="88"/>
      <c r="MN11" s="88"/>
      <c r="MO11" s="88"/>
      <c r="MP11" s="88"/>
      <c r="MQ11" s="88"/>
      <c r="MR11" s="88"/>
      <c r="MS11" s="88"/>
      <c r="MT11" s="88"/>
      <c r="MU11" s="88"/>
      <c r="MV11" s="88"/>
      <c r="MW11" s="88"/>
      <c r="MX11" s="88"/>
      <c r="MY11" s="88"/>
      <c r="MZ11" s="88"/>
      <c r="NA11" s="88"/>
      <c r="NB11" s="88"/>
      <c r="NC11" s="88"/>
      <c r="ND11" s="88"/>
      <c r="NE11" s="88"/>
      <c r="NF11" s="88"/>
      <c r="NG11" s="88"/>
      <c r="NH11" s="88"/>
      <c r="NI11" s="88"/>
      <c r="NJ11" s="88"/>
      <c r="NK11" s="88"/>
      <c r="NL11" s="88"/>
      <c r="NM11" s="88"/>
      <c r="NN11" s="88"/>
      <c r="NO11" s="88"/>
      <c r="NP11" s="88"/>
      <c r="NQ11" s="88"/>
      <c r="NR11" s="88"/>
      <c r="NS11" s="88"/>
      <c r="NT11" s="88"/>
      <c r="NU11" s="88"/>
      <c r="NV11" s="88"/>
      <c r="NW11" s="88"/>
      <c r="NX11" s="88"/>
      <c r="NY11" s="88"/>
      <c r="NZ11" s="88"/>
      <c r="OA11" s="88"/>
      <c r="OB11" s="88"/>
      <c r="OC11" s="88"/>
      <c r="OD11" s="88"/>
      <c r="OE11" s="88"/>
      <c r="OF11" s="88"/>
      <c r="OG11" s="88"/>
      <c r="OH11" s="88"/>
    </row>
    <row r="12" spans="1:455" customFormat="1" ht="9.75" customHeight="1" x14ac:dyDescent="0.25">
      <c r="A12" s="148"/>
      <c r="B12" s="34" t="s">
        <v>23</v>
      </c>
      <c r="C12" s="65"/>
      <c r="D12" s="65"/>
      <c r="E12" s="65"/>
      <c r="F12" s="65"/>
      <c r="G12" s="65"/>
      <c r="H12" s="65"/>
      <c r="I12" s="65"/>
      <c r="J12" s="65"/>
      <c r="K12" s="65"/>
      <c r="L12" s="65"/>
      <c r="M12" s="65"/>
      <c r="N12" s="65"/>
      <c r="O12" s="65"/>
      <c r="P12" s="65"/>
      <c r="Q12" s="65"/>
      <c r="R12" s="65"/>
      <c r="S12" s="65"/>
      <c r="T12" s="65"/>
      <c r="U12" s="65"/>
      <c r="V12" s="65"/>
      <c r="W12" s="65"/>
      <c r="X12" s="65"/>
      <c r="Y12" s="65"/>
      <c r="Z12" s="65"/>
      <c r="AA12" s="65"/>
      <c r="AB12" s="65"/>
      <c r="AC12" s="65"/>
      <c r="AD12" s="65"/>
      <c r="AE12" s="65"/>
      <c r="AF12" s="65"/>
      <c r="AG12" s="65"/>
      <c r="AH12" s="87"/>
      <c r="AI12" s="87"/>
      <c r="AJ12" s="87"/>
      <c r="AK12" s="87"/>
      <c r="AL12" s="87"/>
      <c r="AM12" s="87"/>
      <c r="AN12" s="87"/>
      <c r="AO12" s="87"/>
      <c r="AP12" s="87"/>
      <c r="AQ12" s="87"/>
      <c r="AR12" s="87"/>
      <c r="AS12" s="87"/>
      <c r="AT12" s="87"/>
      <c r="AU12" s="87"/>
      <c r="AV12" s="87"/>
      <c r="AW12" s="87"/>
      <c r="AX12" s="87"/>
      <c r="AY12" s="87"/>
      <c r="AZ12" s="87"/>
      <c r="BA12" s="87"/>
      <c r="BB12" s="87"/>
      <c r="BC12" s="87"/>
      <c r="BD12" s="87"/>
      <c r="BE12" s="87"/>
      <c r="BF12" s="87"/>
      <c r="BG12" s="87"/>
      <c r="BH12" s="87"/>
      <c r="BI12" s="87"/>
      <c r="BJ12" s="87"/>
      <c r="BK12" s="87"/>
      <c r="BL12" s="87"/>
      <c r="BM12" s="87"/>
      <c r="BN12" s="87"/>
      <c r="BO12" s="87"/>
      <c r="BP12" s="87"/>
      <c r="BQ12" s="87"/>
      <c r="BR12" s="87"/>
      <c r="BS12" s="87"/>
      <c r="BT12" s="87"/>
      <c r="BU12" s="87"/>
      <c r="BV12" s="87"/>
      <c r="BW12" s="87"/>
      <c r="BX12" s="87"/>
      <c r="BY12" s="87"/>
      <c r="BZ12" s="87"/>
      <c r="CA12" s="87"/>
      <c r="CB12" s="88"/>
      <c r="CC12" s="88"/>
      <c r="CD12" s="88"/>
      <c r="CE12" s="88"/>
      <c r="CF12" s="88"/>
      <c r="CG12" s="88"/>
      <c r="CH12" s="88"/>
      <c r="CI12" s="88"/>
      <c r="CJ12" s="88"/>
      <c r="CK12" s="88"/>
      <c r="CL12" s="88"/>
      <c r="CM12" s="88"/>
      <c r="CN12" s="88"/>
      <c r="CO12" s="88"/>
      <c r="CP12" s="88"/>
      <c r="CQ12" s="88"/>
      <c r="CR12" s="88"/>
      <c r="CS12" s="88"/>
      <c r="CT12" s="88"/>
      <c r="CU12" s="88"/>
      <c r="CV12" s="88"/>
      <c r="CW12" s="88"/>
      <c r="CX12" s="88"/>
      <c r="CY12" s="88"/>
      <c r="CZ12" s="88"/>
      <c r="DA12" s="88"/>
      <c r="DB12" s="88"/>
      <c r="DC12" s="88"/>
      <c r="DD12" s="88"/>
      <c r="DE12" s="88"/>
      <c r="DF12" s="88"/>
      <c r="DG12" s="88"/>
      <c r="DH12" s="88"/>
      <c r="DI12" s="88"/>
      <c r="DJ12" s="88"/>
      <c r="DK12" s="88"/>
      <c r="DL12" s="88"/>
      <c r="DM12" s="88"/>
      <c r="DN12" s="88"/>
      <c r="DO12" s="88"/>
      <c r="DP12" s="88"/>
      <c r="DQ12" s="88"/>
      <c r="DR12" s="88"/>
      <c r="DS12" s="88"/>
      <c r="DT12" s="88"/>
      <c r="DU12" s="88"/>
      <c r="DV12" s="88"/>
      <c r="DW12" s="88"/>
      <c r="DX12" s="88"/>
      <c r="DY12" s="88"/>
      <c r="DZ12" s="88"/>
      <c r="EA12" s="88"/>
      <c r="EB12" s="88"/>
      <c r="EC12" s="88"/>
      <c r="ED12" s="88"/>
      <c r="EE12" s="88"/>
      <c r="EF12" s="88"/>
      <c r="EG12" s="88"/>
      <c r="EH12" s="88"/>
      <c r="EI12" s="88"/>
      <c r="EJ12" s="88"/>
      <c r="EK12" s="88"/>
      <c r="EL12" s="88"/>
      <c r="EM12" s="88"/>
      <c r="EN12" s="88"/>
      <c r="EO12" s="88"/>
      <c r="EP12" s="88"/>
      <c r="EQ12" s="88"/>
      <c r="ER12" s="88"/>
      <c r="ES12" s="88"/>
      <c r="ET12" s="88"/>
      <c r="EU12" s="88"/>
      <c r="EV12" s="88"/>
      <c r="EW12" s="88"/>
      <c r="EX12" s="88"/>
      <c r="EY12" s="88"/>
      <c r="EZ12" s="88"/>
      <c r="FA12" s="88"/>
      <c r="FB12" s="88"/>
      <c r="FC12" s="88"/>
      <c r="FD12" s="88"/>
      <c r="FE12" s="88"/>
      <c r="FF12" s="88"/>
      <c r="FG12" s="88"/>
      <c r="FH12" s="88"/>
      <c r="FI12" s="88"/>
      <c r="FJ12" s="88"/>
      <c r="FK12" s="88"/>
      <c r="FL12" s="88"/>
      <c r="FM12" s="88"/>
      <c r="FN12" s="88"/>
      <c r="FO12" s="88"/>
      <c r="FP12" s="88"/>
      <c r="FQ12" s="88"/>
      <c r="FR12" s="88"/>
      <c r="FS12" s="88"/>
      <c r="FT12" s="88"/>
      <c r="FU12" s="88"/>
      <c r="FV12" s="88"/>
      <c r="FW12" s="88"/>
      <c r="FX12" s="88"/>
      <c r="FY12" s="88"/>
      <c r="FZ12" s="88"/>
      <c r="GA12" s="88"/>
      <c r="GB12" s="88"/>
      <c r="GC12" s="88"/>
      <c r="GD12" s="88"/>
      <c r="GE12" s="88"/>
      <c r="GF12" s="88"/>
      <c r="GG12" s="88"/>
      <c r="GH12" s="88"/>
      <c r="GI12" s="88"/>
      <c r="GJ12" s="88"/>
      <c r="GK12" s="88"/>
      <c r="GL12" s="88"/>
      <c r="GM12" s="88"/>
      <c r="GN12" s="88"/>
      <c r="GO12" s="88"/>
      <c r="GP12" s="88"/>
      <c r="GQ12" s="88"/>
      <c r="GR12" s="88"/>
      <c r="GS12" s="88"/>
      <c r="GT12" s="88"/>
      <c r="GU12" s="88"/>
      <c r="GV12" s="88"/>
      <c r="GW12" s="88"/>
      <c r="GX12" s="88"/>
      <c r="GY12" s="88"/>
      <c r="GZ12" s="88"/>
      <c r="HA12" s="88"/>
      <c r="HB12" s="88"/>
      <c r="HC12" s="88"/>
      <c r="HD12" s="88"/>
      <c r="HE12" s="88"/>
      <c r="HF12" s="88"/>
      <c r="HG12" s="88"/>
      <c r="HH12" s="88"/>
      <c r="HI12" s="88"/>
      <c r="HJ12" s="88"/>
      <c r="HK12" s="88"/>
      <c r="HL12" s="88"/>
      <c r="HM12" s="88"/>
      <c r="HN12" s="88"/>
      <c r="HO12" s="88"/>
      <c r="HP12" s="88"/>
      <c r="HQ12" s="88"/>
      <c r="HR12" s="88"/>
      <c r="HS12" s="88"/>
      <c r="HT12" s="88"/>
      <c r="HU12" s="88"/>
      <c r="HV12" s="88"/>
      <c r="HW12" s="88"/>
      <c r="HX12" s="88"/>
      <c r="HY12" s="88"/>
      <c r="HZ12" s="88"/>
      <c r="IA12" s="88"/>
      <c r="IB12" s="88"/>
      <c r="IC12" s="88"/>
      <c r="ID12" s="88"/>
      <c r="IE12" s="88"/>
      <c r="IF12" s="88"/>
      <c r="IG12" s="88"/>
      <c r="IH12" s="88"/>
      <c r="II12" s="88"/>
      <c r="IJ12" s="88"/>
      <c r="IK12" s="88"/>
      <c r="IL12" s="88"/>
      <c r="IM12" s="88"/>
      <c r="IN12" s="88"/>
      <c r="IO12" s="88"/>
      <c r="IP12" s="88"/>
      <c r="IQ12" s="88"/>
      <c r="IR12" s="88"/>
      <c r="IS12" s="88"/>
      <c r="IT12" s="88"/>
      <c r="IU12" s="88"/>
      <c r="IV12" s="88"/>
      <c r="IW12" s="88"/>
      <c r="IX12" s="88"/>
      <c r="IY12" s="88"/>
      <c r="IZ12" s="88"/>
      <c r="JA12" s="88"/>
      <c r="JB12" s="88"/>
      <c r="JC12" s="88"/>
      <c r="JD12" s="88"/>
      <c r="JE12" s="88"/>
      <c r="JF12" s="88"/>
      <c r="JG12" s="88"/>
      <c r="JH12" s="88"/>
      <c r="JI12" s="88"/>
      <c r="JJ12" s="88"/>
      <c r="JK12" s="88"/>
      <c r="JL12" s="88"/>
      <c r="JM12" s="88"/>
      <c r="JN12" s="88"/>
      <c r="JO12" s="88"/>
      <c r="JP12" s="88"/>
      <c r="JQ12" s="88"/>
      <c r="JR12" s="88"/>
      <c r="JS12" s="88"/>
      <c r="JT12" s="88"/>
      <c r="JU12" s="88"/>
      <c r="JV12" s="88"/>
      <c r="JW12" s="88"/>
      <c r="JX12" s="88"/>
      <c r="JY12" s="88"/>
      <c r="JZ12" s="88"/>
      <c r="KA12" s="88"/>
      <c r="KB12" s="88"/>
      <c r="KC12" s="88"/>
      <c r="KD12" s="88"/>
      <c r="KE12" s="88"/>
      <c r="KF12" s="88"/>
      <c r="KG12" s="88"/>
      <c r="KH12" s="88"/>
      <c r="KI12" s="88"/>
      <c r="KJ12" s="88"/>
      <c r="KK12" s="88"/>
      <c r="KL12" s="88"/>
      <c r="KM12" s="88"/>
      <c r="KN12" s="88"/>
      <c r="KO12" s="88"/>
      <c r="KP12" s="88"/>
      <c r="KQ12" s="88"/>
      <c r="KR12" s="88"/>
      <c r="KS12" s="88"/>
      <c r="KT12" s="88"/>
      <c r="KU12" s="88"/>
      <c r="KV12" s="88"/>
      <c r="KW12" s="88"/>
      <c r="KX12" s="88"/>
      <c r="KY12" s="88"/>
      <c r="KZ12" s="88"/>
      <c r="LA12" s="88"/>
      <c r="LB12" s="88"/>
      <c r="LC12" s="88"/>
      <c r="LD12" s="88"/>
      <c r="LE12" s="88"/>
      <c r="LF12" s="88"/>
      <c r="LG12" s="88"/>
      <c r="LH12" s="88"/>
      <c r="LI12" s="88"/>
      <c r="LJ12" s="88"/>
      <c r="LK12" s="88"/>
      <c r="LL12" s="88"/>
      <c r="LM12" s="88"/>
      <c r="LN12" s="88"/>
      <c r="LO12" s="88"/>
      <c r="LP12" s="88"/>
      <c r="LQ12" s="88"/>
      <c r="LR12" s="88"/>
      <c r="LS12" s="88"/>
      <c r="LT12" s="88"/>
      <c r="LU12" s="88"/>
      <c r="LV12" s="88"/>
      <c r="LW12" s="88"/>
      <c r="LX12" s="88"/>
      <c r="LY12" s="88"/>
      <c r="LZ12" s="88"/>
      <c r="MA12" s="88"/>
      <c r="MB12" s="88"/>
      <c r="MC12" s="88"/>
      <c r="MD12" s="88"/>
      <c r="ME12" s="88"/>
      <c r="MF12" s="88"/>
      <c r="MG12" s="88"/>
      <c r="MH12" s="88"/>
      <c r="MI12" s="88"/>
      <c r="MJ12" s="88"/>
      <c r="MK12" s="88"/>
      <c r="ML12" s="88"/>
      <c r="MM12" s="88"/>
      <c r="MN12" s="88"/>
      <c r="MO12" s="88"/>
      <c r="MP12" s="88"/>
      <c r="MQ12" s="88"/>
      <c r="MR12" s="88"/>
      <c r="MS12" s="88"/>
      <c r="MT12" s="88"/>
      <c r="MU12" s="88"/>
      <c r="MV12" s="88"/>
      <c r="MW12" s="88"/>
      <c r="MX12" s="88"/>
      <c r="MY12" s="88"/>
      <c r="MZ12" s="88"/>
      <c r="NA12" s="88"/>
      <c r="NB12" s="88"/>
      <c r="NC12" s="88"/>
      <c r="ND12" s="88"/>
      <c r="NE12" s="88"/>
      <c r="NF12" s="88"/>
      <c r="NG12" s="88"/>
      <c r="NH12" s="88"/>
      <c r="NI12" s="88"/>
      <c r="NJ12" s="88"/>
      <c r="NK12" s="88"/>
      <c r="NL12" s="88"/>
      <c r="NM12" s="88"/>
      <c r="NN12" s="88"/>
      <c r="NO12" s="88"/>
      <c r="NP12" s="88"/>
      <c r="NQ12" s="88"/>
      <c r="NR12" s="88"/>
      <c r="NS12" s="88"/>
      <c r="NT12" s="88"/>
      <c r="NU12" s="88"/>
      <c r="NV12" s="88"/>
      <c r="NW12" s="88"/>
      <c r="NX12" s="88"/>
      <c r="NY12" s="88"/>
      <c r="NZ12" s="88"/>
      <c r="OA12" s="88"/>
      <c r="OB12" s="88"/>
      <c r="OC12" s="88"/>
      <c r="OD12" s="88"/>
      <c r="OE12" s="88"/>
      <c r="OF12" s="88"/>
      <c r="OG12" s="88"/>
      <c r="OH12" s="88"/>
      <c r="OI12" s="89"/>
      <c r="OJ12" s="64"/>
      <c r="OK12" s="64"/>
      <c r="OL12" s="64"/>
      <c r="OM12" s="64"/>
      <c r="ON12" s="64"/>
      <c r="OO12" s="64"/>
      <c r="OP12" s="64"/>
      <c r="OQ12" s="64"/>
      <c r="OR12" s="64"/>
      <c r="OS12" s="64"/>
      <c r="OT12" s="64"/>
      <c r="OU12" s="64"/>
      <c r="OV12" s="64"/>
      <c r="OW12" s="64"/>
      <c r="OX12" s="64"/>
      <c r="OY12" s="64"/>
      <c r="OZ12" s="64"/>
      <c r="PA12" s="64"/>
      <c r="PB12" s="64"/>
      <c r="PC12" s="64"/>
      <c r="PD12" s="64"/>
      <c r="PE12" s="64"/>
      <c r="PF12" s="64"/>
      <c r="PG12" s="64"/>
      <c r="PH12" s="64"/>
      <c r="PI12" s="64"/>
      <c r="PJ12" s="64"/>
      <c r="PK12" s="64"/>
      <c r="PL12" s="64"/>
      <c r="PM12" s="64"/>
      <c r="PN12" s="64"/>
      <c r="PO12" s="64"/>
      <c r="PP12" s="64"/>
      <c r="PQ12" s="64"/>
      <c r="PR12" s="64"/>
      <c r="PS12" s="64"/>
      <c r="PT12" s="64"/>
    </row>
    <row r="13" spans="1:455" customFormat="1" ht="9.75" customHeight="1" x14ac:dyDescent="0.25">
      <c r="A13" s="149"/>
      <c r="B13" s="36" t="s">
        <v>24</v>
      </c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5"/>
      <c r="S13" s="65"/>
      <c r="T13" s="65"/>
      <c r="U13" s="65"/>
      <c r="V13" s="65"/>
      <c r="W13" s="65"/>
      <c r="X13" s="65"/>
      <c r="Y13" s="65"/>
      <c r="Z13" s="65"/>
      <c r="AA13" s="65"/>
      <c r="AB13" s="65"/>
      <c r="AC13" s="65"/>
      <c r="AD13" s="65"/>
      <c r="AE13" s="65"/>
      <c r="AF13" s="65"/>
      <c r="AG13" s="65"/>
      <c r="AH13" s="87"/>
      <c r="AI13" s="87"/>
      <c r="AJ13" s="87"/>
      <c r="AK13" s="87"/>
      <c r="AL13" s="87"/>
      <c r="AM13" s="87"/>
      <c r="AN13" s="87"/>
      <c r="AO13" s="87"/>
      <c r="AP13" s="87"/>
      <c r="AQ13" s="87"/>
      <c r="AR13" s="87"/>
      <c r="AS13" s="87"/>
      <c r="AT13" s="87"/>
      <c r="AU13" s="87"/>
      <c r="AV13" s="87"/>
      <c r="AW13" s="87"/>
      <c r="AX13" s="87"/>
      <c r="AY13" s="87"/>
      <c r="AZ13" s="87"/>
      <c r="BA13" s="87"/>
      <c r="BB13" s="87"/>
      <c r="BC13" s="87"/>
      <c r="BD13" s="87"/>
      <c r="BE13" s="87"/>
      <c r="BF13" s="87"/>
      <c r="BG13" s="87"/>
      <c r="BH13" s="87"/>
      <c r="BI13" s="87"/>
      <c r="BJ13" s="87"/>
      <c r="BK13" s="87"/>
      <c r="BL13" s="87"/>
      <c r="BM13" s="87"/>
      <c r="BN13" s="87"/>
      <c r="BO13" s="87"/>
      <c r="BP13" s="87"/>
      <c r="BQ13" s="87"/>
      <c r="BR13" s="87"/>
      <c r="BS13" s="87"/>
      <c r="BT13" s="87"/>
      <c r="BU13" s="87"/>
      <c r="BV13" s="87"/>
      <c r="BW13" s="87"/>
      <c r="BX13" s="87"/>
      <c r="BY13" s="87"/>
      <c r="BZ13" s="87"/>
      <c r="CA13" s="87"/>
      <c r="CB13" s="88"/>
      <c r="CC13" s="88"/>
      <c r="CD13" s="88"/>
      <c r="CE13" s="88"/>
      <c r="CF13" s="88"/>
      <c r="CG13" s="88"/>
      <c r="CH13" s="88"/>
      <c r="CI13" s="88"/>
      <c r="CJ13" s="88"/>
      <c r="CK13" s="88"/>
      <c r="CL13" s="88"/>
      <c r="CM13" s="88"/>
      <c r="CN13" s="88"/>
      <c r="CO13" s="88"/>
      <c r="CP13" s="88"/>
      <c r="CQ13" s="88"/>
      <c r="CR13" s="88"/>
      <c r="CS13" s="88"/>
      <c r="CT13" s="88"/>
      <c r="CU13" s="88"/>
      <c r="CV13" s="88"/>
      <c r="CW13" s="88"/>
      <c r="CX13" s="88"/>
      <c r="CY13" s="88"/>
      <c r="CZ13" s="88"/>
      <c r="DA13" s="88"/>
      <c r="DB13" s="88"/>
      <c r="DC13" s="88"/>
      <c r="DD13" s="88"/>
      <c r="DE13" s="88"/>
      <c r="DF13" s="88"/>
      <c r="DG13" s="88"/>
      <c r="DH13" s="88"/>
      <c r="DI13" s="88"/>
      <c r="DJ13" s="88"/>
      <c r="DK13" s="88"/>
      <c r="DL13" s="88"/>
      <c r="DM13" s="88"/>
      <c r="DN13" s="88"/>
      <c r="DO13" s="88"/>
      <c r="DP13" s="88"/>
      <c r="DQ13" s="88"/>
      <c r="DR13" s="88"/>
      <c r="DS13" s="88"/>
      <c r="DT13" s="88"/>
      <c r="DU13" s="88"/>
      <c r="DV13" s="88"/>
      <c r="DW13" s="88"/>
      <c r="DX13" s="88"/>
      <c r="DY13" s="88"/>
      <c r="DZ13" s="88"/>
      <c r="EA13" s="88"/>
      <c r="EB13" s="88"/>
      <c r="EC13" s="88"/>
      <c r="ED13" s="88"/>
      <c r="EE13" s="88"/>
      <c r="EF13" s="88"/>
      <c r="EG13" s="88"/>
      <c r="EH13" s="88"/>
      <c r="EI13" s="88"/>
      <c r="EJ13" s="88"/>
      <c r="EK13" s="88"/>
      <c r="EL13" s="88"/>
      <c r="EM13" s="88"/>
      <c r="EN13" s="88"/>
      <c r="EO13" s="88"/>
      <c r="EP13" s="88"/>
      <c r="EQ13" s="88"/>
      <c r="ER13" s="88"/>
      <c r="ES13" s="88"/>
      <c r="ET13" s="88"/>
      <c r="EU13" s="88"/>
      <c r="EV13" s="88"/>
      <c r="EW13" s="88"/>
      <c r="EX13" s="88"/>
      <c r="EY13" s="88"/>
      <c r="EZ13" s="88"/>
      <c r="FA13" s="88"/>
      <c r="FB13" s="88"/>
      <c r="FC13" s="88"/>
      <c r="FD13" s="88"/>
      <c r="FE13" s="88"/>
      <c r="FF13" s="88"/>
      <c r="FG13" s="88"/>
      <c r="FH13" s="88"/>
      <c r="FI13" s="88"/>
      <c r="FJ13" s="88"/>
      <c r="FK13" s="88"/>
      <c r="FL13" s="88"/>
      <c r="FM13" s="88"/>
      <c r="FN13" s="88"/>
      <c r="FO13" s="88"/>
      <c r="FP13" s="88"/>
      <c r="FQ13" s="88"/>
      <c r="FR13" s="88"/>
      <c r="FS13" s="88"/>
      <c r="FT13" s="88"/>
      <c r="FU13" s="88"/>
      <c r="FV13" s="88"/>
      <c r="FW13" s="88"/>
      <c r="FX13" s="88"/>
      <c r="FY13" s="88"/>
      <c r="FZ13" s="88"/>
      <c r="GA13" s="88"/>
      <c r="GB13" s="88"/>
      <c r="GC13" s="88"/>
      <c r="GD13" s="88"/>
      <c r="GE13" s="88"/>
      <c r="GF13" s="88"/>
      <c r="GG13" s="88"/>
      <c r="GH13" s="88"/>
      <c r="GI13" s="88"/>
      <c r="GJ13" s="88"/>
      <c r="GK13" s="88"/>
      <c r="GL13" s="88"/>
      <c r="GM13" s="88"/>
      <c r="GN13" s="88"/>
      <c r="GO13" s="88"/>
      <c r="GP13" s="88"/>
      <c r="GQ13" s="88"/>
      <c r="GR13" s="88"/>
      <c r="GS13" s="88"/>
      <c r="GT13" s="88"/>
      <c r="GU13" s="88"/>
      <c r="GV13" s="88"/>
      <c r="GW13" s="88"/>
      <c r="GX13" s="88"/>
      <c r="GY13" s="88"/>
      <c r="GZ13" s="88"/>
      <c r="HA13" s="88"/>
      <c r="HB13" s="88"/>
      <c r="HC13" s="88"/>
      <c r="HD13" s="88"/>
      <c r="HE13" s="88"/>
      <c r="HF13" s="88"/>
      <c r="HG13" s="88"/>
      <c r="HH13" s="88"/>
      <c r="HI13" s="88"/>
      <c r="HJ13" s="88"/>
      <c r="HK13" s="88"/>
      <c r="HL13" s="88"/>
      <c r="HM13" s="88"/>
      <c r="HN13" s="88"/>
      <c r="HO13" s="88"/>
      <c r="HP13" s="88"/>
      <c r="HQ13" s="88"/>
      <c r="HR13" s="88"/>
      <c r="HS13" s="88"/>
      <c r="HT13" s="88"/>
      <c r="HU13" s="88"/>
      <c r="HV13" s="88"/>
      <c r="HW13" s="88"/>
      <c r="HX13" s="88"/>
      <c r="HY13" s="88"/>
      <c r="HZ13" s="88"/>
      <c r="IA13" s="88"/>
      <c r="IB13" s="88"/>
      <c r="IC13" s="88"/>
      <c r="ID13" s="88"/>
      <c r="IE13" s="88"/>
      <c r="IF13" s="88"/>
      <c r="IG13" s="88"/>
      <c r="IH13" s="88"/>
      <c r="II13" s="88"/>
      <c r="IJ13" s="88"/>
      <c r="IK13" s="88"/>
      <c r="IL13" s="88"/>
      <c r="IM13" s="88"/>
      <c r="IN13" s="88"/>
      <c r="IO13" s="88"/>
      <c r="IP13" s="88"/>
      <c r="IQ13" s="88"/>
      <c r="IR13" s="88"/>
      <c r="IS13" s="88"/>
      <c r="IT13" s="88"/>
      <c r="IU13" s="88"/>
      <c r="IV13" s="88"/>
      <c r="IW13" s="88"/>
      <c r="IX13" s="88"/>
      <c r="IY13" s="88"/>
      <c r="IZ13" s="88"/>
      <c r="JA13" s="88"/>
      <c r="JB13" s="88"/>
      <c r="JC13" s="88"/>
      <c r="JD13" s="88"/>
      <c r="JE13" s="88"/>
      <c r="JF13" s="88"/>
      <c r="JG13" s="88"/>
      <c r="JH13" s="88"/>
      <c r="JI13" s="88"/>
      <c r="JJ13" s="88"/>
      <c r="JK13" s="88"/>
      <c r="JL13" s="88"/>
      <c r="JM13" s="88"/>
      <c r="JN13" s="88"/>
      <c r="JO13" s="88"/>
      <c r="JP13" s="88"/>
      <c r="JQ13" s="88"/>
      <c r="JR13" s="88"/>
      <c r="JS13" s="88"/>
      <c r="JT13" s="88"/>
      <c r="JU13" s="88"/>
      <c r="JV13" s="88"/>
      <c r="JW13" s="88"/>
      <c r="JX13" s="88"/>
      <c r="JY13" s="88"/>
      <c r="JZ13" s="88"/>
      <c r="KA13" s="88"/>
      <c r="KB13" s="88"/>
      <c r="KC13" s="88"/>
      <c r="KD13" s="88"/>
      <c r="KE13" s="88"/>
      <c r="KF13" s="88"/>
      <c r="KG13" s="88"/>
      <c r="KH13" s="88"/>
      <c r="KI13" s="88"/>
      <c r="KJ13" s="88"/>
      <c r="KK13" s="88"/>
      <c r="KL13" s="88"/>
      <c r="KM13" s="88"/>
      <c r="KN13" s="88"/>
      <c r="KO13" s="88"/>
      <c r="KP13" s="88"/>
      <c r="KQ13" s="88"/>
      <c r="KR13" s="88"/>
      <c r="KS13" s="88"/>
      <c r="KT13" s="88"/>
      <c r="KU13" s="88"/>
      <c r="KV13" s="88"/>
      <c r="KW13" s="88"/>
      <c r="KX13" s="88"/>
      <c r="KY13" s="88"/>
      <c r="KZ13" s="88"/>
      <c r="LA13" s="88"/>
      <c r="LB13" s="88"/>
      <c r="LC13" s="88"/>
      <c r="LD13" s="88"/>
      <c r="LE13" s="88"/>
      <c r="LF13" s="88"/>
      <c r="LG13" s="88"/>
      <c r="LH13" s="88"/>
      <c r="LI13" s="88"/>
      <c r="LJ13" s="88"/>
      <c r="LK13" s="88"/>
      <c r="LL13" s="88"/>
      <c r="LM13" s="88"/>
      <c r="LN13" s="88"/>
      <c r="LO13" s="88"/>
      <c r="LP13" s="88"/>
      <c r="LQ13" s="88"/>
      <c r="LR13" s="88"/>
      <c r="LS13" s="88"/>
      <c r="LT13" s="88"/>
      <c r="LU13" s="88"/>
      <c r="LV13" s="88"/>
      <c r="LW13" s="88"/>
      <c r="LX13" s="88"/>
      <c r="LY13" s="88"/>
      <c r="LZ13" s="88"/>
      <c r="MA13" s="88"/>
      <c r="MB13" s="88"/>
      <c r="MC13" s="88"/>
      <c r="MD13" s="88"/>
      <c r="ME13" s="88"/>
      <c r="MF13" s="88"/>
      <c r="MG13" s="88"/>
      <c r="MH13" s="88"/>
      <c r="MI13" s="88"/>
      <c r="MJ13" s="88"/>
      <c r="MK13" s="88"/>
      <c r="ML13" s="88"/>
      <c r="MM13" s="88"/>
      <c r="MN13" s="88"/>
      <c r="MO13" s="88"/>
      <c r="MP13" s="88"/>
      <c r="MQ13" s="88"/>
      <c r="MR13" s="88"/>
      <c r="MS13" s="88"/>
      <c r="MT13" s="88"/>
      <c r="MU13" s="88"/>
      <c r="MV13" s="88"/>
      <c r="MW13" s="88"/>
      <c r="MX13" s="88"/>
      <c r="MY13" s="88"/>
      <c r="MZ13" s="88"/>
      <c r="NA13" s="88"/>
      <c r="NB13" s="88"/>
      <c r="NC13" s="88"/>
      <c r="ND13" s="88"/>
      <c r="NE13" s="88"/>
      <c r="NF13" s="88"/>
      <c r="NG13" s="88"/>
      <c r="NH13" s="88"/>
      <c r="NI13" s="88"/>
      <c r="NJ13" s="88"/>
      <c r="NK13" s="88"/>
      <c r="NL13" s="88"/>
      <c r="NM13" s="88"/>
      <c r="NN13" s="88"/>
      <c r="NO13" s="88"/>
      <c r="NP13" s="88"/>
      <c r="NQ13" s="88"/>
      <c r="NR13" s="88"/>
      <c r="NS13" s="88"/>
      <c r="NT13" s="88"/>
      <c r="NU13" s="88"/>
      <c r="NV13" s="88"/>
      <c r="NW13" s="88"/>
      <c r="NX13" s="88"/>
      <c r="NY13" s="88"/>
      <c r="NZ13" s="88"/>
      <c r="OA13" s="88"/>
      <c r="OB13" s="88"/>
      <c r="OC13" s="88"/>
      <c r="OD13" s="88"/>
      <c r="OE13" s="88"/>
      <c r="OF13" s="88"/>
      <c r="OG13" s="88"/>
      <c r="OH13" s="88"/>
      <c r="OI13" s="68"/>
      <c r="OJ13" s="69"/>
      <c r="OK13" s="69"/>
      <c r="OL13" s="69"/>
      <c r="OM13" s="69"/>
      <c r="ON13" s="69"/>
      <c r="OO13" s="69"/>
      <c r="OP13" s="69"/>
      <c r="OQ13" s="69"/>
      <c r="OR13" s="69"/>
      <c r="OS13" s="69"/>
      <c r="OT13" s="69"/>
      <c r="OU13" s="69"/>
      <c r="OV13" s="69"/>
      <c r="OW13" s="69"/>
      <c r="OX13" s="69"/>
      <c r="OY13" s="69"/>
      <c r="OZ13" s="69"/>
      <c r="PA13" s="69"/>
      <c r="PB13" s="69"/>
      <c r="PC13" s="69"/>
      <c r="PD13" s="69"/>
      <c r="PE13" s="69"/>
      <c r="PF13" s="69"/>
      <c r="PG13" s="69"/>
      <c r="PH13" s="69"/>
      <c r="PI13" s="69"/>
      <c r="PJ13" s="69"/>
      <c r="PK13" s="69"/>
      <c r="PL13" s="69"/>
      <c r="PM13" s="69"/>
      <c r="PN13" s="69"/>
      <c r="PO13" s="69"/>
      <c r="PP13" s="69"/>
      <c r="PQ13" s="69"/>
      <c r="PR13" s="69"/>
      <c r="PS13" s="69"/>
      <c r="PT13" s="69"/>
    </row>
    <row r="14" spans="1:455" customFormat="1" ht="10.5" customHeight="1" x14ac:dyDescent="0.25">
      <c r="A14" s="63" t="s">
        <v>25</v>
      </c>
      <c r="B14" s="64"/>
      <c r="C14" s="65"/>
      <c r="D14" s="65"/>
      <c r="E14" s="65"/>
      <c r="F14" s="65"/>
      <c r="G14" s="65"/>
      <c r="H14" s="65"/>
      <c r="I14" s="65"/>
      <c r="J14" s="65"/>
      <c r="K14" s="65" t="s">
        <v>26</v>
      </c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  <c r="AC14" s="65"/>
      <c r="AD14" s="65"/>
      <c r="AE14" s="65"/>
      <c r="AF14" s="65"/>
      <c r="AG14" s="65"/>
      <c r="AH14" s="66"/>
      <c r="AI14" s="66"/>
      <c r="AJ14" s="66"/>
      <c r="AK14" s="66"/>
      <c r="AL14" s="66"/>
      <c r="AM14" s="66"/>
      <c r="AN14" s="66"/>
      <c r="AO14" s="66"/>
      <c r="AP14" s="66"/>
      <c r="AQ14" s="66"/>
      <c r="AR14" s="66"/>
      <c r="AS14" s="66"/>
      <c r="AT14" s="66"/>
      <c r="AU14" s="66"/>
      <c r="AV14" s="66"/>
      <c r="AW14" s="66"/>
      <c r="AX14" s="66"/>
      <c r="AY14" s="66"/>
      <c r="AZ14" s="66"/>
      <c r="BA14" s="66"/>
      <c r="BB14" s="66"/>
      <c r="BC14" s="66"/>
      <c r="BD14" s="66"/>
      <c r="BE14" s="66"/>
      <c r="BF14" s="66"/>
      <c r="BG14" s="66"/>
      <c r="BH14" s="66"/>
      <c r="BI14" s="66"/>
      <c r="BJ14" s="66"/>
      <c r="BK14" s="66"/>
      <c r="BL14" s="66"/>
      <c r="BM14" s="66"/>
      <c r="BN14" s="66"/>
      <c r="BO14" s="66"/>
      <c r="BP14" s="66"/>
      <c r="BQ14" s="66"/>
      <c r="BR14" s="66"/>
      <c r="BS14" s="66"/>
      <c r="BT14" s="66"/>
      <c r="BU14" s="66"/>
      <c r="BV14" s="66"/>
      <c r="BW14" s="66"/>
      <c r="BX14" s="66"/>
      <c r="BY14" s="66"/>
      <c r="BZ14" s="66"/>
      <c r="CA14" s="66"/>
      <c r="CB14" s="66"/>
      <c r="CC14" s="66"/>
      <c r="CD14" s="66"/>
      <c r="CE14" s="66"/>
      <c r="CF14" s="66"/>
      <c r="CG14" s="66"/>
      <c r="CH14" s="66"/>
      <c r="CI14" s="66"/>
      <c r="CJ14" s="66"/>
      <c r="CK14" s="66"/>
      <c r="CL14" s="66"/>
      <c r="CM14" s="66"/>
      <c r="CN14" s="66"/>
      <c r="CO14" s="66"/>
      <c r="CP14" s="66"/>
      <c r="CQ14" s="66"/>
      <c r="CR14" s="67"/>
      <c r="CS14" s="67"/>
      <c r="CT14" s="67"/>
      <c r="CU14" s="66"/>
      <c r="CV14" s="66"/>
      <c r="CW14" s="66"/>
      <c r="CX14" s="107" t="s">
        <v>26</v>
      </c>
      <c r="CY14" s="66"/>
      <c r="CZ14" s="66"/>
      <c r="DA14" s="66"/>
      <c r="DB14" s="66"/>
      <c r="DC14" s="66"/>
      <c r="DD14" s="66"/>
      <c r="DE14" s="66"/>
      <c r="DF14" s="66"/>
      <c r="DG14" s="66"/>
      <c r="DH14" s="66"/>
      <c r="DI14" s="66"/>
      <c r="DJ14" s="66"/>
      <c r="DK14" s="66"/>
      <c r="DL14" s="66"/>
      <c r="DM14" s="66"/>
      <c r="DN14" s="66"/>
      <c r="DO14" s="66"/>
      <c r="DP14" s="66"/>
      <c r="DQ14" s="66"/>
      <c r="DR14" s="66"/>
      <c r="DS14" s="66"/>
      <c r="DT14" s="66"/>
      <c r="DU14" s="66"/>
      <c r="DV14" s="66"/>
      <c r="DW14" s="66"/>
      <c r="DX14" s="66"/>
      <c r="DY14" s="66"/>
      <c r="DZ14" s="66"/>
      <c r="EA14" s="66"/>
      <c r="EB14" s="66"/>
      <c r="EC14" s="66"/>
      <c r="ED14" s="66"/>
      <c r="EE14" s="66"/>
      <c r="EF14" s="66"/>
      <c r="EG14" s="66"/>
      <c r="EH14" s="66"/>
      <c r="EI14" s="66"/>
      <c r="EJ14" s="66"/>
      <c r="EK14" s="66"/>
      <c r="EL14" s="66"/>
      <c r="EM14" s="66"/>
      <c r="EN14" s="66"/>
      <c r="EO14" s="66"/>
      <c r="EP14" s="66"/>
      <c r="EQ14" s="66"/>
      <c r="ER14" s="66"/>
      <c r="ES14" s="66"/>
      <c r="ET14" s="66"/>
      <c r="EU14" s="66"/>
      <c r="EV14" s="66"/>
      <c r="EW14" s="66"/>
      <c r="EX14" s="66"/>
      <c r="EY14" s="66"/>
      <c r="EZ14" s="66"/>
      <c r="FA14" s="66"/>
      <c r="FB14" s="66"/>
      <c r="FC14" s="66"/>
      <c r="FD14" s="66"/>
      <c r="FE14" s="66"/>
      <c r="FF14" s="66"/>
      <c r="FG14" s="66"/>
      <c r="FH14" s="66"/>
      <c r="FI14" s="66"/>
      <c r="FJ14" s="66"/>
      <c r="FK14" s="66"/>
      <c r="FL14" s="66"/>
      <c r="FM14" s="66"/>
      <c r="FN14" s="66"/>
      <c r="FO14" s="66"/>
      <c r="FP14" s="66"/>
      <c r="FQ14" s="66"/>
      <c r="FR14" s="66"/>
      <c r="FS14" s="66"/>
      <c r="FT14" s="66"/>
      <c r="FU14" s="66"/>
      <c r="FV14" s="66"/>
      <c r="FW14" s="66"/>
      <c r="FX14" s="66"/>
      <c r="FY14" s="66"/>
      <c r="FZ14" s="66"/>
      <c r="GA14" s="66"/>
      <c r="GB14" s="66"/>
      <c r="GC14" s="66"/>
      <c r="GD14" s="66"/>
      <c r="GE14" s="66"/>
      <c r="GF14" s="66"/>
      <c r="GG14" s="66"/>
      <c r="GH14" s="66"/>
      <c r="GI14" s="66"/>
      <c r="GJ14" s="66"/>
      <c r="GK14" s="66"/>
      <c r="GL14" s="67"/>
      <c r="GM14" s="67"/>
      <c r="GN14" s="67"/>
      <c r="GO14" s="66"/>
      <c r="GP14" s="66"/>
      <c r="GQ14" s="66"/>
      <c r="GR14" s="66" t="s">
        <v>26</v>
      </c>
      <c r="GS14" s="66"/>
      <c r="GT14" s="66"/>
      <c r="GU14" s="66"/>
      <c r="GV14" s="66"/>
      <c r="GW14" s="66"/>
      <c r="GX14" s="66"/>
      <c r="GY14" s="66"/>
      <c r="GZ14" s="66"/>
      <c r="HA14" s="66"/>
      <c r="HB14" s="66"/>
      <c r="HC14" s="66"/>
      <c r="HD14" s="66"/>
      <c r="HE14" s="66"/>
      <c r="HF14" s="66"/>
      <c r="HG14" s="66"/>
      <c r="HH14" s="66"/>
      <c r="HI14" s="66"/>
      <c r="HJ14" s="66"/>
      <c r="HK14" s="66"/>
      <c r="HL14" s="66"/>
      <c r="HM14" s="66"/>
      <c r="HN14" s="66"/>
      <c r="HO14" s="66"/>
      <c r="HP14" s="66"/>
      <c r="HQ14" s="66"/>
      <c r="HR14" s="66"/>
      <c r="HS14" s="66"/>
      <c r="HT14" s="66"/>
      <c r="HU14" s="66"/>
      <c r="HV14" s="66"/>
      <c r="HW14" s="66"/>
      <c r="HX14" s="66"/>
      <c r="HY14" s="66"/>
      <c r="HZ14" s="66"/>
      <c r="IA14" s="66"/>
      <c r="IB14" s="66"/>
      <c r="IC14" s="66"/>
      <c r="ID14" s="66"/>
      <c r="IE14" s="66"/>
      <c r="IF14" s="66"/>
      <c r="IG14" s="66"/>
      <c r="IH14" s="66"/>
      <c r="II14" s="66"/>
      <c r="IJ14" s="66"/>
      <c r="IK14" s="66"/>
      <c r="IL14" s="66"/>
      <c r="IM14" s="66"/>
      <c r="IN14" s="66"/>
      <c r="IO14" s="66"/>
      <c r="IP14" s="66"/>
      <c r="IQ14" s="66"/>
      <c r="IR14" s="66"/>
      <c r="IS14" s="66"/>
      <c r="IT14" s="66"/>
      <c r="IU14" s="66"/>
      <c r="IV14" s="66"/>
      <c r="IW14" s="66"/>
      <c r="IX14" s="66"/>
      <c r="IY14" s="66"/>
      <c r="IZ14" s="66"/>
      <c r="JA14" s="66"/>
      <c r="JB14" s="66"/>
      <c r="JC14" s="66"/>
      <c r="JD14" s="66"/>
      <c r="JE14" s="66"/>
      <c r="JF14" s="66"/>
      <c r="JG14" s="66"/>
      <c r="JH14" s="66"/>
      <c r="JI14" s="66"/>
      <c r="JJ14" s="66"/>
      <c r="JK14" s="66"/>
      <c r="JL14" s="66"/>
      <c r="JM14" s="66"/>
      <c r="JN14" s="66"/>
      <c r="JO14" s="66"/>
      <c r="JP14" s="66"/>
      <c r="JQ14" s="66"/>
      <c r="JR14" s="66"/>
      <c r="JS14" s="66"/>
      <c r="JT14" s="66"/>
      <c r="JU14" s="66"/>
      <c r="JV14" s="66"/>
      <c r="JW14" s="66"/>
      <c r="JX14" s="66"/>
      <c r="JY14" s="66"/>
      <c r="JZ14" s="66"/>
      <c r="KA14" s="66"/>
      <c r="KB14" s="66"/>
      <c r="KC14" s="66"/>
      <c r="KD14" s="66"/>
      <c r="KE14" s="66"/>
      <c r="KF14" s="66"/>
      <c r="KG14" s="66"/>
      <c r="KH14" s="66"/>
      <c r="KI14" s="66"/>
      <c r="KJ14" s="66"/>
      <c r="KK14" s="66"/>
      <c r="KL14" s="66"/>
      <c r="KM14" s="67"/>
      <c r="KN14" s="67"/>
      <c r="KO14" s="67"/>
      <c r="KP14" s="66"/>
      <c r="KQ14" s="66"/>
      <c r="KR14" s="66"/>
      <c r="KS14" s="66" t="s">
        <v>27</v>
      </c>
      <c r="KT14" s="66"/>
      <c r="KU14" s="66"/>
      <c r="KV14" s="66"/>
      <c r="KW14" s="66"/>
      <c r="KX14" s="66"/>
      <c r="KY14" s="66"/>
      <c r="KZ14" s="66"/>
      <c r="LA14" s="66"/>
      <c r="LB14" s="66"/>
      <c r="LC14" s="66"/>
      <c r="LD14" s="66"/>
      <c r="LE14" s="66"/>
      <c r="LF14" s="66"/>
      <c r="LG14" s="66"/>
      <c r="LH14" s="66"/>
      <c r="LI14" s="66"/>
      <c r="LJ14" s="66"/>
      <c r="LK14" s="66"/>
      <c r="LL14" s="66"/>
      <c r="LM14" s="66"/>
      <c r="LN14" s="66"/>
      <c r="LO14" s="66"/>
      <c r="LP14" s="66"/>
      <c r="LQ14" s="66"/>
      <c r="LR14" s="66"/>
      <c r="LS14" s="66"/>
      <c r="LT14" s="66"/>
      <c r="LU14" s="66"/>
      <c r="LV14" s="66"/>
      <c r="LW14" s="66"/>
      <c r="LX14" s="66"/>
      <c r="LY14" s="66"/>
      <c r="LZ14" s="66"/>
      <c r="MA14" s="66"/>
      <c r="MB14" s="66"/>
      <c r="MC14" s="66"/>
      <c r="MD14" s="66"/>
      <c r="ME14" s="66"/>
      <c r="MF14" s="66"/>
      <c r="MG14" s="66"/>
      <c r="MH14" s="66"/>
      <c r="MI14" s="66"/>
      <c r="MJ14" s="66"/>
      <c r="MK14" s="66"/>
      <c r="ML14" s="66"/>
      <c r="MM14" s="66"/>
      <c r="MN14" s="66"/>
      <c r="MO14" s="66"/>
      <c r="MP14" s="66"/>
      <c r="MQ14" s="66"/>
      <c r="MR14" s="66"/>
      <c r="MS14" s="66"/>
      <c r="MT14" s="66"/>
      <c r="MU14" s="66"/>
      <c r="MV14" s="66"/>
      <c r="MW14" s="66"/>
      <c r="MX14" s="66"/>
      <c r="MY14" s="66"/>
      <c r="MZ14" s="66"/>
      <c r="NA14" s="66"/>
      <c r="NB14" s="66"/>
      <c r="NC14" s="66"/>
      <c r="ND14" s="66"/>
      <c r="NE14" s="66"/>
      <c r="NF14" s="66"/>
      <c r="NG14" s="66"/>
      <c r="NH14" s="66"/>
      <c r="NI14" s="66"/>
      <c r="NJ14" s="66"/>
      <c r="NK14" s="66"/>
      <c r="NL14" s="66"/>
      <c r="NM14" s="66"/>
      <c r="NN14" s="66"/>
      <c r="NO14" s="66"/>
      <c r="NP14" s="66"/>
      <c r="NQ14" s="66"/>
      <c r="NR14" s="66"/>
      <c r="NS14" s="66"/>
      <c r="NT14" s="66"/>
      <c r="NU14" s="66"/>
      <c r="NV14" s="66"/>
      <c r="NW14" s="66"/>
      <c r="NX14" s="66"/>
      <c r="NY14" s="66"/>
      <c r="NZ14" s="66"/>
      <c r="OA14" s="66"/>
      <c r="OB14" s="66"/>
      <c r="OC14" s="66"/>
      <c r="OD14" s="66"/>
      <c r="OE14" s="66"/>
      <c r="OF14" s="66"/>
      <c r="OG14" s="66"/>
      <c r="OH14" s="66"/>
      <c r="OI14" s="68"/>
      <c r="OJ14" s="69"/>
      <c r="OK14" s="69"/>
      <c r="OL14" s="69"/>
      <c r="OM14" s="69"/>
      <c r="ON14" s="69"/>
      <c r="OO14" s="69"/>
      <c r="OP14" s="69"/>
      <c r="OQ14" s="69"/>
      <c r="OR14" s="69"/>
      <c r="OS14" s="69"/>
      <c r="OT14" s="69"/>
      <c r="OU14" s="69"/>
      <c r="OV14" s="69"/>
      <c r="OW14" s="69"/>
      <c r="OX14" s="69"/>
      <c r="OY14" s="69"/>
      <c r="OZ14" s="69"/>
      <c r="PA14" s="69"/>
      <c r="PB14" s="69"/>
      <c r="PC14" s="69"/>
      <c r="PD14" s="69"/>
      <c r="PE14" s="69"/>
      <c r="PF14" s="69"/>
      <c r="PG14" s="69"/>
      <c r="PH14" s="69"/>
      <c r="PI14" s="69"/>
      <c r="PJ14" s="69"/>
      <c r="PK14" s="69"/>
      <c r="PL14" s="69"/>
      <c r="PM14" s="69"/>
      <c r="PN14" s="69"/>
      <c r="PO14" s="69"/>
      <c r="PP14" s="69"/>
      <c r="PQ14" s="69"/>
      <c r="PR14" s="69"/>
      <c r="PS14" s="69"/>
      <c r="PT14" s="69"/>
    </row>
    <row r="15" spans="1:455" s="110" customFormat="1" ht="10.5" customHeight="1" x14ac:dyDescent="0.2">
      <c r="C15" s="119"/>
      <c r="D15" s="119"/>
      <c r="E15" s="119"/>
      <c r="F15" s="119"/>
      <c r="G15" s="119"/>
      <c r="H15" s="119"/>
      <c r="I15" s="119"/>
      <c r="J15" s="119"/>
      <c r="K15" s="119"/>
      <c r="L15" s="119"/>
      <c r="M15" s="119"/>
      <c r="N15" s="119"/>
      <c r="O15" s="119"/>
      <c r="P15" s="119"/>
      <c r="Q15" s="119"/>
      <c r="R15" s="119"/>
      <c r="S15" s="119"/>
      <c r="T15" s="119"/>
      <c r="U15" s="119"/>
      <c r="V15" s="119"/>
      <c r="W15" s="119"/>
      <c r="X15" s="119"/>
      <c r="Y15" s="119"/>
      <c r="Z15" s="119"/>
      <c r="AA15" s="119"/>
      <c r="AB15" s="119"/>
      <c r="AC15" s="119"/>
      <c r="AD15" s="119"/>
      <c r="AE15" s="119"/>
      <c r="AF15" s="119"/>
      <c r="AG15" s="119"/>
      <c r="AH15" s="131" t="s">
        <v>28</v>
      </c>
      <c r="AI15" s="131"/>
      <c r="AJ15" s="131"/>
      <c r="AK15" s="131"/>
      <c r="AL15" s="131"/>
      <c r="AM15" s="131"/>
      <c r="AN15" s="116">
        <v>748</v>
      </c>
      <c r="AO15" s="134"/>
      <c r="AP15" s="134"/>
      <c r="AQ15" s="131" t="s">
        <v>29</v>
      </c>
      <c r="AR15" s="131"/>
      <c r="AS15" s="131"/>
      <c r="AT15" s="131"/>
      <c r="AU15" s="131"/>
      <c r="AV15" s="131"/>
      <c r="AW15" s="121">
        <f>AN15-BF15</f>
        <v>66</v>
      </c>
      <c r="AX15" s="135"/>
      <c r="AY15" s="135"/>
      <c r="AZ15" s="131" t="s">
        <v>30</v>
      </c>
      <c r="BA15" s="131"/>
      <c r="BB15" s="131"/>
      <c r="BC15" s="131"/>
      <c r="BD15" s="131"/>
      <c r="BE15" s="131"/>
      <c r="BF15" s="122">
        <f>SUM(AI17:BL50)</f>
        <v>682</v>
      </c>
      <c r="BG15" s="135"/>
      <c r="BH15" s="135"/>
      <c r="BI15" s="135"/>
      <c r="BJ15" s="135"/>
      <c r="BK15" s="135"/>
      <c r="BL15" s="135"/>
      <c r="BM15" s="131" t="s">
        <v>28</v>
      </c>
      <c r="BN15" s="131"/>
      <c r="BO15" s="131"/>
      <c r="BP15" s="131"/>
      <c r="BQ15" s="131"/>
      <c r="BR15" s="131"/>
      <c r="BS15" s="116">
        <v>680</v>
      </c>
      <c r="BT15" s="133"/>
      <c r="BU15" s="133"/>
      <c r="BV15" s="131" t="s">
        <v>29</v>
      </c>
      <c r="BW15" s="131"/>
      <c r="BX15" s="131"/>
      <c r="BY15" s="131"/>
      <c r="BZ15" s="131"/>
      <c r="CA15" s="131"/>
      <c r="CB15" s="116">
        <f>BS15-CK15</f>
        <v>54.5</v>
      </c>
      <c r="CC15" s="132"/>
      <c r="CD15" s="132"/>
      <c r="CE15" s="131" t="s">
        <v>30</v>
      </c>
      <c r="CF15" s="131"/>
      <c r="CG15" s="131"/>
      <c r="CH15" s="131"/>
      <c r="CI15" s="131"/>
      <c r="CJ15" s="131"/>
      <c r="CK15" s="116">
        <f>SUM(BO17:CN50)</f>
        <v>625.5</v>
      </c>
      <c r="CL15" s="133"/>
      <c r="CM15" s="133"/>
      <c r="CN15" s="133"/>
      <c r="CO15" s="131" t="s">
        <v>28</v>
      </c>
      <c r="CP15" s="131"/>
      <c r="CQ15" s="131"/>
      <c r="CR15" s="131"/>
      <c r="CS15" s="131"/>
      <c r="CT15" s="131"/>
      <c r="CU15" s="116">
        <v>712</v>
      </c>
      <c r="CV15" s="134"/>
      <c r="CW15" s="134"/>
      <c r="CX15" s="131" t="s">
        <v>29</v>
      </c>
      <c r="CY15" s="131"/>
      <c r="CZ15" s="131"/>
      <c r="DA15" s="131"/>
      <c r="DB15" s="131"/>
      <c r="DC15" s="131"/>
      <c r="DD15" s="116">
        <f>CU15-DM15</f>
        <v>9</v>
      </c>
      <c r="DE15" s="135"/>
      <c r="DF15" s="135"/>
      <c r="DG15" s="131" t="s">
        <v>30</v>
      </c>
      <c r="DH15" s="131"/>
      <c r="DI15" s="131"/>
      <c r="DJ15" s="131"/>
      <c r="DK15" s="131"/>
      <c r="DL15" s="131"/>
      <c r="DM15" s="116">
        <f>SUM(CQ17:DS50)</f>
        <v>703</v>
      </c>
      <c r="DN15" s="134"/>
      <c r="DO15" s="134"/>
      <c r="DP15" s="134"/>
      <c r="DQ15" s="134"/>
      <c r="DR15" s="134"/>
      <c r="DS15" s="134"/>
      <c r="DT15" s="131" t="s">
        <v>28</v>
      </c>
      <c r="DU15" s="131"/>
      <c r="DV15" s="131"/>
      <c r="DW15" s="131"/>
      <c r="DX15" s="131"/>
      <c r="DY15" s="131"/>
      <c r="DZ15" s="116">
        <v>714</v>
      </c>
      <c r="EA15" s="133"/>
      <c r="EB15" s="133"/>
      <c r="EC15" s="131" t="s">
        <v>29</v>
      </c>
      <c r="ED15" s="131"/>
      <c r="EE15" s="131"/>
      <c r="EF15" s="131"/>
      <c r="EG15" s="131"/>
      <c r="EH15" s="131"/>
      <c r="EI15" s="116">
        <f>DZ15-ER15</f>
        <v>8</v>
      </c>
      <c r="EJ15" s="132"/>
      <c r="EK15" s="132"/>
      <c r="EL15" s="131" t="s">
        <v>30</v>
      </c>
      <c r="EM15" s="131"/>
      <c r="EN15" s="131"/>
      <c r="EO15" s="131"/>
      <c r="EP15" s="131"/>
      <c r="EQ15" s="131"/>
      <c r="ER15" s="116">
        <f>SUM(DT17:EX50)</f>
        <v>706</v>
      </c>
      <c r="ES15" s="133"/>
      <c r="ET15" s="133"/>
      <c r="EU15" s="133"/>
      <c r="EV15" s="133"/>
      <c r="EW15" s="133"/>
      <c r="EX15" s="131" t="s">
        <v>28</v>
      </c>
      <c r="EY15" s="131"/>
      <c r="EZ15" s="131"/>
      <c r="FA15" s="131"/>
      <c r="FB15" s="131"/>
      <c r="FC15" s="131"/>
      <c r="FD15" s="116">
        <v>646</v>
      </c>
      <c r="FE15" s="134"/>
      <c r="FF15" s="134"/>
      <c r="FG15" s="131" t="s">
        <v>29</v>
      </c>
      <c r="FH15" s="131"/>
      <c r="FI15" s="131"/>
      <c r="FJ15" s="131"/>
      <c r="FK15" s="131"/>
      <c r="FL15" s="131"/>
      <c r="FM15" s="116">
        <f>FD15-FV15</f>
        <v>5</v>
      </c>
      <c r="FN15" s="135"/>
      <c r="FO15" s="135"/>
      <c r="FP15" s="131" t="s">
        <v>30</v>
      </c>
      <c r="FQ15" s="131"/>
      <c r="FR15" s="131"/>
      <c r="FS15" s="131"/>
      <c r="FT15" s="131"/>
      <c r="FU15" s="131"/>
      <c r="FV15" s="116">
        <f>SUM(EX17:GB50)</f>
        <v>641</v>
      </c>
      <c r="FW15" s="120"/>
      <c r="FX15" s="120"/>
      <c r="FY15" s="120"/>
      <c r="FZ15" s="120"/>
      <c r="GA15" s="120"/>
      <c r="GB15" s="123"/>
      <c r="GC15" s="131" t="s">
        <v>28</v>
      </c>
      <c r="GD15" s="131"/>
      <c r="GE15" s="131"/>
      <c r="GF15" s="131"/>
      <c r="GG15" s="131"/>
      <c r="GH15" s="131"/>
      <c r="GI15" s="116">
        <v>679</v>
      </c>
      <c r="GJ15" s="133"/>
      <c r="GK15" s="133"/>
      <c r="GL15" s="131" t="s">
        <v>29</v>
      </c>
      <c r="GM15" s="131"/>
      <c r="GN15" s="131"/>
      <c r="GO15" s="131"/>
      <c r="GP15" s="131"/>
      <c r="GQ15" s="131"/>
      <c r="GR15" s="116">
        <f>GI15-HA15</f>
        <v>0</v>
      </c>
      <c r="GS15" s="132"/>
      <c r="GT15" s="132"/>
      <c r="GU15" s="131" t="s">
        <v>30</v>
      </c>
      <c r="GV15" s="131"/>
      <c r="GW15" s="131"/>
      <c r="GX15" s="131"/>
      <c r="GY15" s="131"/>
      <c r="GZ15" s="131"/>
      <c r="HA15" s="116">
        <f>SUM(GC17:HF50)</f>
        <v>679</v>
      </c>
      <c r="HB15" s="133"/>
      <c r="HC15" s="133"/>
      <c r="HD15" s="133"/>
      <c r="HE15" s="133"/>
      <c r="HF15" s="133"/>
      <c r="HG15" s="131" t="s">
        <v>28</v>
      </c>
      <c r="HH15" s="131"/>
      <c r="HI15" s="131"/>
      <c r="HJ15" s="131"/>
      <c r="HK15" s="131"/>
      <c r="HL15" s="131"/>
      <c r="HM15" s="116">
        <v>748</v>
      </c>
      <c r="HN15" s="134"/>
      <c r="HO15" s="134"/>
      <c r="HP15" s="131" t="s">
        <v>29</v>
      </c>
      <c r="HQ15" s="131"/>
      <c r="HR15" s="131"/>
      <c r="HS15" s="131"/>
      <c r="HT15" s="131"/>
      <c r="HU15" s="131"/>
      <c r="HV15" s="116">
        <f>HM15-IE15</f>
        <v>39</v>
      </c>
      <c r="HW15" s="135"/>
      <c r="HX15" s="135"/>
      <c r="HY15" s="131" t="s">
        <v>30</v>
      </c>
      <c r="HZ15" s="131"/>
      <c r="IA15" s="131"/>
      <c r="IB15" s="131"/>
      <c r="IC15" s="131"/>
      <c r="ID15" s="131"/>
      <c r="IE15" s="116">
        <f>SUM(HH17:IK50)</f>
        <v>709</v>
      </c>
      <c r="IF15" s="134"/>
      <c r="IG15" s="134"/>
      <c r="IH15" s="134"/>
      <c r="II15" s="134"/>
      <c r="IJ15" s="134"/>
      <c r="IK15" s="134"/>
      <c r="IL15" s="131" t="s">
        <v>28</v>
      </c>
      <c r="IM15" s="131"/>
      <c r="IN15" s="131"/>
      <c r="IO15" s="131"/>
      <c r="IP15" s="131"/>
      <c r="IQ15" s="131"/>
      <c r="IR15" s="116">
        <v>680</v>
      </c>
      <c r="IS15" s="133"/>
      <c r="IT15" s="133"/>
      <c r="IU15" s="131" t="s">
        <v>29</v>
      </c>
      <c r="IV15" s="131"/>
      <c r="IW15" s="131"/>
      <c r="IX15" s="131"/>
      <c r="IY15" s="131"/>
      <c r="IZ15" s="131"/>
      <c r="JA15" s="116">
        <f>IR15-JJ15</f>
        <v>9</v>
      </c>
      <c r="JB15" s="132"/>
      <c r="JC15" s="132"/>
      <c r="JD15" s="131" t="s">
        <v>30</v>
      </c>
      <c r="JE15" s="131"/>
      <c r="JF15" s="131"/>
      <c r="JG15" s="131"/>
      <c r="JH15" s="131"/>
      <c r="JI15" s="131"/>
      <c r="JJ15" s="116">
        <f>SUM(IL17:JP50)</f>
        <v>671</v>
      </c>
      <c r="JK15" s="133"/>
      <c r="JL15" s="133"/>
      <c r="JM15" s="133"/>
      <c r="JN15" s="133"/>
      <c r="JO15" s="133"/>
      <c r="JP15" s="133"/>
      <c r="JQ15" s="131" t="s">
        <v>28</v>
      </c>
      <c r="JR15" s="131"/>
      <c r="JS15" s="131"/>
      <c r="JT15" s="131"/>
      <c r="JU15" s="131"/>
      <c r="JV15" s="131"/>
      <c r="JW15" s="116">
        <v>781</v>
      </c>
      <c r="JX15" s="134"/>
      <c r="JY15" s="134"/>
      <c r="JZ15" s="131" t="s">
        <v>29</v>
      </c>
      <c r="KA15" s="131"/>
      <c r="KB15" s="131"/>
      <c r="KC15" s="131"/>
      <c r="KD15" s="131"/>
      <c r="KE15" s="131"/>
      <c r="KF15" s="116">
        <f>JW15-KO15</f>
        <v>34</v>
      </c>
      <c r="KG15" s="135"/>
      <c r="KH15" s="135"/>
      <c r="KI15" s="131" t="s">
        <v>30</v>
      </c>
      <c r="KJ15" s="131"/>
      <c r="KK15" s="131"/>
      <c r="KL15" s="131"/>
      <c r="KM15" s="131"/>
      <c r="KN15" s="131"/>
      <c r="KO15" s="116">
        <f>SUM(JQ17:KT50)</f>
        <v>747</v>
      </c>
      <c r="KP15" s="134"/>
      <c r="KQ15" s="134"/>
      <c r="KR15" s="134"/>
      <c r="KS15" s="134"/>
      <c r="KT15" s="134"/>
      <c r="KU15" s="131" t="s">
        <v>28</v>
      </c>
      <c r="KV15" s="131"/>
      <c r="KW15" s="131"/>
      <c r="KX15" s="131"/>
      <c r="KY15" s="131"/>
      <c r="KZ15" s="131"/>
      <c r="LA15" s="116">
        <v>782</v>
      </c>
      <c r="LB15" s="133"/>
      <c r="LC15" s="133"/>
      <c r="LD15" s="131" t="s">
        <v>29</v>
      </c>
      <c r="LE15" s="131"/>
      <c r="LF15" s="131"/>
      <c r="LG15" s="131"/>
      <c r="LH15" s="131"/>
      <c r="LI15" s="131"/>
      <c r="LJ15" s="116">
        <f>LA15-LS15</f>
        <v>1</v>
      </c>
      <c r="LK15" s="132"/>
      <c r="LL15" s="132"/>
      <c r="LM15" s="131" t="s">
        <v>30</v>
      </c>
      <c r="LN15" s="131"/>
      <c r="LO15" s="131"/>
      <c r="LP15" s="131"/>
      <c r="LQ15" s="131"/>
      <c r="LR15" s="131"/>
      <c r="LS15" s="116">
        <f>SUM(KU17:LY50)</f>
        <v>781</v>
      </c>
      <c r="LT15" s="133"/>
      <c r="LU15" s="133"/>
      <c r="LV15" s="133"/>
      <c r="LW15" s="133"/>
      <c r="LX15" s="133"/>
      <c r="LY15" s="133"/>
      <c r="LZ15" s="131" t="s">
        <v>28</v>
      </c>
      <c r="MA15" s="131"/>
      <c r="MB15" s="131"/>
      <c r="MC15" s="131"/>
      <c r="MD15" s="131"/>
      <c r="ME15" s="131"/>
      <c r="MF15" s="116">
        <v>680</v>
      </c>
      <c r="MG15" s="134"/>
      <c r="MH15" s="134"/>
      <c r="MI15" s="131" t="s">
        <v>29</v>
      </c>
      <c r="MJ15" s="131"/>
      <c r="MK15" s="131"/>
      <c r="ML15" s="131"/>
      <c r="MM15" s="131"/>
      <c r="MN15" s="131"/>
      <c r="MO15" s="116">
        <f>MF15-MX15</f>
        <v>0</v>
      </c>
      <c r="MP15" s="135"/>
      <c r="MQ15" s="135"/>
      <c r="MR15" s="131" t="s">
        <v>30</v>
      </c>
      <c r="MS15" s="131"/>
      <c r="MT15" s="131"/>
      <c r="MU15" s="131"/>
      <c r="MV15" s="131"/>
      <c r="MW15" s="131"/>
      <c r="MX15" s="116">
        <f>SUM(LZ17:NC50)</f>
        <v>680</v>
      </c>
      <c r="MY15" s="134"/>
      <c r="MZ15" s="134"/>
      <c r="NA15" s="134"/>
      <c r="NB15" s="134"/>
      <c r="NC15" s="134"/>
      <c r="ND15" s="131" t="s">
        <v>28</v>
      </c>
      <c r="NE15" s="131"/>
      <c r="NF15" s="131"/>
      <c r="NG15" s="131"/>
      <c r="NH15" s="131"/>
      <c r="NI15" s="131"/>
      <c r="NJ15" s="116">
        <v>782</v>
      </c>
      <c r="NK15" s="133"/>
      <c r="NL15" s="133"/>
      <c r="NM15" s="131" t="s">
        <v>29</v>
      </c>
      <c r="NN15" s="131"/>
      <c r="NO15" s="131"/>
      <c r="NP15" s="131"/>
      <c r="NQ15" s="131"/>
      <c r="NR15" s="131"/>
      <c r="NS15" s="116">
        <f>NJ15-OB15</f>
        <v>56.5</v>
      </c>
      <c r="NT15" s="132"/>
      <c r="NU15" s="132"/>
      <c r="NV15" s="131" t="s">
        <v>30</v>
      </c>
      <c r="NW15" s="131"/>
      <c r="NX15" s="131"/>
      <c r="NY15" s="131"/>
      <c r="NZ15" s="131"/>
      <c r="OA15" s="131"/>
      <c r="OB15" s="116">
        <f>SUM(ND17:OH50)</f>
        <v>725.5</v>
      </c>
      <c r="OC15" s="133"/>
      <c r="OD15" s="133"/>
      <c r="OE15" s="133"/>
      <c r="OF15" s="133"/>
      <c r="OG15" s="133"/>
      <c r="OH15" s="133"/>
      <c r="OI15" s="124"/>
      <c r="OJ15" s="114"/>
      <c r="OK15" s="114"/>
      <c r="OL15" s="114"/>
      <c r="OM15" s="114"/>
      <c r="ON15" s="114"/>
      <c r="OO15" s="114"/>
      <c r="OP15" s="114"/>
      <c r="OQ15" s="114"/>
      <c r="OR15" s="114"/>
      <c r="OS15" s="114"/>
      <c r="OT15" s="114"/>
      <c r="OU15" s="114"/>
      <c r="OV15" s="114"/>
      <c r="OW15" s="114"/>
      <c r="OX15" s="114"/>
      <c r="OY15" s="114"/>
      <c r="OZ15" s="114"/>
      <c r="PA15" s="114"/>
      <c r="PB15" s="114"/>
      <c r="PC15" s="114"/>
      <c r="PD15" s="114"/>
      <c r="PE15" s="114"/>
      <c r="PF15" s="114"/>
      <c r="PG15" s="114"/>
      <c r="PH15" s="114"/>
      <c r="PI15" s="114"/>
      <c r="PJ15" s="114"/>
      <c r="PK15" s="114"/>
      <c r="PL15" s="114"/>
      <c r="PM15" s="114"/>
      <c r="PN15" s="114"/>
      <c r="PO15" s="114"/>
      <c r="PP15" s="114"/>
      <c r="PQ15" s="114"/>
      <c r="PR15" s="114"/>
      <c r="PS15" s="114"/>
      <c r="PT15" s="114"/>
    </row>
    <row r="16" spans="1:455" s="58" customFormat="1" ht="16.5" customHeight="1" x14ac:dyDescent="0.25">
      <c r="A16" s="59" t="s">
        <v>31</v>
      </c>
      <c r="B16" s="60" t="s">
        <v>32</v>
      </c>
      <c r="C16" s="49" t="s">
        <v>33</v>
      </c>
      <c r="D16" s="49" t="s">
        <v>34</v>
      </c>
      <c r="E16" s="49" t="s">
        <v>35</v>
      </c>
      <c r="F16" s="49" t="s">
        <v>36</v>
      </c>
      <c r="G16" s="49" t="s">
        <v>37</v>
      </c>
      <c r="H16" s="49" t="s">
        <v>38</v>
      </c>
      <c r="I16" s="49" t="s">
        <v>39</v>
      </c>
      <c r="J16" s="49" t="s">
        <v>40</v>
      </c>
      <c r="K16" s="49" t="s">
        <v>41</v>
      </c>
      <c r="L16" s="49" t="s">
        <v>42</v>
      </c>
      <c r="M16" s="49" t="s">
        <v>43</v>
      </c>
      <c r="N16" s="49" t="s">
        <v>44</v>
      </c>
      <c r="O16" s="49" t="s">
        <v>45</v>
      </c>
      <c r="P16" s="49" t="s">
        <v>46</v>
      </c>
      <c r="Q16" s="49" t="s">
        <v>47</v>
      </c>
      <c r="R16" s="49" t="s">
        <v>48</v>
      </c>
      <c r="S16" s="49" t="s">
        <v>49</v>
      </c>
      <c r="T16" s="49" t="s">
        <v>50</v>
      </c>
      <c r="U16" s="49" t="s">
        <v>51</v>
      </c>
      <c r="V16" s="49" t="s">
        <v>52</v>
      </c>
      <c r="W16" s="49" t="s">
        <v>53</v>
      </c>
      <c r="X16" s="49" t="s">
        <v>54</v>
      </c>
      <c r="Y16" s="49" t="s">
        <v>55</v>
      </c>
      <c r="Z16" s="49" t="s">
        <v>56</v>
      </c>
      <c r="AA16" s="49" t="s">
        <v>57</v>
      </c>
      <c r="AB16" s="49" t="s">
        <v>58</v>
      </c>
      <c r="AC16" s="49" t="s">
        <v>59</v>
      </c>
      <c r="AD16" s="49" t="s">
        <v>60</v>
      </c>
      <c r="AE16" s="49" t="s">
        <v>61</v>
      </c>
      <c r="AF16" s="49" t="s">
        <v>62</v>
      </c>
      <c r="AG16" s="49" t="s">
        <v>63</v>
      </c>
      <c r="AH16" s="50" t="s">
        <v>64</v>
      </c>
      <c r="AI16" s="50" t="s">
        <v>65</v>
      </c>
      <c r="AJ16" s="50" t="s">
        <v>66</v>
      </c>
      <c r="AK16" s="50" t="s">
        <v>67</v>
      </c>
      <c r="AL16" s="50" t="s">
        <v>68</v>
      </c>
      <c r="AM16" s="50" t="s">
        <v>69</v>
      </c>
      <c r="AN16" s="51" t="s">
        <v>70</v>
      </c>
      <c r="AO16" s="52" t="s">
        <v>71</v>
      </c>
      <c r="AP16" s="52" t="s">
        <v>72</v>
      </c>
      <c r="AQ16" s="50" t="s">
        <v>73</v>
      </c>
      <c r="AR16" s="50" t="s">
        <v>74</v>
      </c>
      <c r="AS16" s="50" t="s">
        <v>75</v>
      </c>
      <c r="AT16" s="50" t="s">
        <v>76</v>
      </c>
      <c r="AU16" s="50" t="s">
        <v>77</v>
      </c>
      <c r="AV16" s="50" t="s">
        <v>78</v>
      </c>
      <c r="AW16" s="51" t="s">
        <v>79</v>
      </c>
      <c r="AX16" s="53" t="s">
        <v>80</v>
      </c>
      <c r="AY16" s="53" t="s">
        <v>81</v>
      </c>
      <c r="AZ16" s="50" t="s">
        <v>82</v>
      </c>
      <c r="BA16" s="50" t="s">
        <v>83</v>
      </c>
      <c r="BB16" s="50" t="s">
        <v>84</v>
      </c>
      <c r="BC16" s="50" t="s">
        <v>85</v>
      </c>
      <c r="BD16" s="50" t="s">
        <v>86</v>
      </c>
      <c r="BE16" s="50" t="s">
        <v>87</v>
      </c>
      <c r="BF16" s="54" t="s">
        <v>88</v>
      </c>
      <c r="BG16" s="53" t="s">
        <v>89</v>
      </c>
      <c r="BH16" s="53" t="s">
        <v>90</v>
      </c>
      <c r="BI16" s="53" t="s">
        <v>91</v>
      </c>
      <c r="BJ16" s="53" t="s">
        <v>92</v>
      </c>
      <c r="BK16" s="53" t="s">
        <v>93</v>
      </c>
      <c r="BL16" s="53" t="s">
        <v>94</v>
      </c>
      <c r="BM16" s="50" t="s">
        <v>95</v>
      </c>
      <c r="BN16" s="50" t="s">
        <v>96</v>
      </c>
      <c r="BO16" s="50" t="s">
        <v>97</v>
      </c>
      <c r="BP16" s="50" t="s">
        <v>98</v>
      </c>
      <c r="BQ16" s="50" t="s">
        <v>99</v>
      </c>
      <c r="BR16" s="50" t="s">
        <v>100</v>
      </c>
      <c r="BS16" s="51" t="s">
        <v>101</v>
      </c>
      <c r="BT16" s="52" t="s">
        <v>102</v>
      </c>
      <c r="BU16" s="52" t="s">
        <v>103</v>
      </c>
      <c r="BV16" s="50" t="s">
        <v>104</v>
      </c>
      <c r="BW16" s="50" t="s">
        <v>105</v>
      </c>
      <c r="BX16" s="50" t="s">
        <v>106</v>
      </c>
      <c r="BY16" s="50" t="s">
        <v>107</v>
      </c>
      <c r="BZ16" s="50" t="s">
        <v>108</v>
      </c>
      <c r="CA16" s="50" t="s">
        <v>109</v>
      </c>
      <c r="CB16" s="51" t="s">
        <v>110</v>
      </c>
      <c r="CC16" s="53" t="s">
        <v>111</v>
      </c>
      <c r="CD16" s="53" t="s">
        <v>112</v>
      </c>
      <c r="CE16" s="50" t="s">
        <v>113</v>
      </c>
      <c r="CF16" s="50" t="s">
        <v>114</v>
      </c>
      <c r="CG16" s="50" t="s">
        <v>115</v>
      </c>
      <c r="CH16" s="50" t="s">
        <v>116</v>
      </c>
      <c r="CI16" s="50" t="s">
        <v>117</v>
      </c>
      <c r="CJ16" s="50" t="s">
        <v>118</v>
      </c>
      <c r="CK16" s="51" t="s">
        <v>119</v>
      </c>
      <c r="CL16" s="50" t="s">
        <v>120</v>
      </c>
      <c r="CM16" s="50" t="s">
        <v>121</v>
      </c>
      <c r="CN16" s="50" t="s">
        <v>122</v>
      </c>
      <c r="CO16" s="50" t="s">
        <v>123</v>
      </c>
      <c r="CP16" s="50" t="s">
        <v>124</v>
      </c>
      <c r="CQ16" s="50" t="s">
        <v>125</v>
      </c>
      <c r="CR16" s="50" t="s">
        <v>126</v>
      </c>
      <c r="CS16" s="50" t="s">
        <v>127</v>
      </c>
      <c r="CT16" s="50" t="s">
        <v>128</v>
      </c>
      <c r="CU16" s="51" t="s">
        <v>129</v>
      </c>
      <c r="CV16" s="52" t="s">
        <v>130</v>
      </c>
      <c r="CW16" s="52" t="s">
        <v>131</v>
      </c>
      <c r="CX16" s="50" t="s">
        <v>132</v>
      </c>
      <c r="CY16" s="50" t="s">
        <v>133</v>
      </c>
      <c r="CZ16" s="50" t="s">
        <v>134</v>
      </c>
      <c r="DA16" s="50" t="s">
        <v>135</v>
      </c>
      <c r="DB16" s="50" t="s">
        <v>136</v>
      </c>
      <c r="DC16" s="50" t="s">
        <v>137</v>
      </c>
      <c r="DD16" s="51" t="s">
        <v>138</v>
      </c>
      <c r="DE16" s="53" t="s">
        <v>139</v>
      </c>
      <c r="DF16" s="53" t="s">
        <v>140</v>
      </c>
      <c r="DG16" s="50" t="s">
        <v>141</v>
      </c>
      <c r="DH16" s="50" t="s">
        <v>142</v>
      </c>
      <c r="DI16" s="50" t="s">
        <v>143</v>
      </c>
      <c r="DJ16" s="50" t="s">
        <v>144</v>
      </c>
      <c r="DK16" s="50" t="s">
        <v>145</v>
      </c>
      <c r="DL16" s="50" t="s">
        <v>146</v>
      </c>
      <c r="DM16" s="51" t="s">
        <v>147</v>
      </c>
      <c r="DN16" s="50" t="s">
        <v>148</v>
      </c>
      <c r="DO16" s="50" t="s">
        <v>149</v>
      </c>
      <c r="DP16" s="50" t="s">
        <v>150</v>
      </c>
      <c r="DQ16" s="50" t="s">
        <v>151</v>
      </c>
      <c r="DR16" s="50" t="s">
        <v>152</v>
      </c>
      <c r="DS16" s="50" t="s">
        <v>153</v>
      </c>
      <c r="DT16" s="50" t="s">
        <v>154</v>
      </c>
      <c r="DU16" s="50" t="s">
        <v>155</v>
      </c>
      <c r="DV16" s="50" t="s">
        <v>156</v>
      </c>
      <c r="DW16" s="50" t="s">
        <v>157</v>
      </c>
      <c r="DX16" s="50" t="s">
        <v>158</v>
      </c>
      <c r="DY16" s="50" t="s">
        <v>159</v>
      </c>
      <c r="DZ16" s="51" t="s">
        <v>160</v>
      </c>
      <c r="EA16" s="52" t="s">
        <v>161</v>
      </c>
      <c r="EB16" s="52" t="s">
        <v>162</v>
      </c>
      <c r="EC16" s="50" t="s">
        <v>163</v>
      </c>
      <c r="ED16" s="50" t="s">
        <v>164</v>
      </c>
      <c r="EE16" s="50" t="s">
        <v>165</v>
      </c>
      <c r="EF16" s="50" t="s">
        <v>166</v>
      </c>
      <c r="EG16" s="50" t="s">
        <v>167</v>
      </c>
      <c r="EH16" s="50" t="s">
        <v>168</v>
      </c>
      <c r="EI16" s="51" t="s">
        <v>169</v>
      </c>
      <c r="EJ16" s="53" t="s">
        <v>170</v>
      </c>
      <c r="EK16" s="53" t="s">
        <v>171</v>
      </c>
      <c r="EL16" s="50" t="s">
        <v>172</v>
      </c>
      <c r="EM16" s="50" t="s">
        <v>173</v>
      </c>
      <c r="EN16" s="50" t="s">
        <v>174</v>
      </c>
      <c r="EO16" s="50" t="s">
        <v>175</v>
      </c>
      <c r="EP16" s="50" t="s">
        <v>176</v>
      </c>
      <c r="EQ16" s="50" t="s">
        <v>177</v>
      </c>
      <c r="ER16" s="51" t="s">
        <v>178</v>
      </c>
      <c r="ES16" s="52" t="s">
        <v>179</v>
      </c>
      <c r="ET16" s="52" t="s">
        <v>180</v>
      </c>
      <c r="EU16" s="52" t="s">
        <v>181</v>
      </c>
      <c r="EV16" s="52" t="s">
        <v>182</v>
      </c>
      <c r="EW16" s="52" t="s">
        <v>183</v>
      </c>
      <c r="EX16" s="50" t="s">
        <v>184</v>
      </c>
      <c r="EY16" s="50" t="s">
        <v>185</v>
      </c>
      <c r="EZ16" s="50" t="s">
        <v>186</v>
      </c>
      <c r="FA16" s="50" t="s">
        <v>187</v>
      </c>
      <c r="FB16" s="50" t="s">
        <v>188</v>
      </c>
      <c r="FC16" s="50" t="s">
        <v>189</v>
      </c>
      <c r="FD16" s="51" t="s">
        <v>190</v>
      </c>
      <c r="FE16" s="52" t="s">
        <v>191</v>
      </c>
      <c r="FF16" s="52" t="s">
        <v>192</v>
      </c>
      <c r="FG16" s="50" t="s">
        <v>193</v>
      </c>
      <c r="FH16" s="50" t="s">
        <v>194</v>
      </c>
      <c r="FI16" s="50" t="s">
        <v>195</v>
      </c>
      <c r="FJ16" s="50" t="s">
        <v>196</v>
      </c>
      <c r="FK16" s="50" t="s">
        <v>197</v>
      </c>
      <c r="FL16" s="50" t="s">
        <v>198</v>
      </c>
      <c r="FM16" s="51" t="s">
        <v>199</v>
      </c>
      <c r="FN16" s="53" t="s">
        <v>200</v>
      </c>
      <c r="FO16" s="53" t="s">
        <v>201</v>
      </c>
      <c r="FP16" s="50" t="s">
        <v>202</v>
      </c>
      <c r="FQ16" s="50" t="s">
        <v>203</v>
      </c>
      <c r="FR16" s="50" t="s">
        <v>204</v>
      </c>
      <c r="FS16" s="50" t="s">
        <v>205</v>
      </c>
      <c r="FT16" s="50" t="s">
        <v>206</v>
      </c>
      <c r="FU16" s="50" t="s">
        <v>207</v>
      </c>
      <c r="FV16" s="51" t="s">
        <v>208</v>
      </c>
      <c r="FW16" s="52" t="s">
        <v>209</v>
      </c>
      <c r="FX16" s="52" t="s">
        <v>210</v>
      </c>
      <c r="FY16" s="52" t="s">
        <v>211</v>
      </c>
      <c r="FZ16" s="52" t="s">
        <v>212</v>
      </c>
      <c r="GA16" s="52" t="s">
        <v>213</v>
      </c>
      <c r="GB16" s="52" t="s">
        <v>214</v>
      </c>
      <c r="GC16" s="50" t="s">
        <v>215</v>
      </c>
      <c r="GD16" s="50" t="s">
        <v>216</v>
      </c>
      <c r="GE16" s="50" t="s">
        <v>217</v>
      </c>
      <c r="GF16" s="50" t="s">
        <v>218</v>
      </c>
      <c r="GG16" s="50" t="s">
        <v>219</v>
      </c>
      <c r="GH16" s="50" t="s">
        <v>220</v>
      </c>
      <c r="GI16" s="51" t="s">
        <v>221</v>
      </c>
      <c r="GJ16" s="52" t="s">
        <v>222</v>
      </c>
      <c r="GK16" s="52" t="s">
        <v>223</v>
      </c>
      <c r="GL16" s="50" t="s">
        <v>224</v>
      </c>
      <c r="GM16" s="50" t="s">
        <v>225</v>
      </c>
      <c r="GN16" s="50" t="s">
        <v>226</v>
      </c>
      <c r="GO16" s="50" t="s">
        <v>227</v>
      </c>
      <c r="GP16" s="50" t="s">
        <v>228</v>
      </c>
      <c r="GQ16" s="50" t="s">
        <v>229</v>
      </c>
      <c r="GR16" s="51" t="s">
        <v>230</v>
      </c>
      <c r="GS16" s="53" t="s">
        <v>231</v>
      </c>
      <c r="GT16" s="53" t="s">
        <v>232</v>
      </c>
      <c r="GU16" s="50" t="s">
        <v>233</v>
      </c>
      <c r="GV16" s="50" t="s">
        <v>234</v>
      </c>
      <c r="GW16" s="50" t="s">
        <v>235</v>
      </c>
      <c r="GX16" s="50" t="s">
        <v>236</v>
      </c>
      <c r="GY16" s="50" t="s">
        <v>237</v>
      </c>
      <c r="GZ16" s="50" t="s">
        <v>238</v>
      </c>
      <c r="HA16" s="51" t="s">
        <v>239</v>
      </c>
      <c r="HB16" s="52" t="s">
        <v>240</v>
      </c>
      <c r="HC16" s="52" t="s">
        <v>241</v>
      </c>
      <c r="HD16" s="52" t="s">
        <v>242</v>
      </c>
      <c r="HE16" s="52" t="s">
        <v>243</v>
      </c>
      <c r="HF16" s="52" t="s">
        <v>244</v>
      </c>
      <c r="HG16" s="50" t="s">
        <v>245</v>
      </c>
      <c r="HH16" s="50" t="s">
        <v>246</v>
      </c>
      <c r="HI16" s="50" t="s">
        <v>247</v>
      </c>
      <c r="HJ16" s="50" t="s">
        <v>248</v>
      </c>
      <c r="HK16" s="50" t="s">
        <v>249</v>
      </c>
      <c r="HL16" s="50" t="s">
        <v>250</v>
      </c>
      <c r="HM16" s="51" t="s">
        <v>251</v>
      </c>
      <c r="HN16" s="52" t="s">
        <v>252</v>
      </c>
      <c r="HO16" s="52" t="s">
        <v>253</v>
      </c>
      <c r="HP16" s="50" t="s">
        <v>254</v>
      </c>
      <c r="HQ16" s="50" t="s">
        <v>255</v>
      </c>
      <c r="HR16" s="50" t="s">
        <v>256</v>
      </c>
      <c r="HS16" s="50" t="s">
        <v>257</v>
      </c>
      <c r="HT16" s="50" t="s">
        <v>258</v>
      </c>
      <c r="HU16" s="50" t="s">
        <v>259</v>
      </c>
      <c r="HV16" s="51" t="s">
        <v>260</v>
      </c>
      <c r="HW16" s="53" t="s">
        <v>261</v>
      </c>
      <c r="HX16" s="53" t="s">
        <v>262</v>
      </c>
      <c r="HY16" s="50" t="s">
        <v>263</v>
      </c>
      <c r="HZ16" s="50" t="s">
        <v>264</v>
      </c>
      <c r="IA16" s="50" t="s">
        <v>265</v>
      </c>
      <c r="IB16" s="50" t="s">
        <v>266</v>
      </c>
      <c r="IC16" s="50" t="s">
        <v>267</v>
      </c>
      <c r="ID16" s="50" t="s">
        <v>268</v>
      </c>
      <c r="IE16" s="51" t="s">
        <v>269</v>
      </c>
      <c r="IF16" s="52" t="s">
        <v>270</v>
      </c>
      <c r="IG16" s="52" t="s">
        <v>271</v>
      </c>
      <c r="IH16" s="52" t="s">
        <v>272</v>
      </c>
      <c r="II16" s="52" t="s">
        <v>273</v>
      </c>
      <c r="IJ16" s="52" t="s">
        <v>274</v>
      </c>
      <c r="IK16" s="52" t="s">
        <v>275</v>
      </c>
      <c r="IL16" s="50" t="s">
        <v>276</v>
      </c>
      <c r="IM16" s="50" t="s">
        <v>277</v>
      </c>
      <c r="IN16" s="50" t="s">
        <v>278</v>
      </c>
      <c r="IO16" s="50" t="s">
        <v>279</v>
      </c>
      <c r="IP16" s="50" t="s">
        <v>280</v>
      </c>
      <c r="IQ16" s="50" t="s">
        <v>281</v>
      </c>
      <c r="IR16" s="51" t="s">
        <v>282</v>
      </c>
      <c r="IS16" s="52" t="s">
        <v>283</v>
      </c>
      <c r="IT16" s="52" t="s">
        <v>284</v>
      </c>
      <c r="IU16" s="50" t="s">
        <v>285</v>
      </c>
      <c r="IV16" s="50" t="s">
        <v>286</v>
      </c>
      <c r="IW16" s="50" t="s">
        <v>287</v>
      </c>
      <c r="IX16" s="50" t="s">
        <v>288</v>
      </c>
      <c r="IY16" s="50" t="s">
        <v>289</v>
      </c>
      <c r="IZ16" s="50" t="s">
        <v>290</v>
      </c>
      <c r="JA16" s="51" t="s">
        <v>291</v>
      </c>
      <c r="JB16" s="53" t="s">
        <v>292</v>
      </c>
      <c r="JC16" s="53" t="s">
        <v>293</v>
      </c>
      <c r="JD16" s="50" t="s">
        <v>294</v>
      </c>
      <c r="JE16" s="50" t="s">
        <v>295</v>
      </c>
      <c r="JF16" s="50" t="s">
        <v>296</v>
      </c>
      <c r="JG16" s="50" t="s">
        <v>297</v>
      </c>
      <c r="JH16" s="50" t="s">
        <v>298</v>
      </c>
      <c r="JI16" s="50" t="s">
        <v>299</v>
      </c>
      <c r="JJ16" s="51" t="s">
        <v>300</v>
      </c>
      <c r="JK16" s="52" t="s">
        <v>301</v>
      </c>
      <c r="JL16" s="52" t="s">
        <v>302</v>
      </c>
      <c r="JM16" s="52" t="s">
        <v>303</v>
      </c>
      <c r="JN16" s="52" t="s">
        <v>304</v>
      </c>
      <c r="JO16" s="52" t="s">
        <v>305</v>
      </c>
      <c r="JP16" s="52" t="s">
        <v>306</v>
      </c>
      <c r="JQ16" s="50" t="s">
        <v>307</v>
      </c>
      <c r="JR16" s="50" t="s">
        <v>308</v>
      </c>
      <c r="JS16" s="50" t="s">
        <v>309</v>
      </c>
      <c r="JT16" s="50" t="s">
        <v>310</v>
      </c>
      <c r="JU16" s="50" t="s">
        <v>311</v>
      </c>
      <c r="JV16" s="50" t="s">
        <v>312</v>
      </c>
      <c r="JW16" s="51" t="s">
        <v>313</v>
      </c>
      <c r="JX16" s="52" t="s">
        <v>314</v>
      </c>
      <c r="JY16" s="52" t="s">
        <v>315</v>
      </c>
      <c r="JZ16" s="50" t="s">
        <v>316</v>
      </c>
      <c r="KA16" s="50" t="s">
        <v>317</v>
      </c>
      <c r="KB16" s="50" t="s">
        <v>318</v>
      </c>
      <c r="KC16" s="50" t="s">
        <v>319</v>
      </c>
      <c r="KD16" s="50" t="s">
        <v>320</v>
      </c>
      <c r="KE16" s="50" t="s">
        <v>321</v>
      </c>
      <c r="KF16" s="51" t="s">
        <v>322</v>
      </c>
      <c r="KG16" s="53" t="s">
        <v>323</v>
      </c>
      <c r="KH16" s="53" t="s">
        <v>324</v>
      </c>
      <c r="KI16" s="50" t="s">
        <v>325</v>
      </c>
      <c r="KJ16" s="50" t="s">
        <v>326</v>
      </c>
      <c r="KK16" s="50" t="s">
        <v>327</v>
      </c>
      <c r="KL16" s="50" t="s">
        <v>328</v>
      </c>
      <c r="KM16" s="50" t="s">
        <v>329</v>
      </c>
      <c r="KN16" s="50" t="s">
        <v>330</v>
      </c>
      <c r="KO16" s="51" t="s">
        <v>331</v>
      </c>
      <c r="KP16" s="52" t="s">
        <v>332</v>
      </c>
      <c r="KQ16" s="52" t="s">
        <v>333</v>
      </c>
      <c r="KR16" s="52" t="s">
        <v>334</v>
      </c>
      <c r="KS16" s="52" t="s">
        <v>335</v>
      </c>
      <c r="KT16" s="52" t="s">
        <v>336</v>
      </c>
      <c r="KU16" s="50" t="s">
        <v>337</v>
      </c>
      <c r="KV16" s="50" t="s">
        <v>338</v>
      </c>
      <c r="KW16" s="50" t="s">
        <v>339</v>
      </c>
      <c r="KX16" s="50" t="s">
        <v>340</v>
      </c>
      <c r="KY16" s="50" t="s">
        <v>341</v>
      </c>
      <c r="KZ16" s="50" t="s">
        <v>342</v>
      </c>
      <c r="LA16" s="51" t="s">
        <v>343</v>
      </c>
      <c r="LB16" s="52" t="s">
        <v>344</v>
      </c>
      <c r="LC16" s="52" t="s">
        <v>345</v>
      </c>
      <c r="LD16" s="50" t="s">
        <v>346</v>
      </c>
      <c r="LE16" s="50" t="s">
        <v>347</v>
      </c>
      <c r="LF16" s="50" t="s">
        <v>348</v>
      </c>
      <c r="LG16" s="50" t="s">
        <v>349</v>
      </c>
      <c r="LH16" s="50" t="s">
        <v>350</v>
      </c>
      <c r="LI16" s="50" t="s">
        <v>351</v>
      </c>
      <c r="LJ16" s="51" t="s">
        <v>352</v>
      </c>
      <c r="LK16" s="53" t="s">
        <v>353</v>
      </c>
      <c r="LL16" s="53" t="s">
        <v>354</v>
      </c>
      <c r="LM16" s="50" t="s">
        <v>355</v>
      </c>
      <c r="LN16" s="50" t="s">
        <v>356</v>
      </c>
      <c r="LO16" s="50" t="s">
        <v>357</v>
      </c>
      <c r="LP16" s="50" t="s">
        <v>358</v>
      </c>
      <c r="LQ16" s="50" t="s">
        <v>359</v>
      </c>
      <c r="LR16" s="50" t="s">
        <v>360</v>
      </c>
      <c r="LS16" s="51" t="s">
        <v>361</v>
      </c>
      <c r="LT16" s="52" t="s">
        <v>362</v>
      </c>
      <c r="LU16" s="52" t="s">
        <v>363</v>
      </c>
      <c r="LV16" s="52" t="s">
        <v>364</v>
      </c>
      <c r="LW16" s="52" t="s">
        <v>365</v>
      </c>
      <c r="LX16" s="52" t="s">
        <v>366</v>
      </c>
      <c r="LY16" s="52" t="s">
        <v>367</v>
      </c>
      <c r="LZ16" s="50" t="s">
        <v>368</v>
      </c>
      <c r="MA16" s="50" t="s">
        <v>369</v>
      </c>
      <c r="MB16" s="50" t="s">
        <v>370</v>
      </c>
      <c r="MC16" s="50" t="s">
        <v>371</v>
      </c>
      <c r="MD16" s="50" t="s">
        <v>372</v>
      </c>
      <c r="ME16" s="50" t="s">
        <v>373</v>
      </c>
      <c r="MF16" s="51" t="s">
        <v>374</v>
      </c>
      <c r="MG16" s="52" t="s">
        <v>375</v>
      </c>
      <c r="MH16" s="52" t="s">
        <v>376</v>
      </c>
      <c r="MI16" s="50" t="s">
        <v>377</v>
      </c>
      <c r="MJ16" s="50" t="s">
        <v>378</v>
      </c>
      <c r="MK16" s="50" t="s">
        <v>379</v>
      </c>
      <c r="ML16" s="50" t="s">
        <v>380</v>
      </c>
      <c r="MM16" s="50" t="s">
        <v>381</v>
      </c>
      <c r="MN16" s="50" t="s">
        <v>382</v>
      </c>
      <c r="MO16" s="51" t="s">
        <v>383</v>
      </c>
      <c r="MP16" s="53" t="s">
        <v>384</v>
      </c>
      <c r="MQ16" s="53" t="s">
        <v>385</v>
      </c>
      <c r="MR16" s="50" t="s">
        <v>386</v>
      </c>
      <c r="MS16" s="50" t="s">
        <v>387</v>
      </c>
      <c r="MT16" s="50" t="s">
        <v>388</v>
      </c>
      <c r="MU16" s="50" t="s">
        <v>389</v>
      </c>
      <c r="MV16" s="50" t="s">
        <v>390</v>
      </c>
      <c r="MW16" s="50" t="s">
        <v>391</v>
      </c>
      <c r="MX16" s="51" t="s">
        <v>392</v>
      </c>
      <c r="MY16" s="52" t="s">
        <v>393</v>
      </c>
      <c r="MZ16" s="52" t="s">
        <v>394</v>
      </c>
      <c r="NA16" s="52" t="s">
        <v>395</v>
      </c>
      <c r="NB16" s="52" t="s">
        <v>396</v>
      </c>
      <c r="NC16" s="52" t="s">
        <v>397</v>
      </c>
      <c r="ND16" s="50" t="s">
        <v>398</v>
      </c>
      <c r="NE16" s="50" t="s">
        <v>399</v>
      </c>
      <c r="NF16" s="50" t="s">
        <v>400</v>
      </c>
      <c r="NG16" s="50" t="s">
        <v>401</v>
      </c>
      <c r="NH16" s="50" t="s">
        <v>402</v>
      </c>
      <c r="NI16" s="50" t="s">
        <v>403</v>
      </c>
      <c r="NJ16" s="51" t="s">
        <v>404</v>
      </c>
      <c r="NK16" s="52" t="s">
        <v>405</v>
      </c>
      <c r="NL16" s="52" t="s">
        <v>406</v>
      </c>
      <c r="NM16" s="50" t="s">
        <v>407</v>
      </c>
      <c r="NN16" s="50" t="s">
        <v>408</v>
      </c>
      <c r="NO16" s="50" t="s">
        <v>409</v>
      </c>
      <c r="NP16" s="50" t="s">
        <v>410</v>
      </c>
      <c r="NQ16" s="50" t="s">
        <v>411</v>
      </c>
      <c r="NR16" s="50" t="s">
        <v>412</v>
      </c>
      <c r="NS16" s="51" t="s">
        <v>413</v>
      </c>
      <c r="NT16" s="53" t="s">
        <v>414</v>
      </c>
      <c r="NU16" s="53" t="s">
        <v>415</v>
      </c>
      <c r="NV16" s="50" t="s">
        <v>416</v>
      </c>
      <c r="NW16" s="50" t="s">
        <v>417</v>
      </c>
      <c r="NX16" s="50" t="s">
        <v>418</v>
      </c>
      <c r="NY16" s="50" t="s">
        <v>419</v>
      </c>
      <c r="NZ16" s="50" t="s">
        <v>420</v>
      </c>
      <c r="OA16" s="50" t="s">
        <v>421</v>
      </c>
      <c r="OB16" s="51" t="s">
        <v>422</v>
      </c>
      <c r="OC16" s="52" t="s">
        <v>423</v>
      </c>
      <c r="OD16" s="52" t="s">
        <v>424</v>
      </c>
      <c r="OE16" s="52" t="s">
        <v>425</v>
      </c>
      <c r="OF16" s="52" t="s">
        <v>426</v>
      </c>
      <c r="OG16" s="52" t="s">
        <v>427</v>
      </c>
      <c r="OH16" s="52" t="s">
        <v>428</v>
      </c>
      <c r="OI16" s="55"/>
      <c r="OJ16" s="56"/>
      <c r="OK16" s="56"/>
      <c r="OL16" s="56"/>
      <c r="OM16" s="56"/>
      <c r="ON16" s="56"/>
      <c r="OO16" s="56"/>
      <c r="OP16" s="56"/>
      <c r="OQ16" s="56"/>
      <c r="OR16" s="56"/>
      <c r="OS16" s="56"/>
      <c r="OT16" s="56"/>
      <c r="OU16" s="56"/>
      <c r="OV16" s="56"/>
      <c r="OW16" s="56"/>
      <c r="OX16" s="56"/>
      <c r="OY16" s="56"/>
      <c r="OZ16" s="56"/>
      <c r="PA16" s="56"/>
      <c r="PB16" s="56"/>
      <c r="PC16" s="56"/>
      <c r="PD16" s="56"/>
      <c r="PE16" s="56"/>
      <c r="PF16" s="56"/>
      <c r="PG16" s="56"/>
      <c r="PH16" s="56"/>
      <c r="PI16" s="56"/>
      <c r="PJ16" s="56"/>
      <c r="PK16" s="56"/>
      <c r="PL16" s="56"/>
      <c r="PM16" s="56"/>
      <c r="PN16" s="56"/>
      <c r="PO16" s="56"/>
      <c r="PP16" s="56"/>
      <c r="PQ16" s="56"/>
      <c r="PR16" s="56"/>
      <c r="PS16" s="56"/>
      <c r="PT16" s="56"/>
      <c r="PU16" s="57"/>
      <c r="PV16" s="57"/>
      <c r="PW16" s="57"/>
      <c r="PX16" s="57"/>
      <c r="PY16" s="57"/>
      <c r="PZ16" s="57"/>
      <c r="QA16" s="57"/>
      <c r="QB16" s="57"/>
      <c r="QC16" s="57"/>
      <c r="QD16" s="57"/>
      <c r="QE16" s="57"/>
      <c r="QF16" s="57"/>
      <c r="QG16" s="57"/>
      <c r="QH16" s="57"/>
      <c r="QI16" s="57"/>
    </row>
    <row r="17" spans="1:451" s="43" customFormat="1" ht="18.75" customHeight="1" x14ac:dyDescent="0.3">
      <c r="A17" s="61" t="s">
        <v>510</v>
      </c>
      <c r="B17" s="62" t="s">
        <v>429</v>
      </c>
      <c r="C17" s="37"/>
      <c r="D17" s="8">
        <v>1</v>
      </c>
      <c r="E17" s="8">
        <v>1</v>
      </c>
      <c r="F17" s="8">
        <v>1</v>
      </c>
      <c r="G17" s="8">
        <v>1</v>
      </c>
      <c r="H17" s="8">
        <v>1</v>
      </c>
      <c r="I17" s="8"/>
      <c r="J17" s="8"/>
      <c r="K17" s="8">
        <v>1</v>
      </c>
      <c r="L17" s="8">
        <v>1</v>
      </c>
      <c r="M17" s="8">
        <v>1</v>
      </c>
      <c r="N17" s="8">
        <v>1</v>
      </c>
      <c r="O17" s="8">
        <v>1</v>
      </c>
      <c r="P17" s="8"/>
      <c r="Q17" s="8"/>
      <c r="R17" s="8">
        <v>1</v>
      </c>
      <c r="S17" s="8">
        <v>1</v>
      </c>
      <c r="T17" s="8">
        <v>1</v>
      </c>
      <c r="U17" s="8">
        <v>1</v>
      </c>
      <c r="V17" s="8">
        <v>1</v>
      </c>
      <c r="W17" s="8"/>
      <c r="X17" s="8"/>
      <c r="Y17" s="8">
        <v>0</v>
      </c>
      <c r="Z17" s="8">
        <v>0</v>
      </c>
      <c r="AA17" s="8"/>
      <c r="AB17" s="8">
        <v>0</v>
      </c>
      <c r="AC17" s="8">
        <v>0</v>
      </c>
      <c r="AD17" s="8"/>
      <c r="AE17" s="8"/>
      <c r="AF17" s="8">
        <v>1</v>
      </c>
      <c r="AG17" s="8">
        <v>1</v>
      </c>
      <c r="AH17" s="38"/>
      <c r="AI17" s="8">
        <v>1</v>
      </c>
      <c r="AJ17" s="8">
        <v>1</v>
      </c>
      <c r="AK17" s="8"/>
      <c r="AL17" s="8"/>
      <c r="AM17" s="109">
        <v>1</v>
      </c>
      <c r="AN17" s="109">
        <v>1</v>
      </c>
      <c r="AO17" s="8">
        <v>1</v>
      </c>
      <c r="AP17" s="8">
        <v>1</v>
      </c>
      <c r="AQ17" s="8">
        <v>1</v>
      </c>
      <c r="AR17" s="39"/>
      <c r="AS17" s="39"/>
      <c r="AT17" s="8">
        <v>1</v>
      </c>
      <c r="AU17" s="8">
        <v>1</v>
      </c>
      <c r="AV17" s="8">
        <v>1</v>
      </c>
      <c r="AW17" s="8">
        <v>1</v>
      </c>
      <c r="AX17" s="8">
        <v>1</v>
      </c>
      <c r="AY17" s="39"/>
      <c r="AZ17" s="39"/>
      <c r="BA17" s="39">
        <v>1</v>
      </c>
      <c r="BB17" s="39">
        <v>1</v>
      </c>
      <c r="BC17" s="39">
        <v>1</v>
      </c>
      <c r="BD17" s="39">
        <v>1</v>
      </c>
      <c r="BE17" s="39">
        <v>1</v>
      </c>
      <c r="BF17" s="39"/>
      <c r="BG17" s="39"/>
      <c r="BH17" s="39">
        <v>1</v>
      </c>
      <c r="BI17" s="39">
        <v>1</v>
      </c>
      <c r="BJ17" s="39">
        <v>1</v>
      </c>
      <c r="BK17" s="39">
        <v>1</v>
      </c>
      <c r="BL17" s="39">
        <v>1</v>
      </c>
      <c r="BM17" s="40"/>
      <c r="BN17" s="40"/>
      <c r="BO17" s="8">
        <v>1</v>
      </c>
      <c r="BP17" s="8">
        <v>1</v>
      </c>
      <c r="BQ17" s="8">
        <v>1</v>
      </c>
      <c r="BR17" s="8">
        <v>1</v>
      </c>
      <c r="BS17" s="40">
        <v>1</v>
      </c>
      <c r="BT17" s="40"/>
      <c r="BU17" s="40"/>
      <c r="BV17" s="8">
        <v>1</v>
      </c>
      <c r="BW17" s="8">
        <v>1</v>
      </c>
      <c r="BX17" s="8">
        <v>1</v>
      </c>
      <c r="BY17" s="8">
        <v>1</v>
      </c>
      <c r="BZ17" s="40">
        <v>1</v>
      </c>
      <c r="CA17" s="40"/>
      <c r="CB17" s="40"/>
      <c r="CC17" s="8">
        <v>1</v>
      </c>
      <c r="CD17" s="8">
        <v>1</v>
      </c>
      <c r="CE17" s="8">
        <v>1</v>
      </c>
      <c r="CF17" s="8">
        <v>1</v>
      </c>
      <c r="CG17" s="40">
        <v>1</v>
      </c>
      <c r="CH17" s="40"/>
      <c r="CI17" s="40"/>
      <c r="CJ17" s="8">
        <v>1</v>
      </c>
      <c r="CK17" s="8">
        <v>1</v>
      </c>
      <c r="CL17" s="8">
        <v>1</v>
      </c>
      <c r="CM17" s="8">
        <v>1</v>
      </c>
      <c r="CN17" s="8">
        <v>1</v>
      </c>
      <c r="CO17" s="40"/>
      <c r="CP17" s="40"/>
      <c r="CQ17" s="8">
        <v>1</v>
      </c>
      <c r="CR17" s="8">
        <v>1</v>
      </c>
      <c r="CS17" s="8">
        <v>1</v>
      </c>
      <c r="CT17" s="8">
        <v>1</v>
      </c>
      <c r="CU17" s="8">
        <v>1</v>
      </c>
      <c r="CV17" s="40"/>
      <c r="CW17" s="40"/>
      <c r="CX17" s="8">
        <v>1</v>
      </c>
      <c r="CY17" s="8">
        <v>1</v>
      </c>
      <c r="CZ17" s="8">
        <v>1</v>
      </c>
      <c r="DA17" s="8">
        <v>1</v>
      </c>
      <c r="DB17" s="40">
        <v>1</v>
      </c>
      <c r="DC17" s="40"/>
      <c r="DD17" s="40"/>
      <c r="DE17" s="8">
        <v>1</v>
      </c>
      <c r="DF17" s="8">
        <v>1</v>
      </c>
      <c r="DG17" s="8">
        <v>1</v>
      </c>
      <c r="DH17" s="8">
        <v>1</v>
      </c>
      <c r="DI17" s="40">
        <v>1</v>
      </c>
      <c r="DJ17" s="40"/>
      <c r="DK17" s="40"/>
      <c r="DL17" s="8">
        <v>1</v>
      </c>
      <c r="DM17" s="8">
        <v>1</v>
      </c>
      <c r="DN17" s="8">
        <v>1</v>
      </c>
      <c r="DO17" s="8">
        <v>1</v>
      </c>
      <c r="DP17" s="40">
        <v>1</v>
      </c>
      <c r="DQ17" s="41"/>
      <c r="DR17" s="41"/>
      <c r="DS17" s="8">
        <v>1</v>
      </c>
      <c r="DT17" s="8">
        <v>1</v>
      </c>
      <c r="DU17" s="8">
        <v>1</v>
      </c>
      <c r="DV17" s="8">
        <v>1</v>
      </c>
      <c r="DW17" s="40">
        <v>1</v>
      </c>
      <c r="DX17" s="41"/>
      <c r="DY17" s="41"/>
      <c r="DZ17" s="8">
        <v>1</v>
      </c>
      <c r="EA17" s="8">
        <v>1</v>
      </c>
      <c r="EB17" s="8">
        <v>1</v>
      </c>
      <c r="EC17" s="8">
        <v>1</v>
      </c>
      <c r="ED17" s="40">
        <v>1</v>
      </c>
      <c r="EE17" s="41"/>
      <c r="EF17" s="41"/>
      <c r="EG17" s="8">
        <v>1</v>
      </c>
      <c r="EH17" s="8">
        <v>1</v>
      </c>
      <c r="EI17" s="8">
        <v>1</v>
      </c>
      <c r="EJ17" s="8">
        <v>1</v>
      </c>
      <c r="EK17" s="40">
        <v>1</v>
      </c>
      <c r="EL17" s="41"/>
      <c r="EM17" s="41"/>
      <c r="EN17" s="38"/>
      <c r="EO17" s="8">
        <v>1</v>
      </c>
      <c r="EP17" s="8">
        <v>1</v>
      </c>
      <c r="EQ17" s="8">
        <v>1</v>
      </c>
      <c r="ER17" s="40">
        <v>1</v>
      </c>
      <c r="ES17" s="41"/>
      <c r="ET17" s="41"/>
      <c r="EU17" s="8">
        <v>1</v>
      </c>
      <c r="EV17" s="8">
        <v>1</v>
      </c>
      <c r="EW17" s="40">
        <v>1</v>
      </c>
      <c r="EX17" s="38"/>
      <c r="EY17" s="40">
        <v>1</v>
      </c>
      <c r="EZ17" s="41"/>
      <c r="FA17" s="41"/>
      <c r="FB17" s="8">
        <v>1</v>
      </c>
      <c r="FC17" s="8">
        <v>1</v>
      </c>
      <c r="FD17" s="40">
        <v>1</v>
      </c>
      <c r="FE17" s="38"/>
      <c r="FF17" s="40">
        <v>1</v>
      </c>
      <c r="FG17" s="41"/>
      <c r="FH17" s="41"/>
      <c r="FI17" s="41">
        <v>1</v>
      </c>
      <c r="FJ17" s="41">
        <v>1</v>
      </c>
      <c r="FK17" s="41">
        <v>1</v>
      </c>
      <c r="FL17" s="41">
        <v>1</v>
      </c>
      <c r="FM17" s="41">
        <v>1</v>
      </c>
      <c r="FN17" s="41"/>
      <c r="FO17" s="41"/>
      <c r="FP17" s="8">
        <v>1</v>
      </c>
      <c r="FQ17" s="8">
        <v>1</v>
      </c>
      <c r="FR17" s="8">
        <v>1</v>
      </c>
      <c r="FS17" s="8">
        <v>1</v>
      </c>
      <c r="FT17" s="40">
        <v>1</v>
      </c>
      <c r="FU17" s="41"/>
      <c r="FV17" s="41"/>
      <c r="FW17" s="8">
        <v>1</v>
      </c>
      <c r="FX17" s="8">
        <v>1</v>
      </c>
      <c r="FY17" s="40">
        <v>1</v>
      </c>
      <c r="FZ17" s="38"/>
      <c r="GA17" s="41">
        <v>1</v>
      </c>
      <c r="GB17" s="41"/>
      <c r="GC17" s="41"/>
      <c r="GD17" s="8">
        <v>1</v>
      </c>
      <c r="GE17" s="8">
        <v>1</v>
      </c>
      <c r="GF17" s="8">
        <v>1</v>
      </c>
      <c r="GG17" s="8">
        <v>1</v>
      </c>
      <c r="GH17" s="40">
        <v>1</v>
      </c>
      <c r="GI17" s="41"/>
      <c r="GJ17" s="41"/>
      <c r="GK17" s="38"/>
      <c r="GL17" s="8">
        <v>1</v>
      </c>
      <c r="GM17" s="8">
        <v>1</v>
      </c>
      <c r="GN17" s="8">
        <v>1</v>
      </c>
      <c r="GO17" s="8">
        <v>1</v>
      </c>
      <c r="GP17" s="41"/>
      <c r="GQ17" s="41"/>
      <c r="GR17" s="8">
        <v>1</v>
      </c>
      <c r="GS17" s="8">
        <v>1</v>
      </c>
      <c r="GT17" s="8">
        <v>1</v>
      </c>
      <c r="GU17" s="8">
        <v>1</v>
      </c>
      <c r="GV17" s="40">
        <v>1</v>
      </c>
      <c r="GW17" s="41"/>
      <c r="GX17" s="41"/>
      <c r="GY17" s="8">
        <v>1</v>
      </c>
      <c r="GZ17" s="8">
        <v>1</v>
      </c>
      <c r="HA17" s="8">
        <v>1</v>
      </c>
      <c r="HB17" s="8">
        <v>1</v>
      </c>
      <c r="HC17" s="40">
        <v>1</v>
      </c>
      <c r="HD17" s="41"/>
      <c r="HE17" s="41"/>
      <c r="HF17" s="8">
        <v>1</v>
      </c>
      <c r="HG17" s="8">
        <v>1</v>
      </c>
      <c r="HH17" s="8">
        <v>1</v>
      </c>
      <c r="HI17" s="8">
        <v>1</v>
      </c>
      <c r="HJ17" s="40">
        <v>1</v>
      </c>
      <c r="HK17" s="41"/>
      <c r="HL17" s="41"/>
      <c r="HM17" s="8">
        <v>1</v>
      </c>
      <c r="HN17" s="8">
        <v>1</v>
      </c>
      <c r="HO17" s="8">
        <v>1</v>
      </c>
      <c r="HP17" s="8">
        <v>1</v>
      </c>
      <c r="HQ17" s="40">
        <v>1</v>
      </c>
      <c r="HR17" s="41"/>
      <c r="HS17" s="41"/>
      <c r="HT17" s="38"/>
      <c r="HU17" s="8">
        <v>1</v>
      </c>
      <c r="HV17" s="8">
        <v>1</v>
      </c>
      <c r="HW17" s="8">
        <v>1</v>
      </c>
      <c r="HX17" s="40">
        <v>1</v>
      </c>
      <c r="HY17" s="41"/>
      <c r="HZ17" s="41"/>
      <c r="IA17" s="8">
        <v>1</v>
      </c>
      <c r="IB17" s="8">
        <v>1</v>
      </c>
      <c r="IC17" s="8">
        <v>1</v>
      </c>
      <c r="ID17" s="8">
        <v>1</v>
      </c>
      <c r="IE17" s="40">
        <v>1</v>
      </c>
      <c r="IF17" s="41"/>
      <c r="IG17" s="41"/>
      <c r="IH17" s="8">
        <v>1</v>
      </c>
      <c r="II17" s="8">
        <v>1</v>
      </c>
      <c r="IJ17" s="8">
        <v>1</v>
      </c>
      <c r="IK17" s="8">
        <v>1</v>
      </c>
      <c r="IL17" s="40">
        <v>1</v>
      </c>
      <c r="IM17" s="41"/>
      <c r="IN17" s="41"/>
      <c r="IO17" s="8">
        <v>1</v>
      </c>
      <c r="IP17" s="8">
        <v>1</v>
      </c>
      <c r="IQ17" s="8">
        <v>1</v>
      </c>
      <c r="IR17" s="8">
        <v>1</v>
      </c>
      <c r="IS17" s="40">
        <v>1</v>
      </c>
      <c r="IT17" s="41"/>
      <c r="IU17" s="41"/>
      <c r="IV17" s="8">
        <v>1</v>
      </c>
      <c r="IW17" s="8">
        <v>1</v>
      </c>
      <c r="IX17" s="8">
        <v>1</v>
      </c>
      <c r="IY17" s="40">
        <v>1</v>
      </c>
      <c r="IZ17" s="38"/>
      <c r="JA17" s="41"/>
      <c r="JB17" s="41"/>
      <c r="JC17" s="8">
        <v>1</v>
      </c>
      <c r="JD17" s="8">
        <v>1</v>
      </c>
      <c r="JE17" s="8">
        <v>1</v>
      </c>
      <c r="JF17" s="8">
        <v>1</v>
      </c>
      <c r="JG17" s="40">
        <v>1</v>
      </c>
      <c r="JH17" s="41"/>
      <c r="JI17" s="41"/>
      <c r="JJ17" s="8">
        <v>1</v>
      </c>
      <c r="JK17" s="8">
        <v>1</v>
      </c>
      <c r="JL17" s="8">
        <v>1</v>
      </c>
      <c r="JM17" s="8">
        <v>1</v>
      </c>
      <c r="JN17" s="40">
        <v>1</v>
      </c>
      <c r="JO17" s="41"/>
      <c r="JP17" s="41"/>
      <c r="JQ17" s="8">
        <v>1</v>
      </c>
      <c r="JR17" s="8">
        <v>1</v>
      </c>
      <c r="JS17" s="8">
        <v>1</v>
      </c>
      <c r="JT17" s="8">
        <v>1</v>
      </c>
      <c r="JU17" s="40">
        <v>1</v>
      </c>
      <c r="JV17" s="41"/>
      <c r="JW17" s="41"/>
      <c r="JX17" s="8">
        <v>1</v>
      </c>
      <c r="JY17" s="8">
        <v>1</v>
      </c>
      <c r="JZ17" s="8">
        <v>1</v>
      </c>
      <c r="KA17" s="8">
        <v>1</v>
      </c>
      <c r="KB17" s="40">
        <v>1</v>
      </c>
      <c r="KC17" s="41"/>
      <c r="KD17" s="41"/>
      <c r="KE17" s="8">
        <v>1</v>
      </c>
      <c r="KF17" s="8">
        <v>1</v>
      </c>
      <c r="KG17" s="8">
        <v>1</v>
      </c>
      <c r="KH17" s="8">
        <v>1</v>
      </c>
      <c r="KI17" s="40">
        <v>1</v>
      </c>
      <c r="KJ17" s="41"/>
      <c r="KK17" s="41"/>
      <c r="KL17" s="8">
        <v>1</v>
      </c>
      <c r="KM17" s="8">
        <v>1</v>
      </c>
      <c r="KN17" s="8">
        <v>1</v>
      </c>
      <c r="KO17" s="8">
        <v>1</v>
      </c>
      <c r="KP17" s="8">
        <v>1</v>
      </c>
      <c r="KQ17" s="41"/>
      <c r="KR17" s="41"/>
      <c r="KS17" s="8">
        <v>1</v>
      </c>
      <c r="KT17" s="8">
        <v>1</v>
      </c>
      <c r="KU17" s="8">
        <v>1</v>
      </c>
      <c r="KV17" s="8">
        <v>1</v>
      </c>
      <c r="KW17" s="40">
        <v>1</v>
      </c>
      <c r="KX17" s="41"/>
      <c r="KY17" s="41"/>
      <c r="KZ17" s="8">
        <v>1</v>
      </c>
      <c r="LA17" s="8">
        <v>1</v>
      </c>
      <c r="LB17" s="8">
        <v>1</v>
      </c>
      <c r="LC17" s="8">
        <v>1</v>
      </c>
      <c r="LD17" s="40">
        <v>1</v>
      </c>
      <c r="LE17" s="41"/>
      <c r="LF17" s="41"/>
      <c r="LG17" s="8">
        <v>1</v>
      </c>
      <c r="LH17" s="8">
        <v>1</v>
      </c>
      <c r="LI17" s="8">
        <v>1</v>
      </c>
      <c r="LJ17" s="8">
        <v>1</v>
      </c>
      <c r="LK17" s="40">
        <v>1</v>
      </c>
      <c r="LL17" s="41"/>
      <c r="LM17" s="41"/>
      <c r="LN17" s="8">
        <v>1</v>
      </c>
      <c r="LO17" s="8">
        <v>1</v>
      </c>
      <c r="LP17" s="8">
        <v>1</v>
      </c>
      <c r="LQ17" s="8">
        <v>1</v>
      </c>
      <c r="LR17" s="40">
        <v>1</v>
      </c>
      <c r="LS17" s="41"/>
      <c r="LT17" s="41"/>
      <c r="LU17" s="8">
        <v>1</v>
      </c>
      <c r="LV17" s="8">
        <v>1</v>
      </c>
      <c r="LW17" s="8">
        <v>1</v>
      </c>
      <c r="LX17" s="8">
        <v>1</v>
      </c>
      <c r="LY17" s="40">
        <v>1</v>
      </c>
      <c r="LZ17" s="41"/>
      <c r="MA17" s="41"/>
      <c r="MB17" s="8">
        <v>1</v>
      </c>
      <c r="MC17" s="8">
        <v>1</v>
      </c>
      <c r="MD17" s="8">
        <v>1</v>
      </c>
      <c r="ME17" s="8">
        <v>1</v>
      </c>
      <c r="MF17" s="40">
        <v>1</v>
      </c>
      <c r="MG17" s="41"/>
      <c r="MH17" s="41"/>
      <c r="MI17" s="8">
        <v>1</v>
      </c>
      <c r="MJ17" s="8">
        <v>1</v>
      </c>
      <c r="MK17" s="8">
        <v>1</v>
      </c>
      <c r="ML17" s="8">
        <v>1</v>
      </c>
      <c r="MM17" s="40">
        <v>1</v>
      </c>
      <c r="MN17" s="41"/>
      <c r="MO17" s="41"/>
      <c r="MP17" s="8">
        <v>1</v>
      </c>
      <c r="MQ17" s="8">
        <v>1</v>
      </c>
      <c r="MR17" s="8">
        <v>1</v>
      </c>
      <c r="MS17" s="8">
        <v>1</v>
      </c>
      <c r="MT17" s="40">
        <v>1</v>
      </c>
      <c r="MU17" s="41"/>
      <c r="MV17" s="41"/>
      <c r="MW17" s="8">
        <v>1</v>
      </c>
      <c r="MX17" s="8">
        <v>1</v>
      </c>
      <c r="MY17" s="8">
        <v>1</v>
      </c>
      <c r="MZ17" s="8">
        <v>1</v>
      </c>
      <c r="NA17" s="40">
        <v>1</v>
      </c>
      <c r="NB17" s="41"/>
      <c r="NC17" s="41"/>
      <c r="ND17" s="8">
        <v>1</v>
      </c>
      <c r="NE17" s="8">
        <v>1</v>
      </c>
      <c r="NF17" s="8">
        <v>1</v>
      </c>
      <c r="NG17" s="8">
        <v>1</v>
      </c>
      <c r="NH17" s="40">
        <v>1</v>
      </c>
      <c r="NI17" s="41"/>
      <c r="NJ17" s="41"/>
      <c r="NK17" s="8">
        <v>1</v>
      </c>
      <c r="NL17" s="8">
        <v>1</v>
      </c>
      <c r="NM17" s="8">
        <v>1</v>
      </c>
      <c r="NN17" s="8">
        <v>1</v>
      </c>
      <c r="NO17" s="40">
        <v>1</v>
      </c>
      <c r="NP17" s="40"/>
      <c r="NQ17" s="40"/>
      <c r="NR17" s="8">
        <v>1</v>
      </c>
      <c r="NS17" s="8">
        <v>1</v>
      </c>
      <c r="NT17" s="8">
        <v>1</v>
      </c>
      <c r="NU17" s="8">
        <v>1</v>
      </c>
      <c r="NV17" s="40">
        <v>1</v>
      </c>
      <c r="NW17" s="40"/>
      <c r="NX17" s="40"/>
      <c r="NY17" s="8">
        <v>1</v>
      </c>
      <c r="NZ17" s="8">
        <v>1</v>
      </c>
      <c r="OA17" s="8">
        <v>1</v>
      </c>
      <c r="OB17" s="8"/>
      <c r="OC17" s="40">
        <v>1</v>
      </c>
      <c r="OD17" s="41"/>
      <c r="OE17" s="41"/>
      <c r="OF17" s="8">
        <v>1</v>
      </c>
      <c r="OG17" s="8">
        <v>1</v>
      </c>
      <c r="OH17" s="40">
        <v>1</v>
      </c>
      <c r="OI17" s="32"/>
      <c r="OJ17" s="33"/>
      <c r="OK17" s="33"/>
      <c r="OL17" s="33"/>
      <c r="OM17" s="33"/>
      <c r="ON17" s="33"/>
      <c r="OO17" s="33"/>
      <c r="OP17" s="33"/>
      <c r="OQ17" s="33"/>
      <c r="OR17" s="33"/>
      <c r="OS17" s="33"/>
      <c r="OT17" s="33"/>
      <c r="OU17" s="33"/>
      <c r="OV17" s="33"/>
      <c r="OW17" s="33"/>
      <c r="OX17" s="33"/>
      <c r="OY17" s="33"/>
      <c r="OZ17" s="33"/>
      <c r="PA17" s="33"/>
      <c r="PB17" s="33"/>
      <c r="PC17" s="33"/>
      <c r="PD17" s="33"/>
      <c r="PE17" s="33"/>
      <c r="PF17" s="33"/>
      <c r="PG17" s="33"/>
      <c r="PH17" s="33"/>
      <c r="PI17" s="33"/>
      <c r="PJ17" s="33"/>
      <c r="PK17" s="33"/>
      <c r="PL17" s="33"/>
      <c r="PM17" s="33"/>
      <c r="PN17" s="33"/>
      <c r="PO17" s="33"/>
      <c r="PP17" s="33"/>
      <c r="PQ17" s="33"/>
      <c r="PR17" s="33"/>
      <c r="PS17" s="33"/>
      <c r="PT17" s="33"/>
      <c r="PU17" s="42"/>
      <c r="PV17" s="42"/>
      <c r="PW17" s="42"/>
      <c r="PX17" s="42"/>
      <c r="PY17" s="42"/>
      <c r="PZ17" s="42"/>
      <c r="QA17" s="42"/>
      <c r="QB17" s="42"/>
      <c r="QC17" s="42"/>
      <c r="QD17" s="42"/>
      <c r="QE17" s="42"/>
      <c r="QF17" s="42"/>
      <c r="QG17" s="42"/>
      <c r="QH17" s="42"/>
      <c r="QI17" s="42"/>
    </row>
    <row r="18" spans="1:451" s="43" customFormat="1" ht="18.75" customHeight="1" x14ac:dyDescent="0.35">
      <c r="A18" s="61" t="s">
        <v>511</v>
      </c>
      <c r="B18" s="62" t="s">
        <v>430</v>
      </c>
      <c r="C18" s="44"/>
      <c r="D18" s="8">
        <v>1</v>
      </c>
      <c r="E18" s="8">
        <v>1</v>
      </c>
      <c r="F18" s="8">
        <v>1</v>
      </c>
      <c r="G18" s="8">
        <v>1</v>
      </c>
      <c r="H18" s="8">
        <v>1</v>
      </c>
      <c r="I18" s="7"/>
      <c r="J18" s="7"/>
      <c r="K18" s="8">
        <v>1</v>
      </c>
      <c r="L18" s="8">
        <v>1</v>
      </c>
      <c r="M18" s="8">
        <v>1</v>
      </c>
      <c r="N18" s="8">
        <v>1</v>
      </c>
      <c r="O18" s="8">
        <v>1</v>
      </c>
      <c r="P18" s="7"/>
      <c r="Q18" s="7"/>
      <c r="R18" s="8">
        <v>1</v>
      </c>
      <c r="S18" s="8">
        <v>1</v>
      </c>
      <c r="T18" s="8">
        <v>1</v>
      </c>
      <c r="U18" s="8">
        <v>1</v>
      </c>
      <c r="V18" s="8">
        <v>1</v>
      </c>
      <c r="W18" s="7"/>
      <c r="X18" s="7"/>
      <c r="Y18" s="8">
        <v>1</v>
      </c>
      <c r="Z18" s="8">
        <v>1</v>
      </c>
      <c r="AA18" s="8"/>
      <c r="AB18" s="8">
        <v>1</v>
      </c>
      <c r="AC18" s="8">
        <v>1</v>
      </c>
      <c r="AD18" s="7"/>
      <c r="AE18" s="7"/>
      <c r="AF18" s="8">
        <v>1</v>
      </c>
      <c r="AG18" s="8">
        <v>1</v>
      </c>
      <c r="AH18" s="38"/>
      <c r="AI18" s="8">
        <v>1</v>
      </c>
      <c r="AJ18" s="8">
        <v>1</v>
      </c>
      <c r="AK18" s="8"/>
      <c r="AL18" s="8"/>
      <c r="AM18" s="109">
        <v>1</v>
      </c>
      <c r="AN18" s="109">
        <v>1</v>
      </c>
      <c r="AO18" s="8">
        <v>1</v>
      </c>
      <c r="AP18" s="8">
        <v>1</v>
      </c>
      <c r="AQ18" s="8">
        <v>1</v>
      </c>
      <c r="AR18" s="39"/>
      <c r="AS18" s="39"/>
      <c r="AT18" s="8">
        <v>1</v>
      </c>
      <c r="AU18" s="8">
        <v>1</v>
      </c>
      <c r="AV18" s="8">
        <v>1</v>
      </c>
      <c r="AW18" s="8">
        <v>1</v>
      </c>
      <c r="AX18" s="8">
        <v>1</v>
      </c>
      <c r="AY18" s="39"/>
      <c r="AZ18" s="39"/>
      <c r="BA18" s="39">
        <v>1</v>
      </c>
      <c r="BB18" s="39">
        <v>1</v>
      </c>
      <c r="BC18" s="39">
        <v>1</v>
      </c>
      <c r="BD18" s="39">
        <v>1</v>
      </c>
      <c r="BE18" s="39">
        <v>1</v>
      </c>
      <c r="BF18" s="39"/>
      <c r="BG18" s="39"/>
      <c r="BH18" s="39">
        <v>1</v>
      </c>
      <c r="BI18" s="39">
        <v>1</v>
      </c>
      <c r="BJ18" s="39">
        <v>1</v>
      </c>
      <c r="BK18" s="39">
        <v>1</v>
      </c>
      <c r="BL18" s="39">
        <v>1</v>
      </c>
      <c r="BM18" s="40"/>
      <c r="BN18" s="40"/>
      <c r="BO18" s="8">
        <v>1</v>
      </c>
      <c r="BP18" s="8">
        <v>1</v>
      </c>
      <c r="BQ18" s="8">
        <v>1</v>
      </c>
      <c r="BR18" s="8">
        <v>1</v>
      </c>
      <c r="BS18" s="8">
        <v>1</v>
      </c>
      <c r="BT18" s="40"/>
      <c r="BU18" s="40"/>
      <c r="BV18" s="8">
        <v>1</v>
      </c>
      <c r="BW18" s="8">
        <v>1</v>
      </c>
      <c r="BX18" s="8">
        <v>1</v>
      </c>
      <c r="BY18" s="8">
        <v>1</v>
      </c>
      <c r="BZ18" s="8">
        <v>1</v>
      </c>
      <c r="CA18" s="40"/>
      <c r="CB18" s="40"/>
      <c r="CC18" s="8">
        <v>1</v>
      </c>
      <c r="CD18" s="8">
        <v>1</v>
      </c>
      <c r="CE18" s="8">
        <v>1</v>
      </c>
      <c r="CF18" s="8">
        <v>1</v>
      </c>
      <c r="CG18" s="8">
        <v>1</v>
      </c>
      <c r="CH18" s="40"/>
      <c r="CI18" s="40"/>
      <c r="CJ18" s="8">
        <v>1</v>
      </c>
      <c r="CK18" s="8">
        <v>1</v>
      </c>
      <c r="CL18" s="8">
        <v>1</v>
      </c>
      <c r="CM18" s="8">
        <v>1</v>
      </c>
      <c r="CN18" s="8">
        <v>1</v>
      </c>
      <c r="CO18" s="40"/>
      <c r="CP18" s="40"/>
      <c r="CQ18" s="8">
        <v>1</v>
      </c>
      <c r="CR18" s="8">
        <v>1</v>
      </c>
      <c r="CS18" s="8">
        <v>1</v>
      </c>
      <c r="CT18" s="8">
        <v>1</v>
      </c>
      <c r="CU18" s="8">
        <v>1</v>
      </c>
      <c r="CV18" s="40"/>
      <c r="CW18" s="40"/>
      <c r="CX18" s="8">
        <v>1</v>
      </c>
      <c r="CY18" s="8">
        <v>1</v>
      </c>
      <c r="CZ18" s="8">
        <v>1</v>
      </c>
      <c r="DA18" s="8">
        <v>1</v>
      </c>
      <c r="DB18" s="8">
        <v>1</v>
      </c>
      <c r="DC18" s="40"/>
      <c r="DD18" s="40"/>
      <c r="DE18" s="8">
        <v>1</v>
      </c>
      <c r="DF18" s="8">
        <v>1</v>
      </c>
      <c r="DG18" s="8">
        <v>1</v>
      </c>
      <c r="DH18" s="8">
        <v>1</v>
      </c>
      <c r="DI18" s="8">
        <v>1</v>
      </c>
      <c r="DJ18" s="40"/>
      <c r="DK18" s="40"/>
      <c r="DL18" s="8">
        <v>1</v>
      </c>
      <c r="DM18" s="8">
        <v>1</v>
      </c>
      <c r="DN18" s="8">
        <v>1</v>
      </c>
      <c r="DO18" s="8">
        <v>1</v>
      </c>
      <c r="DP18" s="8">
        <v>1</v>
      </c>
      <c r="DQ18" s="41"/>
      <c r="DR18" s="41"/>
      <c r="DS18" s="8">
        <v>1</v>
      </c>
      <c r="DT18" s="8">
        <v>1</v>
      </c>
      <c r="DU18" s="8">
        <v>1</v>
      </c>
      <c r="DV18" s="8">
        <v>1</v>
      </c>
      <c r="DW18" s="8">
        <v>1</v>
      </c>
      <c r="DX18" s="41"/>
      <c r="DY18" s="41"/>
      <c r="DZ18" s="8">
        <v>1</v>
      </c>
      <c r="EA18" s="8">
        <v>1</v>
      </c>
      <c r="EB18" s="8">
        <v>1</v>
      </c>
      <c r="EC18" s="8">
        <v>1</v>
      </c>
      <c r="ED18" s="8">
        <v>1</v>
      </c>
      <c r="EE18" s="41"/>
      <c r="EF18" s="41"/>
      <c r="EG18" s="8">
        <v>1</v>
      </c>
      <c r="EH18" s="8">
        <v>1</v>
      </c>
      <c r="EI18" s="8">
        <v>1</v>
      </c>
      <c r="EJ18" s="8">
        <v>1</v>
      </c>
      <c r="EK18" s="8">
        <v>1</v>
      </c>
      <c r="EL18" s="41"/>
      <c r="EM18" s="41"/>
      <c r="EN18" s="38"/>
      <c r="EO18" s="8">
        <v>1</v>
      </c>
      <c r="EP18" s="8">
        <v>1</v>
      </c>
      <c r="EQ18" s="8">
        <v>1</v>
      </c>
      <c r="ER18" s="8">
        <v>1</v>
      </c>
      <c r="ES18" s="41"/>
      <c r="ET18" s="41"/>
      <c r="EU18" s="8">
        <v>1</v>
      </c>
      <c r="EV18" s="8">
        <v>1</v>
      </c>
      <c r="EW18" s="8">
        <v>1</v>
      </c>
      <c r="EX18" s="38"/>
      <c r="EY18" s="8">
        <v>1</v>
      </c>
      <c r="EZ18" s="41"/>
      <c r="FA18" s="41"/>
      <c r="FB18" s="8">
        <v>1</v>
      </c>
      <c r="FC18" s="8">
        <v>1</v>
      </c>
      <c r="FD18" s="8">
        <v>1</v>
      </c>
      <c r="FE18" s="38"/>
      <c r="FF18" s="8">
        <v>1</v>
      </c>
      <c r="FG18" s="41"/>
      <c r="FH18" s="41"/>
      <c r="FI18" s="8">
        <v>1</v>
      </c>
      <c r="FJ18" s="8">
        <v>1</v>
      </c>
      <c r="FK18" s="8">
        <v>1</v>
      </c>
      <c r="FL18" s="8">
        <v>1</v>
      </c>
      <c r="FM18" s="40">
        <v>1</v>
      </c>
      <c r="FN18" s="41"/>
      <c r="FO18" s="41"/>
      <c r="FP18" s="8">
        <v>1</v>
      </c>
      <c r="FQ18" s="8">
        <v>1</v>
      </c>
      <c r="FR18" s="8">
        <v>1</v>
      </c>
      <c r="FS18" s="8">
        <v>1</v>
      </c>
      <c r="FT18" s="8">
        <v>1</v>
      </c>
      <c r="FU18" s="41"/>
      <c r="FV18" s="41"/>
      <c r="FW18" s="8">
        <v>1</v>
      </c>
      <c r="FX18" s="8">
        <v>1</v>
      </c>
      <c r="FY18" s="8">
        <v>1</v>
      </c>
      <c r="FZ18" s="38"/>
      <c r="GA18" s="40">
        <v>1</v>
      </c>
      <c r="GB18" s="41"/>
      <c r="GC18" s="41"/>
      <c r="GD18" s="8">
        <v>1</v>
      </c>
      <c r="GE18" s="8">
        <v>1</v>
      </c>
      <c r="GF18" s="8">
        <v>1</v>
      </c>
      <c r="GG18" s="8">
        <v>1</v>
      </c>
      <c r="GH18" s="8">
        <v>1</v>
      </c>
      <c r="GI18" s="41"/>
      <c r="GJ18" s="41"/>
      <c r="GK18" s="38"/>
      <c r="GL18" s="8">
        <v>1</v>
      </c>
      <c r="GM18" s="8">
        <v>1</v>
      </c>
      <c r="GN18" s="8">
        <v>1</v>
      </c>
      <c r="GO18" s="8">
        <v>1</v>
      </c>
      <c r="GP18" s="41"/>
      <c r="GQ18" s="41"/>
      <c r="GR18" s="8">
        <v>1</v>
      </c>
      <c r="GS18" s="8">
        <v>1</v>
      </c>
      <c r="GT18" s="8">
        <v>1</v>
      </c>
      <c r="GU18" s="8">
        <v>1</v>
      </c>
      <c r="GV18" s="8">
        <v>1</v>
      </c>
      <c r="GW18" s="41"/>
      <c r="GX18" s="41"/>
      <c r="GY18" s="8">
        <v>1</v>
      </c>
      <c r="GZ18" s="8">
        <v>1</v>
      </c>
      <c r="HA18" s="8">
        <v>1</v>
      </c>
      <c r="HB18" s="8">
        <v>1</v>
      </c>
      <c r="HC18" s="8">
        <v>1</v>
      </c>
      <c r="HD18" s="41"/>
      <c r="HE18" s="41"/>
      <c r="HF18" s="8">
        <v>1</v>
      </c>
      <c r="HG18" s="8">
        <v>1</v>
      </c>
      <c r="HH18" s="8">
        <v>1</v>
      </c>
      <c r="HI18" s="8">
        <v>1</v>
      </c>
      <c r="HJ18" s="8">
        <v>1</v>
      </c>
      <c r="HK18" s="41"/>
      <c r="HL18" s="41"/>
      <c r="HM18" s="8">
        <v>1</v>
      </c>
      <c r="HN18" s="8">
        <v>1</v>
      </c>
      <c r="HO18" s="8">
        <v>1</v>
      </c>
      <c r="HP18" s="8">
        <v>1</v>
      </c>
      <c r="HQ18" s="8">
        <v>1</v>
      </c>
      <c r="HR18" s="41"/>
      <c r="HS18" s="41"/>
      <c r="HT18" s="38"/>
      <c r="HU18" s="8">
        <v>1</v>
      </c>
      <c r="HV18" s="8">
        <v>1</v>
      </c>
      <c r="HW18" s="8">
        <v>1</v>
      </c>
      <c r="HX18" s="8">
        <v>1</v>
      </c>
      <c r="HY18" s="41"/>
      <c r="HZ18" s="41"/>
      <c r="IA18" s="8">
        <v>1</v>
      </c>
      <c r="IB18" s="8">
        <v>1</v>
      </c>
      <c r="IC18" s="8">
        <v>1</v>
      </c>
      <c r="ID18" s="8">
        <v>1</v>
      </c>
      <c r="IE18" s="8">
        <v>1</v>
      </c>
      <c r="IF18" s="41"/>
      <c r="IG18" s="41"/>
      <c r="IH18" s="8">
        <v>1</v>
      </c>
      <c r="II18" s="8">
        <v>1</v>
      </c>
      <c r="IJ18" s="8">
        <v>1</v>
      </c>
      <c r="IK18" s="8">
        <v>1</v>
      </c>
      <c r="IL18" s="8">
        <v>1</v>
      </c>
      <c r="IM18" s="41"/>
      <c r="IN18" s="41"/>
      <c r="IO18" s="8">
        <v>1</v>
      </c>
      <c r="IP18" s="8">
        <v>1</v>
      </c>
      <c r="IQ18" s="8">
        <v>1</v>
      </c>
      <c r="IR18" s="8">
        <v>1</v>
      </c>
      <c r="IS18" s="8">
        <v>1</v>
      </c>
      <c r="IT18" s="41"/>
      <c r="IU18" s="41"/>
      <c r="IV18" s="8">
        <v>1</v>
      </c>
      <c r="IW18" s="8">
        <v>1</v>
      </c>
      <c r="IX18" s="8">
        <v>1</v>
      </c>
      <c r="IY18" s="8">
        <v>1</v>
      </c>
      <c r="IZ18" s="38"/>
      <c r="JA18" s="41"/>
      <c r="JB18" s="41"/>
      <c r="JC18" s="8">
        <v>1</v>
      </c>
      <c r="JD18" s="8">
        <v>1</v>
      </c>
      <c r="JE18" s="8">
        <v>1</v>
      </c>
      <c r="JF18" s="8">
        <v>1</v>
      </c>
      <c r="JG18" s="8">
        <v>1</v>
      </c>
      <c r="JH18" s="41"/>
      <c r="JI18" s="41"/>
      <c r="JJ18" s="8">
        <v>1</v>
      </c>
      <c r="JK18" s="8">
        <v>1</v>
      </c>
      <c r="JL18" s="8">
        <v>1</v>
      </c>
      <c r="JM18" s="8">
        <v>1</v>
      </c>
      <c r="JN18" s="8">
        <v>1</v>
      </c>
      <c r="JO18" s="41"/>
      <c r="JP18" s="41"/>
      <c r="JQ18" s="8">
        <v>1</v>
      </c>
      <c r="JR18" s="8">
        <v>1</v>
      </c>
      <c r="JS18" s="8">
        <v>1</v>
      </c>
      <c r="JT18" s="8">
        <v>1</v>
      </c>
      <c r="JU18" s="8">
        <v>1</v>
      </c>
      <c r="JV18" s="41"/>
      <c r="JW18" s="41"/>
      <c r="JX18" s="8">
        <v>1</v>
      </c>
      <c r="JY18" s="8">
        <v>1</v>
      </c>
      <c r="JZ18" s="8">
        <v>1</v>
      </c>
      <c r="KA18" s="8">
        <v>1</v>
      </c>
      <c r="KB18" s="8">
        <v>1</v>
      </c>
      <c r="KC18" s="41"/>
      <c r="KD18" s="41"/>
      <c r="KE18" s="8">
        <v>1</v>
      </c>
      <c r="KF18" s="8">
        <v>1</v>
      </c>
      <c r="KG18" s="8">
        <v>1</v>
      </c>
      <c r="KH18" s="8">
        <v>1</v>
      </c>
      <c r="KI18" s="8">
        <v>1</v>
      </c>
      <c r="KJ18" s="41"/>
      <c r="KK18" s="41"/>
      <c r="KL18" s="8">
        <v>1</v>
      </c>
      <c r="KM18" s="8">
        <v>1</v>
      </c>
      <c r="KN18" s="8">
        <v>1</v>
      </c>
      <c r="KO18" s="8">
        <v>1</v>
      </c>
      <c r="KP18" s="8">
        <v>1</v>
      </c>
      <c r="KQ18" s="41"/>
      <c r="KR18" s="41"/>
      <c r="KS18" s="8">
        <v>1</v>
      </c>
      <c r="KT18" s="8">
        <v>1</v>
      </c>
      <c r="KU18" s="8">
        <v>1</v>
      </c>
      <c r="KV18" s="8">
        <v>1</v>
      </c>
      <c r="KW18" s="8">
        <v>1</v>
      </c>
      <c r="KX18" s="41"/>
      <c r="KY18" s="41"/>
      <c r="KZ18" s="8">
        <v>1</v>
      </c>
      <c r="LA18" s="8">
        <v>1</v>
      </c>
      <c r="LB18" s="8">
        <v>1</v>
      </c>
      <c r="LC18" s="8">
        <v>1</v>
      </c>
      <c r="LD18" s="8">
        <v>1</v>
      </c>
      <c r="LE18" s="41"/>
      <c r="LF18" s="41"/>
      <c r="LG18" s="8">
        <v>1</v>
      </c>
      <c r="LH18" s="8">
        <v>1</v>
      </c>
      <c r="LI18" s="8">
        <v>1</v>
      </c>
      <c r="LJ18" s="8">
        <v>1</v>
      </c>
      <c r="LK18" s="8">
        <v>1</v>
      </c>
      <c r="LL18" s="41"/>
      <c r="LM18" s="41"/>
      <c r="LN18" s="8">
        <v>1</v>
      </c>
      <c r="LO18" s="8">
        <v>1</v>
      </c>
      <c r="LP18" s="8">
        <v>1</v>
      </c>
      <c r="LQ18" s="8">
        <v>1</v>
      </c>
      <c r="LR18" s="8">
        <v>1</v>
      </c>
      <c r="LS18" s="41"/>
      <c r="LT18" s="41"/>
      <c r="LU18" s="8">
        <v>1</v>
      </c>
      <c r="LV18" s="8">
        <v>1</v>
      </c>
      <c r="LW18" s="8">
        <v>1</v>
      </c>
      <c r="LX18" s="8">
        <v>1</v>
      </c>
      <c r="LY18" s="8">
        <v>1</v>
      </c>
      <c r="LZ18" s="41"/>
      <c r="MA18" s="41"/>
      <c r="MB18" s="8">
        <v>1</v>
      </c>
      <c r="MC18" s="8">
        <v>1</v>
      </c>
      <c r="MD18" s="8">
        <v>1</v>
      </c>
      <c r="ME18" s="8">
        <v>1</v>
      </c>
      <c r="MF18" s="8">
        <v>1</v>
      </c>
      <c r="MG18" s="41"/>
      <c r="MH18" s="41"/>
      <c r="MI18" s="8">
        <v>1</v>
      </c>
      <c r="MJ18" s="8">
        <v>1</v>
      </c>
      <c r="MK18" s="8">
        <v>1</v>
      </c>
      <c r="ML18" s="8">
        <v>1</v>
      </c>
      <c r="MM18" s="8">
        <v>1</v>
      </c>
      <c r="MN18" s="41"/>
      <c r="MO18" s="41"/>
      <c r="MP18" s="8">
        <v>1</v>
      </c>
      <c r="MQ18" s="8">
        <v>1</v>
      </c>
      <c r="MR18" s="8">
        <v>1</v>
      </c>
      <c r="MS18" s="8">
        <v>1</v>
      </c>
      <c r="MT18" s="8">
        <v>1</v>
      </c>
      <c r="MU18" s="41"/>
      <c r="MV18" s="41"/>
      <c r="MW18" s="8">
        <v>1</v>
      </c>
      <c r="MX18" s="8">
        <v>1</v>
      </c>
      <c r="MY18" s="8">
        <v>1</v>
      </c>
      <c r="MZ18" s="8">
        <v>1</v>
      </c>
      <c r="NA18" s="8">
        <v>1</v>
      </c>
      <c r="NB18" s="41"/>
      <c r="NC18" s="41"/>
      <c r="ND18" s="8">
        <v>1</v>
      </c>
      <c r="NE18" s="8">
        <v>1</v>
      </c>
      <c r="NF18" s="8">
        <v>1</v>
      </c>
      <c r="NG18" s="8">
        <v>1</v>
      </c>
      <c r="NH18" s="8">
        <v>1</v>
      </c>
      <c r="NI18" s="41"/>
      <c r="NJ18" s="41"/>
      <c r="NK18" s="8">
        <v>1</v>
      </c>
      <c r="NL18" s="8">
        <v>1</v>
      </c>
      <c r="NM18" s="8">
        <v>1</v>
      </c>
      <c r="NN18" s="8">
        <v>1</v>
      </c>
      <c r="NO18" s="8">
        <v>1</v>
      </c>
      <c r="NP18" s="40"/>
      <c r="NQ18" s="40"/>
      <c r="NR18" s="8">
        <v>1</v>
      </c>
      <c r="NS18" s="8">
        <v>1</v>
      </c>
      <c r="NT18" s="8">
        <v>1</v>
      </c>
      <c r="NU18" s="8">
        <v>1</v>
      </c>
      <c r="NV18" s="8">
        <v>1</v>
      </c>
      <c r="NW18" s="40"/>
      <c r="NX18" s="40"/>
      <c r="NY18" s="8">
        <v>1</v>
      </c>
      <c r="NZ18" s="8">
        <v>1</v>
      </c>
      <c r="OA18" s="8">
        <v>1</v>
      </c>
      <c r="OB18" s="8"/>
      <c r="OC18" s="8">
        <v>1</v>
      </c>
      <c r="OD18" s="41"/>
      <c r="OE18" s="41"/>
      <c r="OF18" s="8">
        <v>1</v>
      </c>
      <c r="OG18" s="8">
        <v>1</v>
      </c>
      <c r="OH18" s="8">
        <v>1</v>
      </c>
      <c r="OI18" s="32"/>
      <c r="OJ18" s="33"/>
      <c r="OK18" s="33"/>
      <c r="OL18" s="33"/>
      <c r="OM18" s="33"/>
      <c r="ON18" s="33"/>
      <c r="OO18" s="33"/>
      <c r="OP18" s="33"/>
      <c r="OQ18" s="33"/>
      <c r="OR18" s="33"/>
      <c r="OS18" s="33"/>
      <c r="OT18" s="33"/>
      <c r="OU18" s="33"/>
      <c r="OV18" s="33"/>
      <c r="OW18" s="33"/>
      <c r="OX18" s="33"/>
      <c r="OY18" s="33"/>
      <c r="OZ18" s="33"/>
      <c r="PA18" s="33"/>
      <c r="PB18" s="33"/>
      <c r="PC18" s="33"/>
      <c r="PD18" s="33"/>
      <c r="PE18" s="33"/>
      <c r="PF18" s="33"/>
      <c r="PG18" s="33"/>
      <c r="PH18" s="33"/>
      <c r="PI18" s="33"/>
      <c r="PJ18" s="33"/>
      <c r="PK18" s="33"/>
      <c r="PL18" s="33"/>
      <c r="PM18" s="33"/>
      <c r="PN18" s="33"/>
      <c r="PO18" s="33"/>
      <c r="PP18" s="33"/>
      <c r="PQ18" s="33"/>
      <c r="PR18" s="33"/>
      <c r="PS18" s="33"/>
      <c r="PT18" s="33"/>
      <c r="PU18" s="42"/>
      <c r="PV18" s="42"/>
      <c r="PW18" s="42"/>
      <c r="PX18" s="42"/>
      <c r="PY18" s="42"/>
      <c r="PZ18" s="42"/>
      <c r="QA18" s="42"/>
      <c r="QB18" s="42"/>
      <c r="QC18" s="42"/>
      <c r="QD18" s="42"/>
      <c r="QE18" s="42"/>
      <c r="QF18" s="42"/>
      <c r="QG18" s="42"/>
      <c r="QH18" s="42"/>
      <c r="QI18" s="42"/>
    </row>
    <row r="19" spans="1:451" s="43" customFormat="1" ht="21" x14ac:dyDescent="0.3">
      <c r="A19" s="61" t="s">
        <v>512</v>
      </c>
      <c r="B19" s="62" t="s">
        <v>431</v>
      </c>
      <c r="C19" s="45"/>
      <c r="D19" s="8">
        <v>1</v>
      </c>
      <c r="E19" s="8">
        <v>1</v>
      </c>
      <c r="F19" s="8">
        <v>1</v>
      </c>
      <c r="G19" s="8">
        <v>1</v>
      </c>
      <c r="H19" s="8">
        <v>1</v>
      </c>
      <c r="I19" s="46"/>
      <c r="J19" s="46"/>
      <c r="K19" s="8">
        <v>1</v>
      </c>
      <c r="L19" s="8">
        <v>1</v>
      </c>
      <c r="M19" s="8">
        <v>1</v>
      </c>
      <c r="N19" s="8">
        <v>1</v>
      </c>
      <c r="O19" s="8">
        <v>1</v>
      </c>
      <c r="P19" s="46"/>
      <c r="Q19" s="46"/>
      <c r="R19" s="8">
        <v>1</v>
      </c>
      <c r="S19" s="8">
        <v>1</v>
      </c>
      <c r="T19" s="8">
        <v>1</v>
      </c>
      <c r="U19" s="8">
        <v>1</v>
      </c>
      <c r="V19" s="8">
        <v>1</v>
      </c>
      <c r="W19" s="46"/>
      <c r="X19" s="46"/>
      <c r="Y19" s="8">
        <v>1</v>
      </c>
      <c r="Z19" s="8">
        <v>1</v>
      </c>
      <c r="AA19" s="8"/>
      <c r="AB19" s="8">
        <v>1</v>
      </c>
      <c r="AC19" s="8">
        <v>1</v>
      </c>
      <c r="AD19" s="46"/>
      <c r="AE19" s="46"/>
      <c r="AF19" s="8">
        <v>0</v>
      </c>
      <c r="AG19" s="8">
        <v>0</v>
      </c>
      <c r="AH19" s="38"/>
      <c r="AI19" s="8">
        <v>0</v>
      </c>
      <c r="AJ19" s="8">
        <v>0</v>
      </c>
      <c r="AK19" s="8"/>
      <c r="AL19" s="8"/>
      <c r="AM19" s="109">
        <v>1</v>
      </c>
      <c r="AN19" s="109">
        <v>1</v>
      </c>
      <c r="AO19" s="8">
        <v>1</v>
      </c>
      <c r="AP19" s="8">
        <v>1</v>
      </c>
      <c r="AQ19" s="8">
        <v>1</v>
      </c>
      <c r="AR19" s="39"/>
      <c r="AS19" s="39"/>
      <c r="AT19" s="8">
        <v>1</v>
      </c>
      <c r="AU19" s="8">
        <v>1</v>
      </c>
      <c r="AV19" s="8">
        <v>1</v>
      </c>
      <c r="AW19" s="8">
        <v>1</v>
      </c>
      <c r="AX19" s="8">
        <v>1</v>
      </c>
      <c r="AY19" s="39"/>
      <c r="AZ19" s="39"/>
      <c r="BA19" s="39">
        <v>1</v>
      </c>
      <c r="BB19" s="39">
        <v>1</v>
      </c>
      <c r="BC19" s="39">
        <v>1</v>
      </c>
      <c r="BD19" s="39">
        <v>1</v>
      </c>
      <c r="BE19" s="39">
        <v>1</v>
      </c>
      <c r="BF19" s="39"/>
      <c r="BG19" s="39"/>
      <c r="BH19" s="39">
        <v>1</v>
      </c>
      <c r="BI19" s="39">
        <v>1</v>
      </c>
      <c r="BJ19" s="39">
        <v>1</v>
      </c>
      <c r="BK19" s="39">
        <v>1</v>
      </c>
      <c r="BL19" s="39">
        <v>1</v>
      </c>
      <c r="BM19" s="40"/>
      <c r="BN19" s="40"/>
      <c r="BO19" s="8">
        <v>1</v>
      </c>
      <c r="BP19" s="8">
        <v>1</v>
      </c>
      <c r="BQ19" s="8">
        <v>1</v>
      </c>
      <c r="BR19" s="8">
        <v>1</v>
      </c>
      <c r="BS19" s="8">
        <v>1</v>
      </c>
      <c r="BT19" s="40"/>
      <c r="BU19" s="40"/>
      <c r="BV19" s="8">
        <v>1</v>
      </c>
      <c r="BW19" s="8">
        <v>1</v>
      </c>
      <c r="BX19" s="8">
        <v>1</v>
      </c>
      <c r="BY19" s="8">
        <v>1</v>
      </c>
      <c r="BZ19" s="8">
        <v>1</v>
      </c>
      <c r="CA19" s="40"/>
      <c r="CB19" s="40"/>
      <c r="CC19" s="8">
        <v>1</v>
      </c>
      <c r="CD19" s="8">
        <v>1</v>
      </c>
      <c r="CE19" s="8">
        <v>1</v>
      </c>
      <c r="CF19" s="8">
        <v>1</v>
      </c>
      <c r="CG19" s="8">
        <v>1</v>
      </c>
      <c r="CH19" s="40"/>
      <c r="CI19" s="40"/>
      <c r="CJ19" s="8">
        <v>1</v>
      </c>
      <c r="CK19" s="8">
        <v>1</v>
      </c>
      <c r="CL19" s="8">
        <v>1</v>
      </c>
      <c r="CM19" s="8">
        <v>1</v>
      </c>
      <c r="CN19" s="8">
        <v>1</v>
      </c>
      <c r="CO19" s="40"/>
      <c r="CP19" s="40"/>
      <c r="CQ19" s="8">
        <v>1</v>
      </c>
      <c r="CR19" s="8">
        <v>1</v>
      </c>
      <c r="CS19" s="8">
        <v>1</v>
      </c>
      <c r="CT19" s="8">
        <v>1</v>
      </c>
      <c r="CU19" s="8">
        <v>1</v>
      </c>
      <c r="CV19" s="40"/>
      <c r="CW19" s="40"/>
      <c r="CX19" s="8">
        <v>1</v>
      </c>
      <c r="CY19" s="8">
        <v>1</v>
      </c>
      <c r="CZ19" s="8">
        <v>1</v>
      </c>
      <c r="DA19" s="8">
        <v>1</v>
      </c>
      <c r="DB19" s="8">
        <v>1</v>
      </c>
      <c r="DC19" s="40"/>
      <c r="DD19" s="40"/>
      <c r="DE19" s="8">
        <v>1</v>
      </c>
      <c r="DF19" s="8">
        <v>1</v>
      </c>
      <c r="DG19" s="8">
        <v>1</v>
      </c>
      <c r="DH19" s="8">
        <v>1</v>
      </c>
      <c r="DI19" s="8">
        <v>1</v>
      </c>
      <c r="DJ19" s="40"/>
      <c r="DK19" s="40"/>
      <c r="DL19" s="8">
        <v>1</v>
      </c>
      <c r="DM19" s="8">
        <v>1</v>
      </c>
      <c r="DN19" s="8">
        <v>1</v>
      </c>
      <c r="DO19" s="8">
        <v>1</v>
      </c>
      <c r="DP19" s="8">
        <v>1</v>
      </c>
      <c r="DQ19" s="41"/>
      <c r="DR19" s="41"/>
      <c r="DS19" s="8">
        <v>1</v>
      </c>
      <c r="DT19" s="8">
        <v>1</v>
      </c>
      <c r="DU19" s="8">
        <v>1</v>
      </c>
      <c r="DV19" s="8">
        <v>1</v>
      </c>
      <c r="DW19" s="8">
        <v>1</v>
      </c>
      <c r="DX19" s="41"/>
      <c r="DY19" s="41"/>
      <c r="DZ19" s="8">
        <v>1</v>
      </c>
      <c r="EA19" s="8">
        <v>1</v>
      </c>
      <c r="EB19" s="8">
        <v>1</v>
      </c>
      <c r="EC19" s="8">
        <v>1</v>
      </c>
      <c r="ED19" s="8">
        <v>1</v>
      </c>
      <c r="EE19" s="41"/>
      <c r="EF19" s="41"/>
      <c r="EG19" s="8">
        <v>1</v>
      </c>
      <c r="EH19" s="8">
        <v>1</v>
      </c>
      <c r="EI19" s="8">
        <v>1</v>
      </c>
      <c r="EJ19" s="8">
        <v>1</v>
      </c>
      <c r="EK19" s="8">
        <v>1</v>
      </c>
      <c r="EL19" s="41"/>
      <c r="EM19" s="41"/>
      <c r="EN19" s="38"/>
      <c r="EO19" s="8">
        <v>1</v>
      </c>
      <c r="EP19" s="8">
        <v>1</v>
      </c>
      <c r="EQ19" s="8">
        <v>1</v>
      </c>
      <c r="ER19" s="8">
        <v>1</v>
      </c>
      <c r="ES19" s="41"/>
      <c r="ET19" s="41"/>
      <c r="EU19" s="8">
        <v>1</v>
      </c>
      <c r="EV19" s="8">
        <v>1</v>
      </c>
      <c r="EW19" s="8">
        <v>1</v>
      </c>
      <c r="EX19" s="38"/>
      <c r="EY19" s="8">
        <v>1</v>
      </c>
      <c r="EZ19" s="41"/>
      <c r="FA19" s="41"/>
      <c r="FB19" s="8">
        <v>1</v>
      </c>
      <c r="FC19" s="8">
        <v>1</v>
      </c>
      <c r="FD19" s="8">
        <v>1</v>
      </c>
      <c r="FE19" s="38"/>
      <c r="FF19" s="8">
        <v>1</v>
      </c>
      <c r="FG19" s="41"/>
      <c r="FH19" s="41"/>
      <c r="FI19" s="8">
        <v>1</v>
      </c>
      <c r="FJ19" s="8">
        <v>1</v>
      </c>
      <c r="FK19" s="8">
        <v>1</v>
      </c>
      <c r="FL19" s="8">
        <v>1</v>
      </c>
      <c r="FM19" s="8">
        <v>1</v>
      </c>
      <c r="FN19" s="41"/>
      <c r="FO19" s="41"/>
      <c r="FP19" s="8">
        <v>1</v>
      </c>
      <c r="FQ19" s="8">
        <v>1</v>
      </c>
      <c r="FR19" s="8">
        <v>1</v>
      </c>
      <c r="FS19" s="8">
        <v>1</v>
      </c>
      <c r="FT19" s="8">
        <v>1</v>
      </c>
      <c r="FU19" s="41"/>
      <c r="FV19" s="41"/>
      <c r="FW19" s="8">
        <v>1</v>
      </c>
      <c r="FX19" s="8">
        <v>1</v>
      </c>
      <c r="FY19" s="8">
        <v>1</v>
      </c>
      <c r="FZ19" s="38"/>
      <c r="GA19" s="8">
        <v>1</v>
      </c>
      <c r="GB19" s="41"/>
      <c r="GC19" s="41"/>
      <c r="GD19" s="8">
        <v>1</v>
      </c>
      <c r="GE19" s="8">
        <v>1</v>
      </c>
      <c r="GF19" s="8">
        <v>1</v>
      </c>
      <c r="GG19" s="8">
        <v>1</v>
      </c>
      <c r="GH19" s="8">
        <v>1</v>
      </c>
      <c r="GI19" s="41"/>
      <c r="GJ19" s="41"/>
      <c r="GK19" s="38"/>
      <c r="GL19" s="8">
        <v>1</v>
      </c>
      <c r="GM19" s="8">
        <v>1</v>
      </c>
      <c r="GN19" s="8">
        <v>1</v>
      </c>
      <c r="GO19" s="8">
        <v>1</v>
      </c>
      <c r="GP19" s="41"/>
      <c r="GQ19" s="41"/>
      <c r="GR19" s="8">
        <v>1</v>
      </c>
      <c r="GS19" s="8">
        <v>1</v>
      </c>
      <c r="GT19" s="8">
        <v>1</v>
      </c>
      <c r="GU19" s="8">
        <v>1</v>
      </c>
      <c r="GV19" s="8">
        <v>1</v>
      </c>
      <c r="GW19" s="41"/>
      <c r="GX19" s="41"/>
      <c r="GY19" s="8">
        <v>1</v>
      </c>
      <c r="GZ19" s="8">
        <v>1</v>
      </c>
      <c r="HA19" s="8">
        <v>1</v>
      </c>
      <c r="HB19" s="8">
        <v>1</v>
      </c>
      <c r="HC19" s="8">
        <v>1</v>
      </c>
      <c r="HD19" s="41"/>
      <c r="HE19" s="41"/>
      <c r="HF19" s="8">
        <v>1</v>
      </c>
      <c r="HG19" s="8">
        <v>1</v>
      </c>
      <c r="HH19" s="8">
        <v>1</v>
      </c>
      <c r="HI19" s="8">
        <v>1</v>
      </c>
      <c r="HJ19" s="8">
        <v>1</v>
      </c>
      <c r="HK19" s="41"/>
      <c r="HL19" s="41"/>
      <c r="HM19" s="8">
        <v>1</v>
      </c>
      <c r="HN19" s="8">
        <v>1</v>
      </c>
      <c r="HO19" s="8">
        <v>1</v>
      </c>
      <c r="HP19" s="8">
        <v>1</v>
      </c>
      <c r="HQ19" s="8">
        <v>1</v>
      </c>
      <c r="HR19" s="41"/>
      <c r="HS19" s="41"/>
      <c r="HT19" s="38"/>
      <c r="HU19" s="8">
        <v>1</v>
      </c>
      <c r="HV19" s="8">
        <v>1</v>
      </c>
      <c r="HW19" s="8">
        <v>1</v>
      </c>
      <c r="HX19" s="8">
        <v>1</v>
      </c>
      <c r="HY19" s="41"/>
      <c r="HZ19" s="41"/>
      <c r="IA19" s="8">
        <v>1</v>
      </c>
      <c r="IB19" s="8">
        <v>1</v>
      </c>
      <c r="IC19" s="8">
        <v>1</v>
      </c>
      <c r="ID19" s="8">
        <v>1</v>
      </c>
      <c r="IE19" s="8">
        <v>1</v>
      </c>
      <c r="IF19" s="41"/>
      <c r="IG19" s="41"/>
      <c r="IH19" s="8">
        <v>1</v>
      </c>
      <c r="II19" s="8">
        <v>1</v>
      </c>
      <c r="IJ19" s="8">
        <v>1</v>
      </c>
      <c r="IK19" s="8">
        <v>1</v>
      </c>
      <c r="IL19" s="8">
        <v>1</v>
      </c>
      <c r="IM19" s="41"/>
      <c r="IN19" s="41"/>
      <c r="IO19" s="8">
        <v>1</v>
      </c>
      <c r="IP19" s="8">
        <v>1</v>
      </c>
      <c r="IQ19" s="8">
        <v>1</v>
      </c>
      <c r="IR19" s="8">
        <v>1</v>
      </c>
      <c r="IS19" s="8">
        <v>1</v>
      </c>
      <c r="IT19" s="41"/>
      <c r="IU19" s="41"/>
      <c r="IV19" s="8">
        <v>1</v>
      </c>
      <c r="IW19" s="8">
        <v>1</v>
      </c>
      <c r="IX19" s="8">
        <v>1</v>
      </c>
      <c r="IY19" s="8">
        <v>1</v>
      </c>
      <c r="IZ19" s="38"/>
      <c r="JA19" s="41"/>
      <c r="JB19" s="41"/>
      <c r="JC19" s="8">
        <v>1</v>
      </c>
      <c r="JD19" s="8">
        <v>1</v>
      </c>
      <c r="JE19" s="8">
        <v>1</v>
      </c>
      <c r="JF19" s="8">
        <v>1</v>
      </c>
      <c r="JG19" s="8">
        <v>1</v>
      </c>
      <c r="JH19" s="41"/>
      <c r="JI19" s="41"/>
      <c r="JJ19" s="8">
        <v>1</v>
      </c>
      <c r="JK19" s="8">
        <v>1</v>
      </c>
      <c r="JL19" s="8">
        <v>1</v>
      </c>
      <c r="JM19" s="8">
        <v>1</v>
      </c>
      <c r="JN19" s="8">
        <v>1</v>
      </c>
      <c r="JO19" s="41"/>
      <c r="JP19" s="41"/>
      <c r="JQ19" s="8">
        <v>1</v>
      </c>
      <c r="JR19" s="8">
        <v>1</v>
      </c>
      <c r="JS19" s="8">
        <v>1</v>
      </c>
      <c r="JT19" s="8">
        <v>1</v>
      </c>
      <c r="JU19" s="8">
        <v>1</v>
      </c>
      <c r="JV19" s="41"/>
      <c r="JW19" s="41"/>
      <c r="JX19" s="8">
        <v>1</v>
      </c>
      <c r="JY19" s="8">
        <v>1</v>
      </c>
      <c r="JZ19" s="8">
        <v>1</v>
      </c>
      <c r="KA19" s="8">
        <v>1</v>
      </c>
      <c r="KB19" s="8">
        <v>1</v>
      </c>
      <c r="KC19" s="41"/>
      <c r="KD19" s="41"/>
      <c r="KE19" s="8">
        <v>1</v>
      </c>
      <c r="KF19" s="8">
        <v>1</v>
      </c>
      <c r="KG19" s="8">
        <v>1</v>
      </c>
      <c r="KH19" s="8">
        <v>1</v>
      </c>
      <c r="KI19" s="8">
        <v>1</v>
      </c>
      <c r="KJ19" s="41"/>
      <c r="KK19" s="41"/>
      <c r="KL19" s="8">
        <v>1</v>
      </c>
      <c r="KM19" s="8">
        <v>1</v>
      </c>
      <c r="KN19" s="8">
        <v>1</v>
      </c>
      <c r="KO19" s="8">
        <v>1</v>
      </c>
      <c r="KP19" s="8">
        <v>1</v>
      </c>
      <c r="KQ19" s="41"/>
      <c r="KR19" s="41"/>
      <c r="KS19" s="8">
        <v>1</v>
      </c>
      <c r="KT19" s="8">
        <v>1</v>
      </c>
      <c r="KU19" s="8">
        <v>1</v>
      </c>
      <c r="KV19" s="8">
        <v>1</v>
      </c>
      <c r="KW19" s="8">
        <v>1</v>
      </c>
      <c r="KX19" s="41"/>
      <c r="KY19" s="41"/>
      <c r="KZ19" s="8">
        <v>1</v>
      </c>
      <c r="LA19" s="8">
        <v>1</v>
      </c>
      <c r="LB19" s="8">
        <v>1</v>
      </c>
      <c r="LC19" s="8">
        <v>1</v>
      </c>
      <c r="LD19" s="8">
        <v>1</v>
      </c>
      <c r="LE19" s="41"/>
      <c r="LF19" s="41"/>
      <c r="LG19" s="8">
        <v>1</v>
      </c>
      <c r="LH19" s="8">
        <v>1</v>
      </c>
      <c r="LI19" s="8">
        <v>1</v>
      </c>
      <c r="LJ19" s="8">
        <v>1</v>
      </c>
      <c r="LK19" s="8">
        <v>1</v>
      </c>
      <c r="LL19" s="41"/>
      <c r="LM19" s="41"/>
      <c r="LN19" s="8">
        <v>1</v>
      </c>
      <c r="LO19" s="8">
        <v>1</v>
      </c>
      <c r="LP19" s="8">
        <v>1</v>
      </c>
      <c r="LQ19" s="8">
        <v>1</v>
      </c>
      <c r="LR19" s="8">
        <v>1</v>
      </c>
      <c r="LS19" s="41"/>
      <c r="LT19" s="41"/>
      <c r="LU19" s="8">
        <v>1</v>
      </c>
      <c r="LV19" s="8">
        <v>1</v>
      </c>
      <c r="LW19" s="8">
        <v>1</v>
      </c>
      <c r="LX19" s="8">
        <v>1</v>
      </c>
      <c r="LY19" s="8">
        <v>1</v>
      </c>
      <c r="LZ19" s="41"/>
      <c r="MA19" s="41"/>
      <c r="MB19" s="8">
        <v>1</v>
      </c>
      <c r="MC19" s="8">
        <v>1</v>
      </c>
      <c r="MD19" s="8">
        <v>1</v>
      </c>
      <c r="ME19" s="8">
        <v>1</v>
      </c>
      <c r="MF19" s="8">
        <v>1</v>
      </c>
      <c r="MG19" s="41"/>
      <c r="MH19" s="41"/>
      <c r="MI19" s="8">
        <v>1</v>
      </c>
      <c r="MJ19" s="8">
        <v>1</v>
      </c>
      <c r="MK19" s="8">
        <v>1</v>
      </c>
      <c r="ML19" s="8">
        <v>1</v>
      </c>
      <c r="MM19" s="8">
        <v>1</v>
      </c>
      <c r="MN19" s="41"/>
      <c r="MO19" s="41"/>
      <c r="MP19" s="8">
        <v>1</v>
      </c>
      <c r="MQ19" s="8">
        <v>1</v>
      </c>
      <c r="MR19" s="8">
        <v>1</v>
      </c>
      <c r="MS19" s="8">
        <v>1</v>
      </c>
      <c r="MT19" s="8">
        <v>1</v>
      </c>
      <c r="MU19" s="41"/>
      <c r="MV19" s="41"/>
      <c r="MW19" s="8">
        <v>1</v>
      </c>
      <c r="MX19" s="8">
        <v>1</v>
      </c>
      <c r="MY19" s="8">
        <v>1</v>
      </c>
      <c r="MZ19" s="8">
        <v>1</v>
      </c>
      <c r="NA19" s="8">
        <v>1</v>
      </c>
      <c r="NB19" s="41"/>
      <c r="NC19" s="41"/>
      <c r="ND19" s="8">
        <v>1</v>
      </c>
      <c r="NE19" s="8">
        <v>1</v>
      </c>
      <c r="NF19" s="8">
        <v>1</v>
      </c>
      <c r="NG19" s="8">
        <v>1</v>
      </c>
      <c r="NH19" s="8">
        <v>1</v>
      </c>
      <c r="NI19" s="41"/>
      <c r="NJ19" s="41"/>
      <c r="NK19" s="8">
        <v>1</v>
      </c>
      <c r="NL19" s="8">
        <v>1</v>
      </c>
      <c r="NM19" s="8">
        <v>1</v>
      </c>
      <c r="NN19" s="8">
        <v>1</v>
      </c>
      <c r="NO19" s="8">
        <v>1</v>
      </c>
      <c r="NP19" s="40"/>
      <c r="NQ19" s="40"/>
      <c r="NR19" s="8">
        <v>1</v>
      </c>
      <c r="NS19" s="8">
        <v>1</v>
      </c>
      <c r="NT19" s="8">
        <v>1</v>
      </c>
      <c r="NU19" s="8">
        <v>1</v>
      </c>
      <c r="NV19" s="8">
        <v>1</v>
      </c>
      <c r="NW19" s="40"/>
      <c r="NX19" s="40"/>
      <c r="NY19" s="8">
        <v>1</v>
      </c>
      <c r="NZ19" s="8">
        <v>1</v>
      </c>
      <c r="OA19" s="8">
        <v>1</v>
      </c>
      <c r="OB19" s="8"/>
      <c r="OC19" s="8">
        <v>1</v>
      </c>
      <c r="OD19" s="41"/>
      <c r="OE19" s="41"/>
      <c r="OF19" s="8">
        <v>1</v>
      </c>
      <c r="OG19" s="8">
        <v>1</v>
      </c>
      <c r="OH19" s="8">
        <v>1</v>
      </c>
      <c r="OI19" s="32"/>
      <c r="OJ19" s="33"/>
      <c r="OK19" s="33"/>
      <c r="OL19" s="33"/>
      <c r="OM19" s="33"/>
      <c r="ON19" s="33"/>
      <c r="OO19" s="33"/>
      <c r="OP19" s="33"/>
      <c r="OQ19" s="33"/>
      <c r="OR19" s="33"/>
      <c r="OS19" s="33"/>
      <c r="OT19" s="33"/>
      <c r="OU19" s="33"/>
      <c r="OV19" s="33"/>
      <c r="OW19" s="33"/>
      <c r="OX19" s="33"/>
      <c r="OY19" s="33"/>
      <c r="OZ19" s="33"/>
      <c r="PA19" s="33"/>
      <c r="PB19" s="33"/>
      <c r="PC19" s="33"/>
      <c r="PD19" s="33"/>
      <c r="PE19" s="33"/>
      <c r="PF19" s="33"/>
      <c r="PG19" s="33"/>
      <c r="PH19" s="33"/>
      <c r="PI19" s="33"/>
      <c r="PJ19" s="33"/>
      <c r="PK19" s="33"/>
      <c r="PL19" s="33"/>
      <c r="PM19" s="33"/>
      <c r="PN19" s="33"/>
      <c r="PO19" s="33"/>
      <c r="PP19" s="33"/>
      <c r="PQ19" s="33"/>
      <c r="PR19" s="33"/>
      <c r="PS19" s="33"/>
      <c r="PT19" s="33"/>
      <c r="PU19" s="42"/>
      <c r="PV19" s="42"/>
      <c r="PW19" s="42"/>
      <c r="PX19" s="42"/>
      <c r="PY19" s="42"/>
      <c r="PZ19" s="42"/>
      <c r="QA19" s="42"/>
      <c r="QB19" s="42"/>
      <c r="QC19" s="42"/>
      <c r="QD19" s="42"/>
      <c r="QE19" s="42"/>
      <c r="QF19" s="42"/>
      <c r="QG19" s="42"/>
      <c r="QH19" s="42"/>
      <c r="QI19" s="42"/>
    </row>
    <row r="20" spans="1:451" s="43" customFormat="1" ht="21" x14ac:dyDescent="0.3">
      <c r="A20" s="61" t="s">
        <v>513</v>
      </c>
      <c r="B20" s="62" t="s">
        <v>432</v>
      </c>
      <c r="C20" s="45"/>
      <c r="D20" s="8">
        <v>1</v>
      </c>
      <c r="E20" s="8">
        <v>1</v>
      </c>
      <c r="F20" s="8">
        <v>1</v>
      </c>
      <c r="G20" s="8">
        <v>1</v>
      </c>
      <c r="H20" s="8">
        <v>1</v>
      </c>
      <c r="I20" s="46"/>
      <c r="J20" s="46"/>
      <c r="K20" s="8">
        <v>1</v>
      </c>
      <c r="L20" s="8">
        <v>1</v>
      </c>
      <c r="M20" s="8">
        <v>1</v>
      </c>
      <c r="N20" s="8">
        <v>1</v>
      </c>
      <c r="O20" s="8">
        <v>0</v>
      </c>
      <c r="P20" s="46"/>
      <c r="Q20" s="46"/>
      <c r="R20" s="8">
        <v>1</v>
      </c>
      <c r="S20" s="8">
        <v>1</v>
      </c>
      <c r="T20" s="8">
        <v>1</v>
      </c>
      <c r="U20" s="8">
        <v>1</v>
      </c>
      <c r="V20" s="8">
        <v>1</v>
      </c>
      <c r="W20" s="46"/>
      <c r="X20" s="46"/>
      <c r="Y20" s="8">
        <v>0</v>
      </c>
      <c r="Z20" s="8">
        <v>0</v>
      </c>
      <c r="AA20" s="8"/>
      <c r="AB20" s="8">
        <v>0</v>
      </c>
      <c r="AC20" s="8">
        <v>0</v>
      </c>
      <c r="AD20" s="46"/>
      <c r="AE20" s="46"/>
      <c r="AF20" s="8">
        <v>1</v>
      </c>
      <c r="AG20" s="8">
        <v>1</v>
      </c>
      <c r="AH20" s="38"/>
      <c r="AI20" s="8">
        <v>1</v>
      </c>
      <c r="AJ20" s="8">
        <v>1</v>
      </c>
      <c r="AK20" s="8"/>
      <c r="AL20" s="8"/>
      <c r="AM20" s="109">
        <v>1</v>
      </c>
      <c r="AN20" s="109">
        <v>1</v>
      </c>
      <c r="AO20" s="8">
        <v>1</v>
      </c>
      <c r="AP20" s="8">
        <v>1</v>
      </c>
      <c r="AQ20" s="8">
        <v>0</v>
      </c>
      <c r="AR20" s="39"/>
      <c r="AS20" s="39"/>
      <c r="AT20" s="8">
        <v>1</v>
      </c>
      <c r="AU20" s="8">
        <v>1</v>
      </c>
      <c r="AV20" s="8">
        <v>1</v>
      </c>
      <c r="AW20" s="8">
        <v>1</v>
      </c>
      <c r="AX20" s="8">
        <v>1</v>
      </c>
      <c r="AY20" s="39"/>
      <c r="AZ20" s="39"/>
      <c r="BA20" s="39">
        <v>1</v>
      </c>
      <c r="BB20" s="39">
        <v>1</v>
      </c>
      <c r="BC20" s="39">
        <v>1</v>
      </c>
      <c r="BD20" s="39">
        <v>1</v>
      </c>
      <c r="BE20" s="8">
        <v>0</v>
      </c>
      <c r="BF20" s="39"/>
      <c r="BG20" s="39"/>
      <c r="BH20" s="39">
        <v>1</v>
      </c>
      <c r="BI20" s="39">
        <v>1</v>
      </c>
      <c r="BJ20" s="39">
        <v>1</v>
      </c>
      <c r="BK20" s="39">
        <v>1</v>
      </c>
      <c r="BL20" s="39">
        <v>1</v>
      </c>
      <c r="BM20" s="40"/>
      <c r="BN20" s="40"/>
      <c r="BO20" s="8">
        <v>1</v>
      </c>
      <c r="BP20" s="8">
        <v>1</v>
      </c>
      <c r="BQ20" s="8">
        <v>1</v>
      </c>
      <c r="BR20" s="8">
        <v>1</v>
      </c>
      <c r="BS20" s="8">
        <v>0</v>
      </c>
      <c r="BT20" s="40"/>
      <c r="BU20" s="40"/>
      <c r="BV20" s="8">
        <v>1</v>
      </c>
      <c r="BW20" s="8">
        <v>1</v>
      </c>
      <c r="BX20" s="8">
        <v>1</v>
      </c>
      <c r="BY20" s="8">
        <v>1</v>
      </c>
      <c r="BZ20" s="8">
        <v>1</v>
      </c>
      <c r="CA20" s="40"/>
      <c r="CB20" s="40"/>
      <c r="CC20" s="8">
        <v>0</v>
      </c>
      <c r="CD20" s="8">
        <v>0</v>
      </c>
      <c r="CE20" s="8">
        <v>0</v>
      </c>
      <c r="CF20" s="8">
        <v>0</v>
      </c>
      <c r="CG20" s="8">
        <v>0</v>
      </c>
      <c r="CH20" s="40"/>
      <c r="CI20" s="40"/>
      <c r="CJ20" s="8">
        <v>1</v>
      </c>
      <c r="CK20" s="8">
        <v>1</v>
      </c>
      <c r="CL20" s="8">
        <v>1</v>
      </c>
      <c r="CM20" s="8">
        <v>1</v>
      </c>
      <c r="CN20" s="8">
        <v>1</v>
      </c>
      <c r="CO20" s="40"/>
      <c r="CP20" s="40"/>
      <c r="CQ20" s="8">
        <v>1</v>
      </c>
      <c r="CR20" s="8">
        <v>1</v>
      </c>
      <c r="CS20" s="8">
        <v>1</v>
      </c>
      <c r="CT20" s="8">
        <v>1</v>
      </c>
      <c r="CU20" s="8">
        <v>1</v>
      </c>
      <c r="CV20" s="40"/>
      <c r="CW20" s="40"/>
      <c r="CX20" s="8">
        <v>1</v>
      </c>
      <c r="CY20" s="8">
        <v>1</v>
      </c>
      <c r="CZ20" s="8">
        <v>1</v>
      </c>
      <c r="DA20" s="8">
        <v>1</v>
      </c>
      <c r="DB20" s="8">
        <v>0</v>
      </c>
      <c r="DC20" s="40"/>
      <c r="DD20" s="40"/>
      <c r="DE20" s="8">
        <v>1</v>
      </c>
      <c r="DF20" s="8">
        <v>1</v>
      </c>
      <c r="DG20" s="8">
        <v>1</v>
      </c>
      <c r="DH20" s="8">
        <v>1</v>
      </c>
      <c r="DI20" s="8">
        <v>1</v>
      </c>
      <c r="DJ20" s="40"/>
      <c r="DK20" s="40"/>
      <c r="DL20" s="8">
        <v>1</v>
      </c>
      <c r="DM20" s="8">
        <v>1</v>
      </c>
      <c r="DN20" s="8">
        <v>1</v>
      </c>
      <c r="DO20" s="8">
        <v>1</v>
      </c>
      <c r="DP20" s="8">
        <v>1</v>
      </c>
      <c r="DQ20" s="41"/>
      <c r="DR20" s="41"/>
      <c r="DS20" s="8">
        <v>1</v>
      </c>
      <c r="DT20" s="8">
        <v>1</v>
      </c>
      <c r="DU20" s="8">
        <v>1</v>
      </c>
      <c r="DV20" s="8">
        <v>1</v>
      </c>
      <c r="DW20" s="8">
        <v>1</v>
      </c>
      <c r="DX20" s="41"/>
      <c r="DY20" s="41"/>
      <c r="DZ20" s="8">
        <v>1</v>
      </c>
      <c r="EA20" s="8">
        <v>1</v>
      </c>
      <c r="EB20" s="8">
        <v>1</v>
      </c>
      <c r="EC20" s="8">
        <v>1</v>
      </c>
      <c r="ED20" s="8">
        <v>1</v>
      </c>
      <c r="EE20" s="41"/>
      <c r="EF20" s="41"/>
      <c r="EG20" s="8">
        <v>1</v>
      </c>
      <c r="EH20" s="8">
        <v>1</v>
      </c>
      <c r="EI20" s="8">
        <v>1</v>
      </c>
      <c r="EJ20" s="8">
        <v>1</v>
      </c>
      <c r="EK20" s="8">
        <v>1</v>
      </c>
      <c r="EL20" s="41"/>
      <c r="EM20" s="41"/>
      <c r="EN20" s="38"/>
      <c r="EO20" s="8">
        <v>1</v>
      </c>
      <c r="EP20" s="8">
        <v>1</v>
      </c>
      <c r="EQ20" s="8">
        <v>1</v>
      </c>
      <c r="ER20" s="8">
        <v>1</v>
      </c>
      <c r="ES20" s="41"/>
      <c r="ET20" s="41"/>
      <c r="EU20" s="8">
        <v>1</v>
      </c>
      <c r="EV20" s="8">
        <v>1</v>
      </c>
      <c r="EW20" s="8">
        <v>1</v>
      </c>
      <c r="EX20" s="38"/>
      <c r="EY20" s="8">
        <v>1</v>
      </c>
      <c r="EZ20" s="41"/>
      <c r="FA20" s="41"/>
      <c r="FB20" s="8">
        <v>1</v>
      </c>
      <c r="FC20" s="8">
        <v>1</v>
      </c>
      <c r="FD20" s="8">
        <v>1</v>
      </c>
      <c r="FE20" s="38"/>
      <c r="FF20" s="8">
        <v>1</v>
      </c>
      <c r="FG20" s="41"/>
      <c r="FH20" s="41"/>
      <c r="FI20" s="8">
        <v>1</v>
      </c>
      <c r="FJ20" s="8">
        <v>1</v>
      </c>
      <c r="FK20" s="8">
        <v>1</v>
      </c>
      <c r="FL20" s="8">
        <v>1</v>
      </c>
      <c r="FM20" s="8">
        <v>1</v>
      </c>
      <c r="FN20" s="41"/>
      <c r="FO20" s="41"/>
      <c r="FP20" s="8">
        <v>1</v>
      </c>
      <c r="FQ20" s="8">
        <v>1</v>
      </c>
      <c r="FR20" s="8">
        <v>1</v>
      </c>
      <c r="FS20" s="8">
        <v>1</v>
      </c>
      <c r="FT20" s="8">
        <v>1</v>
      </c>
      <c r="FU20" s="41"/>
      <c r="FV20" s="41"/>
      <c r="FW20" s="8">
        <v>1</v>
      </c>
      <c r="FX20" s="8">
        <v>1</v>
      </c>
      <c r="FY20" s="8">
        <v>1</v>
      </c>
      <c r="FZ20" s="38"/>
      <c r="GA20" s="8">
        <v>1</v>
      </c>
      <c r="GB20" s="41"/>
      <c r="GC20" s="41"/>
      <c r="GD20" s="8">
        <v>1</v>
      </c>
      <c r="GE20" s="8">
        <v>1</v>
      </c>
      <c r="GF20" s="8">
        <v>1</v>
      </c>
      <c r="GG20" s="8">
        <v>1</v>
      </c>
      <c r="GH20" s="8">
        <v>1</v>
      </c>
      <c r="GI20" s="41"/>
      <c r="GJ20" s="41"/>
      <c r="GK20" s="38"/>
      <c r="GL20" s="8">
        <v>1</v>
      </c>
      <c r="GM20" s="8">
        <v>1</v>
      </c>
      <c r="GN20" s="8">
        <v>1</v>
      </c>
      <c r="GO20" s="8">
        <v>1</v>
      </c>
      <c r="GP20" s="41"/>
      <c r="GQ20" s="41"/>
      <c r="GR20" s="8">
        <v>1</v>
      </c>
      <c r="GS20" s="8">
        <v>1</v>
      </c>
      <c r="GT20" s="8">
        <v>1</v>
      </c>
      <c r="GU20" s="8">
        <v>1</v>
      </c>
      <c r="GV20" s="8">
        <v>1</v>
      </c>
      <c r="GW20" s="41"/>
      <c r="GX20" s="41"/>
      <c r="GY20" s="8">
        <v>1</v>
      </c>
      <c r="GZ20" s="8">
        <v>1</v>
      </c>
      <c r="HA20" s="8">
        <v>1</v>
      </c>
      <c r="HB20" s="8">
        <v>1</v>
      </c>
      <c r="HC20" s="8">
        <v>1</v>
      </c>
      <c r="HD20" s="41"/>
      <c r="HE20" s="41"/>
      <c r="HF20" s="8">
        <v>1</v>
      </c>
      <c r="HG20" s="8">
        <v>1</v>
      </c>
      <c r="HH20" s="8">
        <v>1</v>
      </c>
      <c r="HI20" s="8">
        <v>1</v>
      </c>
      <c r="HJ20" s="8">
        <v>1</v>
      </c>
      <c r="HK20" s="41"/>
      <c r="HL20" s="41"/>
      <c r="HM20" s="8">
        <v>1</v>
      </c>
      <c r="HN20" s="8">
        <v>1</v>
      </c>
      <c r="HO20" s="8">
        <v>1</v>
      </c>
      <c r="HP20" s="8">
        <v>1</v>
      </c>
      <c r="HQ20" s="8">
        <v>1</v>
      </c>
      <c r="HR20" s="41"/>
      <c r="HS20" s="41"/>
      <c r="HT20" s="38"/>
      <c r="HU20" s="8">
        <v>1</v>
      </c>
      <c r="HV20" s="8">
        <v>1</v>
      </c>
      <c r="HW20" s="8">
        <v>1</v>
      </c>
      <c r="HX20" s="8">
        <v>1</v>
      </c>
      <c r="HY20" s="41"/>
      <c r="HZ20" s="41"/>
      <c r="IA20" s="8">
        <v>1</v>
      </c>
      <c r="IB20" s="8">
        <v>1</v>
      </c>
      <c r="IC20" s="8">
        <v>1</v>
      </c>
      <c r="ID20" s="8">
        <v>1</v>
      </c>
      <c r="IE20" s="8">
        <v>1</v>
      </c>
      <c r="IF20" s="41"/>
      <c r="IG20" s="41"/>
      <c r="IH20" s="8">
        <v>1</v>
      </c>
      <c r="II20" s="8">
        <v>1</v>
      </c>
      <c r="IJ20" s="8">
        <v>1</v>
      </c>
      <c r="IK20" s="8">
        <v>1</v>
      </c>
      <c r="IL20" s="8">
        <v>1</v>
      </c>
      <c r="IM20" s="41"/>
      <c r="IN20" s="41"/>
      <c r="IO20" s="8">
        <v>1</v>
      </c>
      <c r="IP20" s="8">
        <v>1</v>
      </c>
      <c r="IQ20" s="8">
        <v>1</v>
      </c>
      <c r="IR20" s="8">
        <v>1</v>
      </c>
      <c r="IS20" s="8">
        <v>1</v>
      </c>
      <c r="IT20" s="41"/>
      <c r="IU20" s="41"/>
      <c r="IV20" s="8">
        <v>1</v>
      </c>
      <c r="IW20" s="8">
        <v>1</v>
      </c>
      <c r="IX20" s="8">
        <v>1</v>
      </c>
      <c r="IY20" s="8">
        <v>1</v>
      </c>
      <c r="IZ20" s="38"/>
      <c r="JA20" s="41"/>
      <c r="JB20" s="41"/>
      <c r="JC20" s="8">
        <v>1</v>
      </c>
      <c r="JD20" s="8">
        <v>1</v>
      </c>
      <c r="JE20" s="8">
        <v>1</v>
      </c>
      <c r="JF20" s="8">
        <v>1</v>
      </c>
      <c r="JG20" s="8">
        <v>1</v>
      </c>
      <c r="JH20" s="41"/>
      <c r="JI20" s="41"/>
      <c r="JJ20" s="8">
        <v>1</v>
      </c>
      <c r="JK20" s="8">
        <v>1</v>
      </c>
      <c r="JL20" s="8">
        <v>1</v>
      </c>
      <c r="JM20" s="8">
        <v>1</v>
      </c>
      <c r="JN20" s="8">
        <v>1</v>
      </c>
      <c r="JO20" s="41"/>
      <c r="JP20" s="41"/>
      <c r="JQ20" s="8">
        <v>1</v>
      </c>
      <c r="JR20" s="8">
        <v>1</v>
      </c>
      <c r="JS20" s="8">
        <v>1</v>
      </c>
      <c r="JT20" s="8">
        <v>1</v>
      </c>
      <c r="JU20" s="8">
        <v>1</v>
      </c>
      <c r="JV20" s="41"/>
      <c r="JW20" s="41"/>
      <c r="JX20" s="8">
        <v>1</v>
      </c>
      <c r="JY20" s="8">
        <v>1</v>
      </c>
      <c r="JZ20" s="8">
        <v>1</v>
      </c>
      <c r="KA20" s="8">
        <v>1</v>
      </c>
      <c r="KB20" s="8">
        <v>1</v>
      </c>
      <c r="KC20" s="41"/>
      <c r="KD20" s="41"/>
      <c r="KE20" s="8">
        <v>1</v>
      </c>
      <c r="KF20" s="8">
        <v>1</v>
      </c>
      <c r="KG20" s="8">
        <v>1</v>
      </c>
      <c r="KH20" s="8">
        <v>1</v>
      </c>
      <c r="KI20" s="8">
        <v>1</v>
      </c>
      <c r="KJ20" s="41"/>
      <c r="KK20" s="41"/>
      <c r="KL20" s="8">
        <v>1</v>
      </c>
      <c r="KM20" s="8">
        <v>1</v>
      </c>
      <c r="KN20" s="8">
        <v>1</v>
      </c>
      <c r="KO20" s="8">
        <v>1</v>
      </c>
      <c r="KP20" s="8">
        <v>1</v>
      </c>
      <c r="KQ20" s="41"/>
      <c r="KR20" s="41"/>
      <c r="KS20" s="8">
        <v>1</v>
      </c>
      <c r="KT20" s="8">
        <v>1</v>
      </c>
      <c r="KU20" s="8">
        <v>1</v>
      </c>
      <c r="KV20" s="8">
        <v>1</v>
      </c>
      <c r="KW20" s="8">
        <v>1</v>
      </c>
      <c r="KX20" s="41"/>
      <c r="KY20" s="41"/>
      <c r="KZ20" s="8">
        <v>1</v>
      </c>
      <c r="LA20" s="8">
        <v>1</v>
      </c>
      <c r="LB20" s="8">
        <v>1</v>
      </c>
      <c r="LC20" s="8">
        <v>1</v>
      </c>
      <c r="LD20" s="8">
        <v>1</v>
      </c>
      <c r="LE20" s="41"/>
      <c r="LF20" s="41"/>
      <c r="LG20" s="8">
        <v>1</v>
      </c>
      <c r="LH20" s="8">
        <v>1</v>
      </c>
      <c r="LI20" s="8">
        <v>1</v>
      </c>
      <c r="LJ20" s="8">
        <v>1</v>
      </c>
      <c r="LK20" s="8">
        <v>1</v>
      </c>
      <c r="LL20" s="41"/>
      <c r="LM20" s="41"/>
      <c r="LN20" s="8">
        <v>1</v>
      </c>
      <c r="LO20" s="8">
        <v>1</v>
      </c>
      <c r="LP20" s="8">
        <v>1</v>
      </c>
      <c r="LQ20" s="8">
        <v>1</v>
      </c>
      <c r="LR20" s="8">
        <v>1</v>
      </c>
      <c r="LS20" s="41"/>
      <c r="LT20" s="41"/>
      <c r="LU20" s="8">
        <v>1</v>
      </c>
      <c r="LV20" s="8">
        <v>1</v>
      </c>
      <c r="LW20" s="8">
        <v>1</v>
      </c>
      <c r="LX20" s="8">
        <v>1</v>
      </c>
      <c r="LY20" s="8">
        <v>1</v>
      </c>
      <c r="LZ20" s="41"/>
      <c r="MA20" s="41"/>
      <c r="MB20" s="8">
        <v>1</v>
      </c>
      <c r="MC20" s="8">
        <v>1</v>
      </c>
      <c r="MD20" s="8">
        <v>1</v>
      </c>
      <c r="ME20" s="8">
        <v>1</v>
      </c>
      <c r="MF20" s="8">
        <v>1</v>
      </c>
      <c r="MG20" s="41"/>
      <c r="MH20" s="41"/>
      <c r="MI20" s="8">
        <v>1</v>
      </c>
      <c r="MJ20" s="8">
        <v>1</v>
      </c>
      <c r="MK20" s="8">
        <v>1</v>
      </c>
      <c r="ML20" s="8">
        <v>1</v>
      </c>
      <c r="MM20" s="8">
        <v>1</v>
      </c>
      <c r="MN20" s="41"/>
      <c r="MO20" s="41"/>
      <c r="MP20" s="8">
        <v>1</v>
      </c>
      <c r="MQ20" s="8">
        <v>1</v>
      </c>
      <c r="MR20" s="8">
        <v>1</v>
      </c>
      <c r="MS20" s="8">
        <v>1</v>
      </c>
      <c r="MT20" s="8">
        <v>1</v>
      </c>
      <c r="MU20" s="41"/>
      <c r="MV20" s="41"/>
      <c r="MW20" s="8">
        <v>1</v>
      </c>
      <c r="MX20" s="8">
        <v>1</v>
      </c>
      <c r="MY20" s="8">
        <v>1</v>
      </c>
      <c r="MZ20" s="8">
        <v>1</v>
      </c>
      <c r="NA20" s="8">
        <v>1</v>
      </c>
      <c r="NB20" s="41"/>
      <c r="NC20" s="41"/>
      <c r="ND20" s="8">
        <v>1</v>
      </c>
      <c r="NE20" s="8">
        <v>1</v>
      </c>
      <c r="NF20" s="8">
        <v>1</v>
      </c>
      <c r="NG20" s="8">
        <v>1</v>
      </c>
      <c r="NH20" s="8">
        <v>1</v>
      </c>
      <c r="NI20" s="41"/>
      <c r="NJ20" s="41"/>
      <c r="NK20" s="8">
        <v>1</v>
      </c>
      <c r="NL20" s="8">
        <v>1</v>
      </c>
      <c r="NM20" s="8">
        <v>1</v>
      </c>
      <c r="NN20" s="8">
        <v>1</v>
      </c>
      <c r="NO20" s="8">
        <v>1</v>
      </c>
      <c r="NP20" s="40"/>
      <c r="NQ20" s="40"/>
      <c r="NR20" s="8">
        <v>1</v>
      </c>
      <c r="NS20" s="8">
        <v>1</v>
      </c>
      <c r="NT20" s="8">
        <v>1</v>
      </c>
      <c r="NU20" s="8">
        <v>1</v>
      </c>
      <c r="NV20" s="8">
        <v>1</v>
      </c>
      <c r="NW20" s="40"/>
      <c r="NX20" s="40"/>
      <c r="NY20" s="8">
        <v>1</v>
      </c>
      <c r="NZ20" s="8">
        <v>1</v>
      </c>
      <c r="OA20" s="8">
        <v>1</v>
      </c>
      <c r="OB20" s="8"/>
      <c r="OC20" s="8">
        <v>1</v>
      </c>
      <c r="OD20" s="41"/>
      <c r="OE20" s="41"/>
      <c r="OF20" s="8">
        <v>1</v>
      </c>
      <c r="OG20" s="8">
        <v>1</v>
      </c>
      <c r="OH20" s="8">
        <v>1</v>
      </c>
      <c r="OI20" s="32"/>
      <c r="OJ20" s="33"/>
      <c r="OK20" s="33"/>
      <c r="OL20" s="33"/>
      <c r="OM20" s="33"/>
      <c r="ON20" s="33"/>
      <c r="OO20" s="33"/>
      <c r="OP20" s="33"/>
      <c r="OQ20" s="33"/>
      <c r="OR20" s="33"/>
      <c r="OS20" s="33"/>
      <c r="OT20" s="33"/>
      <c r="OU20" s="33"/>
      <c r="OV20" s="33"/>
      <c r="OW20" s="33"/>
      <c r="OX20" s="33"/>
      <c r="OY20" s="33"/>
      <c r="OZ20" s="33"/>
      <c r="PA20" s="33"/>
      <c r="PB20" s="33"/>
      <c r="PC20" s="33"/>
      <c r="PD20" s="33"/>
      <c r="PE20" s="33"/>
      <c r="PF20" s="33"/>
      <c r="PG20" s="33"/>
      <c r="PH20" s="33"/>
      <c r="PI20" s="33"/>
      <c r="PJ20" s="33"/>
      <c r="PK20" s="33"/>
      <c r="PL20" s="33"/>
      <c r="PM20" s="33"/>
      <c r="PN20" s="33"/>
      <c r="PO20" s="33"/>
      <c r="PP20" s="33"/>
      <c r="PQ20" s="33"/>
      <c r="PR20" s="33"/>
      <c r="PS20" s="33"/>
      <c r="PT20" s="33"/>
      <c r="PU20" s="42"/>
      <c r="PV20" s="42"/>
      <c r="PW20" s="42"/>
      <c r="PX20" s="42"/>
      <c r="PY20" s="42"/>
      <c r="PZ20" s="42"/>
      <c r="QA20" s="42"/>
      <c r="QB20" s="42"/>
      <c r="QC20" s="42"/>
      <c r="QD20" s="42"/>
      <c r="QE20" s="42"/>
      <c r="QF20" s="42"/>
      <c r="QG20" s="42"/>
      <c r="QH20" s="42"/>
      <c r="QI20" s="42"/>
    </row>
    <row r="21" spans="1:451" s="43" customFormat="1" ht="21" x14ac:dyDescent="0.3">
      <c r="A21" s="61" t="s">
        <v>514</v>
      </c>
      <c r="B21" s="62" t="s">
        <v>432</v>
      </c>
      <c r="C21" s="45"/>
      <c r="D21" s="8">
        <v>1</v>
      </c>
      <c r="E21" s="8">
        <v>1</v>
      </c>
      <c r="F21" s="8">
        <v>1</v>
      </c>
      <c r="G21" s="8">
        <v>1</v>
      </c>
      <c r="H21" s="8">
        <v>1</v>
      </c>
      <c r="I21" s="46"/>
      <c r="J21" s="46"/>
      <c r="K21" s="8">
        <v>1</v>
      </c>
      <c r="L21" s="8">
        <v>1</v>
      </c>
      <c r="M21" s="8">
        <v>1</v>
      </c>
      <c r="N21" s="8">
        <v>1</v>
      </c>
      <c r="O21" s="8">
        <v>1</v>
      </c>
      <c r="P21" s="46"/>
      <c r="Q21" s="46"/>
      <c r="R21" s="8">
        <v>1</v>
      </c>
      <c r="S21" s="8">
        <v>1</v>
      </c>
      <c r="T21" s="8">
        <v>1</v>
      </c>
      <c r="U21" s="8">
        <v>1</v>
      </c>
      <c r="V21" s="8">
        <v>1</v>
      </c>
      <c r="W21" s="46"/>
      <c r="X21" s="46"/>
      <c r="Y21" s="8">
        <v>1</v>
      </c>
      <c r="Z21" s="8">
        <v>1</v>
      </c>
      <c r="AA21" s="8"/>
      <c r="AB21" s="8">
        <v>0.5</v>
      </c>
      <c r="AC21" s="8">
        <v>0</v>
      </c>
      <c r="AD21" s="46"/>
      <c r="AE21" s="46"/>
      <c r="AF21" s="8">
        <v>0</v>
      </c>
      <c r="AG21" s="8">
        <v>0</v>
      </c>
      <c r="AH21" s="38"/>
      <c r="AI21" s="8">
        <v>0</v>
      </c>
      <c r="AJ21" s="8">
        <v>0</v>
      </c>
      <c r="AK21" s="8"/>
      <c r="AL21" s="8"/>
      <c r="AM21" s="109">
        <v>1</v>
      </c>
      <c r="AN21" s="109">
        <v>1</v>
      </c>
      <c r="AO21" s="8">
        <v>1</v>
      </c>
      <c r="AP21" s="8">
        <v>1</v>
      </c>
      <c r="AQ21" s="8">
        <v>1</v>
      </c>
      <c r="AR21" s="39"/>
      <c r="AS21" s="39"/>
      <c r="AT21" s="8">
        <v>1</v>
      </c>
      <c r="AU21" s="8">
        <v>1</v>
      </c>
      <c r="AV21" s="8">
        <v>1</v>
      </c>
      <c r="AW21" s="8">
        <v>1</v>
      </c>
      <c r="AX21" s="8">
        <v>1</v>
      </c>
      <c r="AY21" s="39"/>
      <c r="AZ21" s="39"/>
      <c r="BA21" s="39">
        <v>1</v>
      </c>
      <c r="BB21" s="39">
        <v>1</v>
      </c>
      <c r="BC21" s="39">
        <v>1</v>
      </c>
      <c r="BD21" s="39">
        <v>1</v>
      </c>
      <c r="BE21" s="39">
        <v>1</v>
      </c>
      <c r="BF21" s="39"/>
      <c r="BG21" s="39"/>
      <c r="BH21" s="39">
        <v>1</v>
      </c>
      <c r="BI21" s="39">
        <v>1</v>
      </c>
      <c r="BJ21" s="39">
        <v>1</v>
      </c>
      <c r="BK21" s="39">
        <v>1</v>
      </c>
      <c r="BL21" s="39">
        <v>1</v>
      </c>
      <c r="BM21" s="40"/>
      <c r="BN21" s="40"/>
      <c r="BO21" s="8">
        <v>1</v>
      </c>
      <c r="BP21" s="8">
        <v>1</v>
      </c>
      <c r="BQ21" s="8">
        <v>1</v>
      </c>
      <c r="BR21" s="8">
        <v>1</v>
      </c>
      <c r="BS21" s="8">
        <v>1</v>
      </c>
      <c r="BT21" s="40"/>
      <c r="BU21" s="40"/>
      <c r="BV21" s="8">
        <v>1</v>
      </c>
      <c r="BW21" s="8">
        <v>1</v>
      </c>
      <c r="BX21" s="8">
        <v>1</v>
      </c>
      <c r="BY21" s="8">
        <v>1</v>
      </c>
      <c r="BZ21" s="8">
        <v>1</v>
      </c>
      <c r="CA21" s="40"/>
      <c r="CB21" s="40"/>
      <c r="CC21" s="8">
        <v>1</v>
      </c>
      <c r="CD21" s="8">
        <v>1</v>
      </c>
      <c r="CE21" s="8">
        <v>1</v>
      </c>
      <c r="CF21" s="8">
        <v>1</v>
      </c>
      <c r="CG21" s="8">
        <v>1</v>
      </c>
      <c r="CH21" s="40"/>
      <c r="CI21" s="40"/>
      <c r="CJ21" s="8">
        <v>1</v>
      </c>
      <c r="CK21" s="8">
        <v>1</v>
      </c>
      <c r="CL21" s="8">
        <v>1</v>
      </c>
      <c r="CM21" s="8">
        <v>1</v>
      </c>
      <c r="CN21" s="8">
        <v>1</v>
      </c>
      <c r="CO21" s="40"/>
      <c r="CP21" s="40"/>
      <c r="CQ21" s="8">
        <v>1</v>
      </c>
      <c r="CR21" s="8">
        <v>1</v>
      </c>
      <c r="CS21" s="8">
        <v>1</v>
      </c>
      <c r="CT21" s="8">
        <v>1</v>
      </c>
      <c r="CU21" s="8">
        <v>1</v>
      </c>
      <c r="CV21" s="40"/>
      <c r="CW21" s="40"/>
      <c r="CX21" s="8">
        <v>1</v>
      </c>
      <c r="CY21" s="8">
        <v>1</v>
      </c>
      <c r="CZ21" s="8">
        <v>1</v>
      </c>
      <c r="DA21" s="8">
        <v>1</v>
      </c>
      <c r="DB21" s="8">
        <v>1</v>
      </c>
      <c r="DC21" s="40"/>
      <c r="DD21" s="40"/>
      <c r="DE21" s="8">
        <v>1</v>
      </c>
      <c r="DF21" s="8">
        <v>1</v>
      </c>
      <c r="DG21" s="8">
        <v>1</v>
      </c>
      <c r="DH21" s="8">
        <v>1</v>
      </c>
      <c r="DI21" s="8">
        <v>1</v>
      </c>
      <c r="DJ21" s="40"/>
      <c r="DK21" s="40"/>
      <c r="DL21" s="8">
        <v>1</v>
      </c>
      <c r="DM21" s="8">
        <v>1</v>
      </c>
      <c r="DN21" s="8">
        <v>1</v>
      </c>
      <c r="DO21" s="8">
        <v>1</v>
      </c>
      <c r="DP21" s="8">
        <v>1</v>
      </c>
      <c r="DQ21" s="41"/>
      <c r="DR21" s="41"/>
      <c r="DS21" s="8">
        <v>1</v>
      </c>
      <c r="DT21" s="8">
        <v>1</v>
      </c>
      <c r="DU21" s="8">
        <v>1</v>
      </c>
      <c r="DV21" s="8">
        <v>1</v>
      </c>
      <c r="DW21" s="8">
        <v>1</v>
      </c>
      <c r="DX21" s="41"/>
      <c r="DY21" s="41"/>
      <c r="DZ21" s="8">
        <v>1</v>
      </c>
      <c r="EA21" s="8">
        <v>1</v>
      </c>
      <c r="EB21" s="8">
        <v>1</v>
      </c>
      <c r="EC21" s="8">
        <v>1</v>
      </c>
      <c r="ED21" s="8">
        <v>1</v>
      </c>
      <c r="EE21" s="41"/>
      <c r="EF21" s="41"/>
      <c r="EG21" s="8">
        <v>1</v>
      </c>
      <c r="EH21" s="8">
        <v>1</v>
      </c>
      <c r="EI21" s="8">
        <v>1</v>
      </c>
      <c r="EJ21" s="8">
        <v>1</v>
      </c>
      <c r="EK21" s="8">
        <v>1</v>
      </c>
      <c r="EL21" s="41"/>
      <c r="EM21" s="41"/>
      <c r="EN21" s="38"/>
      <c r="EO21" s="8">
        <v>1</v>
      </c>
      <c r="EP21" s="8">
        <v>1</v>
      </c>
      <c r="EQ21" s="8">
        <v>1</v>
      </c>
      <c r="ER21" s="8">
        <v>1</v>
      </c>
      <c r="ES21" s="41"/>
      <c r="ET21" s="41"/>
      <c r="EU21" s="8">
        <v>1</v>
      </c>
      <c r="EV21" s="8">
        <v>1</v>
      </c>
      <c r="EW21" s="8">
        <v>1</v>
      </c>
      <c r="EX21" s="38"/>
      <c r="EY21" s="8">
        <v>0</v>
      </c>
      <c r="EZ21" s="41"/>
      <c r="FA21" s="41"/>
      <c r="FB21" s="8">
        <v>1</v>
      </c>
      <c r="FC21" s="8">
        <v>1</v>
      </c>
      <c r="FD21" s="8">
        <v>1</v>
      </c>
      <c r="FE21" s="38"/>
      <c r="FF21" s="8">
        <v>0</v>
      </c>
      <c r="FG21" s="41"/>
      <c r="FH21" s="41"/>
      <c r="FI21" s="8">
        <v>1</v>
      </c>
      <c r="FJ21" s="8">
        <v>1</v>
      </c>
      <c r="FK21" s="8">
        <v>1</v>
      </c>
      <c r="FL21" s="8">
        <v>1</v>
      </c>
      <c r="FM21" s="8">
        <v>1</v>
      </c>
      <c r="FN21" s="41"/>
      <c r="FO21" s="41"/>
      <c r="FP21" s="8">
        <v>1</v>
      </c>
      <c r="FQ21" s="8">
        <v>1</v>
      </c>
      <c r="FR21" s="8">
        <v>1</v>
      </c>
      <c r="FS21" s="8">
        <v>1</v>
      </c>
      <c r="FT21" s="8">
        <v>1</v>
      </c>
      <c r="FU21" s="41"/>
      <c r="FV21" s="41"/>
      <c r="FW21" s="8">
        <v>1</v>
      </c>
      <c r="FX21" s="8">
        <v>1</v>
      </c>
      <c r="FY21" s="8">
        <v>1</v>
      </c>
      <c r="FZ21" s="38"/>
      <c r="GA21" s="8">
        <v>0</v>
      </c>
      <c r="GB21" s="41"/>
      <c r="GC21" s="41"/>
      <c r="GD21" s="8">
        <v>1</v>
      </c>
      <c r="GE21" s="8">
        <v>1</v>
      </c>
      <c r="GF21" s="8">
        <v>1</v>
      </c>
      <c r="GG21" s="8">
        <v>1</v>
      </c>
      <c r="GH21" s="8">
        <v>1</v>
      </c>
      <c r="GI21" s="41"/>
      <c r="GJ21" s="41"/>
      <c r="GK21" s="38"/>
      <c r="GL21" s="8">
        <v>1</v>
      </c>
      <c r="GM21" s="8">
        <v>1</v>
      </c>
      <c r="GN21" s="8">
        <v>1</v>
      </c>
      <c r="GO21" s="8">
        <v>1</v>
      </c>
      <c r="GP21" s="41"/>
      <c r="GQ21" s="41"/>
      <c r="GR21" s="8">
        <v>1</v>
      </c>
      <c r="GS21" s="8">
        <v>1</v>
      </c>
      <c r="GT21" s="8">
        <v>1</v>
      </c>
      <c r="GU21" s="8">
        <v>1</v>
      </c>
      <c r="GV21" s="8">
        <v>1</v>
      </c>
      <c r="GW21" s="41"/>
      <c r="GX21" s="41"/>
      <c r="GY21" s="8">
        <v>1</v>
      </c>
      <c r="GZ21" s="8">
        <v>1</v>
      </c>
      <c r="HA21" s="8">
        <v>1</v>
      </c>
      <c r="HB21" s="8">
        <v>1</v>
      </c>
      <c r="HC21" s="8">
        <v>1</v>
      </c>
      <c r="HD21" s="41"/>
      <c r="HE21" s="41"/>
      <c r="HF21" s="8">
        <v>1</v>
      </c>
      <c r="HG21" s="8">
        <v>1</v>
      </c>
      <c r="HH21" s="8">
        <v>1</v>
      </c>
      <c r="HI21" s="8">
        <v>1</v>
      </c>
      <c r="HJ21" s="8">
        <v>1</v>
      </c>
      <c r="HK21" s="41"/>
      <c r="HL21" s="41"/>
      <c r="HM21" s="8">
        <v>1</v>
      </c>
      <c r="HN21" s="8">
        <v>1</v>
      </c>
      <c r="HO21" s="8">
        <v>1</v>
      </c>
      <c r="HP21" s="8">
        <v>1</v>
      </c>
      <c r="HQ21" s="8">
        <v>0</v>
      </c>
      <c r="HR21" s="41"/>
      <c r="HS21" s="41"/>
      <c r="HT21" s="38"/>
      <c r="HU21" s="8">
        <v>0</v>
      </c>
      <c r="HV21" s="8">
        <v>0</v>
      </c>
      <c r="HW21" s="8">
        <v>0</v>
      </c>
      <c r="HX21" s="8">
        <v>0</v>
      </c>
      <c r="HY21" s="41"/>
      <c r="HZ21" s="41"/>
      <c r="IA21" s="8">
        <v>1</v>
      </c>
      <c r="IB21" s="8">
        <v>1</v>
      </c>
      <c r="IC21" s="8">
        <v>1</v>
      </c>
      <c r="ID21" s="8">
        <v>1</v>
      </c>
      <c r="IE21" s="8">
        <v>1</v>
      </c>
      <c r="IF21" s="41"/>
      <c r="IG21" s="41"/>
      <c r="IH21" s="8">
        <v>1</v>
      </c>
      <c r="II21" s="8">
        <v>1</v>
      </c>
      <c r="IJ21" s="8">
        <v>1</v>
      </c>
      <c r="IK21" s="8">
        <v>1</v>
      </c>
      <c r="IL21" s="8">
        <v>1</v>
      </c>
      <c r="IM21" s="41"/>
      <c r="IN21" s="41"/>
      <c r="IO21" s="8">
        <v>0</v>
      </c>
      <c r="IP21" s="8">
        <v>0</v>
      </c>
      <c r="IQ21" s="8">
        <v>0</v>
      </c>
      <c r="IR21" s="8">
        <v>0</v>
      </c>
      <c r="IS21" s="8">
        <v>0</v>
      </c>
      <c r="IT21" s="41"/>
      <c r="IU21" s="41"/>
      <c r="IV21" s="8">
        <v>0</v>
      </c>
      <c r="IW21" s="8">
        <v>0</v>
      </c>
      <c r="IX21" s="8">
        <v>0</v>
      </c>
      <c r="IY21" s="8">
        <v>0</v>
      </c>
      <c r="IZ21" s="38"/>
      <c r="JA21" s="41"/>
      <c r="JB21" s="41"/>
      <c r="JC21" s="8">
        <v>1</v>
      </c>
      <c r="JD21" s="8">
        <v>1</v>
      </c>
      <c r="JE21" s="8">
        <v>1</v>
      </c>
      <c r="JF21" s="8">
        <v>1</v>
      </c>
      <c r="JG21" s="8">
        <v>1</v>
      </c>
      <c r="JH21" s="41"/>
      <c r="JI21" s="41"/>
      <c r="JJ21" s="8">
        <v>1</v>
      </c>
      <c r="JK21" s="8">
        <v>1</v>
      </c>
      <c r="JL21" s="8">
        <v>1</v>
      </c>
      <c r="JM21" s="8">
        <v>1</v>
      </c>
      <c r="JN21" s="8">
        <v>1</v>
      </c>
      <c r="JO21" s="41"/>
      <c r="JP21" s="41"/>
      <c r="JQ21" s="8">
        <v>1</v>
      </c>
      <c r="JR21" s="8">
        <v>1</v>
      </c>
      <c r="JS21" s="8">
        <v>1</v>
      </c>
      <c r="JT21" s="8">
        <v>1</v>
      </c>
      <c r="JU21" s="8">
        <v>1</v>
      </c>
      <c r="JV21" s="41"/>
      <c r="JW21" s="41"/>
      <c r="JX21" s="8">
        <v>1</v>
      </c>
      <c r="JY21" s="8">
        <v>1</v>
      </c>
      <c r="JZ21" s="8">
        <v>1</v>
      </c>
      <c r="KA21" s="8">
        <v>1</v>
      </c>
      <c r="KB21" s="8">
        <v>1</v>
      </c>
      <c r="KC21" s="41"/>
      <c r="KD21" s="41"/>
      <c r="KE21" s="8">
        <v>1</v>
      </c>
      <c r="KF21" s="8">
        <v>1</v>
      </c>
      <c r="KG21" s="8">
        <v>1</v>
      </c>
      <c r="KH21" s="8">
        <v>1</v>
      </c>
      <c r="KI21" s="8">
        <v>1</v>
      </c>
      <c r="KJ21" s="41"/>
      <c r="KK21" s="41"/>
      <c r="KL21" s="8">
        <v>1</v>
      </c>
      <c r="KM21" s="8">
        <v>1</v>
      </c>
      <c r="KN21" s="8">
        <v>1</v>
      </c>
      <c r="KO21" s="8">
        <v>1</v>
      </c>
      <c r="KP21" s="8">
        <v>1</v>
      </c>
      <c r="KQ21" s="41"/>
      <c r="KR21" s="41"/>
      <c r="KS21" s="8">
        <v>1</v>
      </c>
      <c r="KT21" s="8">
        <v>1</v>
      </c>
      <c r="KU21" s="8">
        <v>1</v>
      </c>
      <c r="KV21" s="8">
        <v>1</v>
      </c>
      <c r="KW21" s="8">
        <v>1</v>
      </c>
      <c r="KX21" s="41"/>
      <c r="KY21" s="41"/>
      <c r="KZ21" s="8">
        <v>1</v>
      </c>
      <c r="LA21" s="8">
        <v>1</v>
      </c>
      <c r="LB21" s="8">
        <v>1</v>
      </c>
      <c r="LC21" s="8">
        <v>1</v>
      </c>
      <c r="LD21" s="8">
        <v>1</v>
      </c>
      <c r="LE21" s="41"/>
      <c r="LF21" s="41"/>
      <c r="LG21" s="8">
        <v>1</v>
      </c>
      <c r="LH21" s="8">
        <v>1</v>
      </c>
      <c r="LI21" s="8">
        <v>1</v>
      </c>
      <c r="LJ21" s="8">
        <v>1</v>
      </c>
      <c r="LK21" s="8">
        <v>1</v>
      </c>
      <c r="LL21" s="41"/>
      <c r="LM21" s="41"/>
      <c r="LN21" s="8">
        <v>1</v>
      </c>
      <c r="LO21" s="8">
        <v>1</v>
      </c>
      <c r="LP21" s="8">
        <v>1</v>
      </c>
      <c r="LQ21" s="8">
        <v>1</v>
      </c>
      <c r="LR21" s="8">
        <v>1</v>
      </c>
      <c r="LS21" s="41"/>
      <c r="LT21" s="41"/>
      <c r="LU21" s="8">
        <v>1</v>
      </c>
      <c r="LV21" s="8">
        <v>1</v>
      </c>
      <c r="LW21" s="8">
        <v>1</v>
      </c>
      <c r="LX21" s="8">
        <v>1</v>
      </c>
      <c r="LY21" s="8">
        <v>1</v>
      </c>
      <c r="LZ21" s="41"/>
      <c r="MA21" s="41"/>
      <c r="MB21" s="8">
        <v>1</v>
      </c>
      <c r="MC21" s="8">
        <v>1</v>
      </c>
      <c r="MD21" s="8">
        <v>1</v>
      </c>
      <c r="ME21" s="8">
        <v>1</v>
      </c>
      <c r="MF21" s="8">
        <v>1</v>
      </c>
      <c r="MG21" s="41"/>
      <c r="MH21" s="41"/>
      <c r="MI21" s="8">
        <v>1</v>
      </c>
      <c r="MJ21" s="8">
        <v>1</v>
      </c>
      <c r="MK21" s="8">
        <v>1</v>
      </c>
      <c r="ML21" s="8">
        <v>1</v>
      </c>
      <c r="MM21" s="8">
        <v>1</v>
      </c>
      <c r="MN21" s="41"/>
      <c r="MO21" s="41"/>
      <c r="MP21" s="8">
        <v>1</v>
      </c>
      <c r="MQ21" s="8">
        <v>1</v>
      </c>
      <c r="MR21" s="8">
        <v>1</v>
      </c>
      <c r="MS21" s="8">
        <v>1</v>
      </c>
      <c r="MT21" s="8">
        <v>1</v>
      </c>
      <c r="MU21" s="41"/>
      <c r="MV21" s="41"/>
      <c r="MW21" s="8">
        <v>1</v>
      </c>
      <c r="MX21" s="8">
        <v>1</v>
      </c>
      <c r="MY21" s="8">
        <v>1</v>
      </c>
      <c r="MZ21" s="8">
        <v>1</v>
      </c>
      <c r="NA21" s="8">
        <v>1</v>
      </c>
      <c r="NB21" s="41"/>
      <c r="NC21" s="41"/>
      <c r="ND21" s="8">
        <v>1</v>
      </c>
      <c r="NE21" s="8">
        <v>1</v>
      </c>
      <c r="NF21" s="8">
        <v>1</v>
      </c>
      <c r="NG21" s="8">
        <v>1</v>
      </c>
      <c r="NH21" s="8">
        <v>1</v>
      </c>
      <c r="NI21" s="41"/>
      <c r="NJ21" s="41"/>
      <c r="NK21" s="8">
        <v>1</v>
      </c>
      <c r="NL21" s="8">
        <v>1</v>
      </c>
      <c r="NM21" s="8">
        <v>1</v>
      </c>
      <c r="NN21" s="8">
        <v>1</v>
      </c>
      <c r="NO21" s="8">
        <v>1</v>
      </c>
      <c r="NP21" s="40"/>
      <c r="NQ21" s="40"/>
      <c r="NR21" s="8">
        <v>1</v>
      </c>
      <c r="NS21" s="8">
        <v>1</v>
      </c>
      <c r="NT21" s="8">
        <v>1</v>
      </c>
      <c r="NU21" s="8">
        <v>1</v>
      </c>
      <c r="NV21" s="8">
        <v>1</v>
      </c>
      <c r="NW21" s="40"/>
      <c r="NX21" s="40"/>
      <c r="NY21" s="8">
        <v>1</v>
      </c>
      <c r="NZ21" s="8">
        <v>1</v>
      </c>
      <c r="OA21" s="8">
        <v>1</v>
      </c>
      <c r="OB21" s="8"/>
      <c r="OC21" s="8">
        <v>1</v>
      </c>
      <c r="OD21" s="41"/>
      <c r="OE21" s="41"/>
      <c r="OF21" s="8">
        <v>1</v>
      </c>
      <c r="OG21" s="8">
        <v>1</v>
      </c>
      <c r="OH21" s="8">
        <v>1</v>
      </c>
      <c r="OI21" s="32"/>
      <c r="OJ21" s="33"/>
      <c r="OK21" s="33"/>
      <c r="OL21" s="33"/>
      <c r="OM21" s="33"/>
      <c r="ON21" s="33"/>
      <c r="OO21" s="33"/>
      <c r="OP21" s="33"/>
      <c r="OQ21" s="33"/>
      <c r="OR21" s="33"/>
      <c r="OS21" s="33"/>
      <c r="OT21" s="33"/>
      <c r="OU21" s="33"/>
      <c r="OV21" s="33"/>
      <c r="OW21" s="33"/>
      <c r="OX21" s="33"/>
      <c r="OY21" s="33"/>
      <c r="OZ21" s="33"/>
      <c r="PA21" s="33"/>
      <c r="PB21" s="33"/>
      <c r="PC21" s="33"/>
      <c r="PD21" s="33"/>
      <c r="PE21" s="33"/>
      <c r="PF21" s="33"/>
      <c r="PG21" s="33"/>
      <c r="PH21" s="33"/>
      <c r="PI21" s="33"/>
      <c r="PJ21" s="33"/>
      <c r="PK21" s="33"/>
      <c r="PL21" s="33"/>
      <c r="PM21" s="33"/>
      <c r="PN21" s="33"/>
      <c r="PO21" s="33"/>
      <c r="PP21" s="33"/>
      <c r="PQ21" s="33"/>
      <c r="PR21" s="33"/>
      <c r="PS21" s="33"/>
      <c r="PT21" s="33"/>
      <c r="PU21" s="42"/>
      <c r="PV21" s="42"/>
      <c r="PW21" s="42"/>
      <c r="PX21" s="42"/>
      <c r="PY21" s="42"/>
      <c r="PZ21" s="42"/>
      <c r="QA21" s="42"/>
      <c r="QB21" s="42"/>
      <c r="QC21" s="42"/>
      <c r="QD21" s="42"/>
      <c r="QE21" s="42"/>
      <c r="QF21" s="42"/>
      <c r="QG21" s="42"/>
      <c r="QH21" s="42"/>
      <c r="QI21" s="42"/>
    </row>
    <row r="22" spans="1:451" s="43" customFormat="1" ht="21" x14ac:dyDescent="0.3">
      <c r="A22" s="61" t="s">
        <v>515</v>
      </c>
      <c r="B22" s="62" t="s">
        <v>432</v>
      </c>
      <c r="C22" s="45"/>
      <c r="D22" s="8">
        <v>1</v>
      </c>
      <c r="E22" s="8">
        <v>1</v>
      </c>
      <c r="F22" s="8">
        <v>1</v>
      </c>
      <c r="G22" s="8">
        <v>1</v>
      </c>
      <c r="H22" s="8">
        <v>1</v>
      </c>
      <c r="I22" s="46"/>
      <c r="J22" s="46"/>
      <c r="K22" s="8">
        <v>1</v>
      </c>
      <c r="L22" s="8">
        <v>1</v>
      </c>
      <c r="M22" s="8">
        <v>1</v>
      </c>
      <c r="N22" s="8">
        <v>1</v>
      </c>
      <c r="O22" s="8">
        <v>1</v>
      </c>
      <c r="P22" s="46"/>
      <c r="Q22" s="46"/>
      <c r="R22" s="8">
        <v>1</v>
      </c>
      <c r="S22" s="8">
        <v>1</v>
      </c>
      <c r="T22" s="8">
        <v>1</v>
      </c>
      <c r="U22" s="8">
        <v>1</v>
      </c>
      <c r="V22" s="8">
        <v>1</v>
      </c>
      <c r="W22" s="46"/>
      <c r="X22" s="46"/>
      <c r="Y22" s="8">
        <v>0</v>
      </c>
      <c r="Z22" s="8">
        <v>0</v>
      </c>
      <c r="AA22" s="8"/>
      <c r="AB22" s="8">
        <v>0</v>
      </c>
      <c r="AC22" s="8">
        <v>0</v>
      </c>
      <c r="AD22" s="46"/>
      <c r="AE22" s="46"/>
      <c r="AF22" s="8">
        <v>0</v>
      </c>
      <c r="AG22" s="8">
        <v>0</v>
      </c>
      <c r="AH22" s="38"/>
      <c r="AI22" s="8">
        <v>0</v>
      </c>
      <c r="AJ22" s="8">
        <v>0</v>
      </c>
      <c r="AK22" s="8"/>
      <c r="AL22" s="8"/>
      <c r="AM22" s="109">
        <v>1</v>
      </c>
      <c r="AN22" s="109">
        <v>1</v>
      </c>
      <c r="AO22" s="8">
        <v>1</v>
      </c>
      <c r="AP22" s="8">
        <v>1</v>
      </c>
      <c r="AQ22" s="8">
        <v>1</v>
      </c>
      <c r="AR22" s="39"/>
      <c r="AS22" s="39"/>
      <c r="AT22" s="8">
        <v>1</v>
      </c>
      <c r="AU22" s="8">
        <v>1</v>
      </c>
      <c r="AV22" s="8">
        <v>1</v>
      </c>
      <c r="AW22" s="8">
        <v>1</v>
      </c>
      <c r="AX22" s="8">
        <v>1</v>
      </c>
      <c r="AY22" s="39"/>
      <c r="AZ22" s="39"/>
      <c r="BA22" s="39">
        <v>1</v>
      </c>
      <c r="BB22" s="39">
        <v>1</v>
      </c>
      <c r="BC22" s="39">
        <v>1</v>
      </c>
      <c r="BD22" s="39">
        <v>1</v>
      </c>
      <c r="BE22" s="39">
        <v>1</v>
      </c>
      <c r="BF22" s="39"/>
      <c r="BG22" s="39"/>
      <c r="BH22" s="39">
        <v>1</v>
      </c>
      <c r="BI22" s="39">
        <v>1</v>
      </c>
      <c r="BJ22" s="39">
        <v>1</v>
      </c>
      <c r="BK22" s="39">
        <v>1</v>
      </c>
      <c r="BL22" s="39">
        <v>1</v>
      </c>
      <c r="BM22" s="40"/>
      <c r="BN22" s="40"/>
      <c r="BO22" s="8">
        <v>1</v>
      </c>
      <c r="BP22" s="8">
        <v>1</v>
      </c>
      <c r="BQ22" s="8">
        <v>1</v>
      </c>
      <c r="BR22" s="8">
        <v>1</v>
      </c>
      <c r="BS22" s="8">
        <v>1</v>
      </c>
      <c r="BT22" s="40"/>
      <c r="BU22" s="40"/>
      <c r="BV22" s="8">
        <v>1</v>
      </c>
      <c r="BW22" s="8">
        <v>1</v>
      </c>
      <c r="BX22" s="8">
        <v>1</v>
      </c>
      <c r="BY22" s="8">
        <v>1</v>
      </c>
      <c r="BZ22" s="8">
        <v>1</v>
      </c>
      <c r="CA22" s="40"/>
      <c r="CB22" s="40"/>
      <c r="CC22" s="8">
        <v>1</v>
      </c>
      <c r="CD22" s="8">
        <v>1</v>
      </c>
      <c r="CE22" s="8">
        <v>0</v>
      </c>
      <c r="CF22" s="8">
        <v>1</v>
      </c>
      <c r="CG22" s="8">
        <v>1</v>
      </c>
      <c r="CH22" s="40"/>
      <c r="CI22" s="40"/>
      <c r="CJ22" s="8">
        <v>1</v>
      </c>
      <c r="CK22" s="8">
        <v>1</v>
      </c>
      <c r="CL22" s="8">
        <v>1</v>
      </c>
      <c r="CM22" s="8">
        <v>1</v>
      </c>
      <c r="CN22" s="8">
        <v>1</v>
      </c>
      <c r="CO22" s="40"/>
      <c r="CP22" s="40"/>
      <c r="CQ22" s="8">
        <v>1</v>
      </c>
      <c r="CR22" s="8">
        <v>1</v>
      </c>
      <c r="CS22" s="8">
        <v>1</v>
      </c>
      <c r="CT22" s="8">
        <v>1</v>
      </c>
      <c r="CU22" s="8">
        <v>1</v>
      </c>
      <c r="CV22" s="40"/>
      <c r="CW22" s="40"/>
      <c r="CX22" s="8">
        <v>1</v>
      </c>
      <c r="CY22" s="8">
        <v>1</v>
      </c>
      <c r="CZ22" s="8">
        <v>1</v>
      </c>
      <c r="DA22" s="8">
        <v>1</v>
      </c>
      <c r="DB22" s="8">
        <v>1</v>
      </c>
      <c r="DC22" s="40"/>
      <c r="DD22" s="40"/>
      <c r="DE22" s="8">
        <v>1</v>
      </c>
      <c r="DF22" s="8">
        <v>1</v>
      </c>
      <c r="DG22" s="8">
        <v>1</v>
      </c>
      <c r="DH22" s="8">
        <v>1</v>
      </c>
      <c r="DI22" s="8">
        <v>1</v>
      </c>
      <c r="DJ22" s="40"/>
      <c r="DK22" s="40"/>
      <c r="DL22" s="8">
        <v>1</v>
      </c>
      <c r="DM22" s="8">
        <v>1</v>
      </c>
      <c r="DN22" s="8">
        <v>1</v>
      </c>
      <c r="DO22" s="8">
        <v>1</v>
      </c>
      <c r="DP22" s="8">
        <v>1</v>
      </c>
      <c r="DQ22" s="41"/>
      <c r="DR22" s="41"/>
      <c r="DS22" s="8">
        <v>1</v>
      </c>
      <c r="DT22" s="8">
        <v>1</v>
      </c>
      <c r="DU22" s="8">
        <v>1</v>
      </c>
      <c r="DV22" s="8">
        <v>1</v>
      </c>
      <c r="DW22" s="8">
        <v>1</v>
      </c>
      <c r="DX22" s="41"/>
      <c r="DY22" s="41"/>
      <c r="DZ22" s="8">
        <v>1</v>
      </c>
      <c r="EA22" s="8">
        <v>1</v>
      </c>
      <c r="EB22" s="8">
        <v>1</v>
      </c>
      <c r="EC22" s="8">
        <v>1</v>
      </c>
      <c r="ED22" s="8">
        <v>1</v>
      </c>
      <c r="EE22" s="41"/>
      <c r="EF22" s="41"/>
      <c r="EG22" s="8">
        <v>1</v>
      </c>
      <c r="EH22" s="8">
        <v>1</v>
      </c>
      <c r="EI22" s="8">
        <v>1</v>
      </c>
      <c r="EJ22" s="8">
        <v>1</v>
      </c>
      <c r="EK22" s="8">
        <v>1</v>
      </c>
      <c r="EL22" s="41"/>
      <c r="EM22" s="41"/>
      <c r="EN22" s="38"/>
      <c r="EO22" s="8">
        <v>1</v>
      </c>
      <c r="EP22" s="8">
        <v>1</v>
      </c>
      <c r="EQ22" s="8">
        <v>1</v>
      </c>
      <c r="ER22" s="8">
        <v>1</v>
      </c>
      <c r="ES22" s="41"/>
      <c r="ET22" s="41"/>
      <c r="EU22" s="8">
        <v>1</v>
      </c>
      <c r="EV22" s="8">
        <v>1</v>
      </c>
      <c r="EW22" s="8">
        <v>1</v>
      </c>
      <c r="EX22" s="38"/>
      <c r="EY22" s="8">
        <v>1</v>
      </c>
      <c r="EZ22" s="41"/>
      <c r="FA22" s="41"/>
      <c r="FB22" s="8">
        <v>1</v>
      </c>
      <c r="FC22" s="8">
        <v>1</v>
      </c>
      <c r="FD22" s="8">
        <v>1</v>
      </c>
      <c r="FE22" s="38"/>
      <c r="FF22" s="8">
        <v>1</v>
      </c>
      <c r="FG22" s="41"/>
      <c r="FH22" s="41"/>
      <c r="FI22" s="8">
        <v>1</v>
      </c>
      <c r="FJ22" s="8">
        <v>1</v>
      </c>
      <c r="FK22" s="8">
        <v>1</v>
      </c>
      <c r="FL22" s="8">
        <v>1</v>
      </c>
      <c r="FM22" s="8">
        <v>1</v>
      </c>
      <c r="FN22" s="41"/>
      <c r="FO22" s="41"/>
      <c r="FP22" s="8">
        <v>1</v>
      </c>
      <c r="FQ22" s="8">
        <v>1</v>
      </c>
      <c r="FR22" s="8">
        <v>1</v>
      </c>
      <c r="FS22" s="8">
        <v>1</v>
      </c>
      <c r="FT22" s="8">
        <v>1</v>
      </c>
      <c r="FU22" s="41"/>
      <c r="FV22" s="41"/>
      <c r="FW22" s="8">
        <v>1</v>
      </c>
      <c r="FX22" s="8">
        <v>1</v>
      </c>
      <c r="FY22" s="8">
        <v>1</v>
      </c>
      <c r="FZ22" s="38"/>
      <c r="GA22" s="8">
        <v>1</v>
      </c>
      <c r="GB22" s="41"/>
      <c r="GC22" s="41"/>
      <c r="GD22" s="8">
        <v>1</v>
      </c>
      <c r="GE22" s="8">
        <v>1</v>
      </c>
      <c r="GF22" s="8">
        <v>1</v>
      </c>
      <c r="GG22" s="8">
        <v>1</v>
      </c>
      <c r="GH22" s="8">
        <v>1</v>
      </c>
      <c r="GI22" s="41"/>
      <c r="GJ22" s="41"/>
      <c r="GK22" s="38"/>
      <c r="GL22" s="8">
        <v>1</v>
      </c>
      <c r="GM22" s="8">
        <v>1</v>
      </c>
      <c r="GN22" s="8">
        <v>1</v>
      </c>
      <c r="GO22" s="8">
        <v>1</v>
      </c>
      <c r="GP22" s="41"/>
      <c r="GQ22" s="41"/>
      <c r="GR22" s="8">
        <v>1</v>
      </c>
      <c r="GS22" s="8">
        <v>1</v>
      </c>
      <c r="GT22" s="8">
        <v>1</v>
      </c>
      <c r="GU22" s="8">
        <v>1</v>
      </c>
      <c r="GV22" s="8">
        <v>1</v>
      </c>
      <c r="GW22" s="41"/>
      <c r="GX22" s="41"/>
      <c r="GY22" s="8">
        <v>1</v>
      </c>
      <c r="GZ22" s="8">
        <v>1</v>
      </c>
      <c r="HA22" s="8">
        <v>1</v>
      </c>
      <c r="HB22" s="8">
        <v>1</v>
      </c>
      <c r="HC22" s="8">
        <v>1</v>
      </c>
      <c r="HD22" s="41"/>
      <c r="HE22" s="41"/>
      <c r="HF22" s="8">
        <v>1</v>
      </c>
      <c r="HG22" s="8">
        <v>1</v>
      </c>
      <c r="HH22" s="8">
        <v>1</v>
      </c>
      <c r="HI22" s="8">
        <v>1</v>
      </c>
      <c r="HJ22" s="8">
        <v>1</v>
      </c>
      <c r="HK22" s="41"/>
      <c r="HL22" s="41"/>
      <c r="HM22" s="8">
        <v>1</v>
      </c>
      <c r="HN22" s="8">
        <v>1</v>
      </c>
      <c r="HO22" s="8">
        <v>1</v>
      </c>
      <c r="HP22" s="8">
        <v>1</v>
      </c>
      <c r="HQ22" s="8">
        <v>1</v>
      </c>
      <c r="HR22" s="41"/>
      <c r="HS22" s="41"/>
      <c r="HT22" s="38"/>
      <c r="HU22" s="8">
        <v>1</v>
      </c>
      <c r="HV22" s="8">
        <v>1</v>
      </c>
      <c r="HW22" s="8">
        <v>1</v>
      </c>
      <c r="HX22" s="8">
        <v>1</v>
      </c>
      <c r="HY22" s="41"/>
      <c r="HZ22" s="41"/>
      <c r="IA22" s="8">
        <v>1</v>
      </c>
      <c r="IB22" s="8">
        <v>1</v>
      </c>
      <c r="IC22" s="8">
        <v>1</v>
      </c>
      <c r="ID22" s="8">
        <v>1</v>
      </c>
      <c r="IE22" s="8">
        <v>1</v>
      </c>
      <c r="IF22" s="41"/>
      <c r="IG22" s="41"/>
      <c r="IH22" s="8">
        <v>1</v>
      </c>
      <c r="II22" s="8">
        <v>1</v>
      </c>
      <c r="IJ22" s="8">
        <v>1</v>
      </c>
      <c r="IK22" s="8">
        <v>1</v>
      </c>
      <c r="IL22" s="8">
        <v>1</v>
      </c>
      <c r="IM22" s="41"/>
      <c r="IN22" s="41"/>
      <c r="IO22" s="8">
        <v>1</v>
      </c>
      <c r="IP22" s="8">
        <v>1</v>
      </c>
      <c r="IQ22" s="8">
        <v>1</v>
      </c>
      <c r="IR22" s="8">
        <v>1</v>
      </c>
      <c r="IS22" s="8">
        <v>1</v>
      </c>
      <c r="IT22" s="41"/>
      <c r="IU22" s="41"/>
      <c r="IV22" s="8">
        <v>1</v>
      </c>
      <c r="IW22" s="8">
        <v>1</v>
      </c>
      <c r="IX22" s="8">
        <v>1</v>
      </c>
      <c r="IY22" s="8">
        <v>1</v>
      </c>
      <c r="IZ22" s="38"/>
      <c r="JA22" s="41"/>
      <c r="JB22" s="41"/>
      <c r="JC22" s="8">
        <v>1</v>
      </c>
      <c r="JD22" s="8">
        <v>1</v>
      </c>
      <c r="JE22" s="8">
        <v>1</v>
      </c>
      <c r="JF22" s="8">
        <v>1</v>
      </c>
      <c r="JG22" s="8">
        <v>1</v>
      </c>
      <c r="JH22" s="41"/>
      <c r="JI22" s="41"/>
      <c r="JJ22" s="8">
        <v>1</v>
      </c>
      <c r="JK22" s="8">
        <v>1</v>
      </c>
      <c r="JL22" s="8">
        <v>1</v>
      </c>
      <c r="JM22" s="8">
        <v>1</v>
      </c>
      <c r="JN22" s="8">
        <v>1</v>
      </c>
      <c r="JO22" s="41"/>
      <c r="JP22" s="41"/>
      <c r="JQ22" s="8">
        <v>1</v>
      </c>
      <c r="JR22" s="8">
        <v>1</v>
      </c>
      <c r="JS22" s="8">
        <v>1</v>
      </c>
      <c r="JT22" s="8">
        <v>1</v>
      </c>
      <c r="JU22" s="8">
        <v>1</v>
      </c>
      <c r="JV22" s="41"/>
      <c r="JW22" s="41"/>
      <c r="JX22" s="8">
        <v>1</v>
      </c>
      <c r="JY22" s="8">
        <v>1</v>
      </c>
      <c r="JZ22" s="8">
        <v>1</v>
      </c>
      <c r="KA22" s="8">
        <v>1</v>
      </c>
      <c r="KB22" s="8">
        <v>1</v>
      </c>
      <c r="KC22" s="41"/>
      <c r="KD22" s="41"/>
      <c r="KE22" s="8">
        <v>1</v>
      </c>
      <c r="KF22" s="8">
        <v>1</v>
      </c>
      <c r="KG22" s="8">
        <v>1</v>
      </c>
      <c r="KH22" s="8">
        <v>1</v>
      </c>
      <c r="KI22" s="8">
        <v>1</v>
      </c>
      <c r="KJ22" s="41"/>
      <c r="KK22" s="41"/>
      <c r="KL22" s="8">
        <v>1</v>
      </c>
      <c r="KM22" s="8">
        <v>1</v>
      </c>
      <c r="KN22" s="8">
        <v>1</v>
      </c>
      <c r="KO22" s="8">
        <v>1</v>
      </c>
      <c r="KP22" s="8">
        <v>1</v>
      </c>
      <c r="KQ22" s="41"/>
      <c r="KR22" s="41"/>
      <c r="KS22" s="8">
        <v>1</v>
      </c>
      <c r="KT22" s="8">
        <v>1</v>
      </c>
      <c r="KU22" s="8">
        <v>1</v>
      </c>
      <c r="KV22" s="8">
        <v>1</v>
      </c>
      <c r="KW22" s="8">
        <v>1</v>
      </c>
      <c r="KX22" s="41"/>
      <c r="KY22" s="41"/>
      <c r="KZ22" s="8">
        <v>1</v>
      </c>
      <c r="LA22" s="8">
        <v>1</v>
      </c>
      <c r="LB22" s="8">
        <v>1</v>
      </c>
      <c r="LC22" s="8">
        <v>1</v>
      </c>
      <c r="LD22" s="8">
        <v>1</v>
      </c>
      <c r="LE22" s="41"/>
      <c r="LF22" s="41"/>
      <c r="LG22" s="8">
        <v>1</v>
      </c>
      <c r="LH22" s="8">
        <v>1</v>
      </c>
      <c r="LI22" s="8">
        <v>1</v>
      </c>
      <c r="LJ22" s="8">
        <v>1</v>
      </c>
      <c r="LK22" s="8">
        <v>1</v>
      </c>
      <c r="LL22" s="41"/>
      <c r="LM22" s="41"/>
      <c r="LN22" s="8">
        <v>1</v>
      </c>
      <c r="LO22" s="8">
        <v>1</v>
      </c>
      <c r="LP22" s="8">
        <v>1</v>
      </c>
      <c r="LQ22" s="8">
        <v>1</v>
      </c>
      <c r="LR22" s="8">
        <v>1</v>
      </c>
      <c r="LS22" s="41"/>
      <c r="LT22" s="41"/>
      <c r="LU22" s="8">
        <v>1</v>
      </c>
      <c r="LV22" s="8">
        <v>1</v>
      </c>
      <c r="LW22" s="8">
        <v>1</v>
      </c>
      <c r="LX22" s="8">
        <v>1</v>
      </c>
      <c r="LY22" s="8">
        <v>1</v>
      </c>
      <c r="LZ22" s="41"/>
      <c r="MA22" s="41"/>
      <c r="MB22" s="8">
        <v>1</v>
      </c>
      <c r="MC22" s="8">
        <v>1</v>
      </c>
      <c r="MD22" s="8">
        <v>1</v>
      </c>
      <c r="ME22" s="8">
        <v>1</v>
      </c>
      <c r="MF22" s="8">
        <v>1</v>
      </c>
      <c r="MG22" s="41"/>
      <c r="MH22" s="41"/>
      <c r="MI22" s="8">
        <v>1</v>
      </c>
      <c r="MJ22" s="8">
        <v>1</v>
      </c>
      <c r="MK22" s="8">
        <v>1</v>
      </c>
      <c r="ML22" s="8">
        <v>1</v>
      </c>
      <c r="MM22" s="8">
        <v>1</v>
      </c>
      <c r="MN22" s="41"/>
      <c r="MO22" s="41"/>
      <c r="MP22" s="8">
        <v>1</v>
      </c>
      <c r="MQ22" s="8">
        <v>1</v>
      </c>
      <c r="MR22" s="8">
        <v>1</v>
      </c>
      <c r="MS22" s="8">
        <v>1</v>
      </c>
      <c r="MT22" s="8">
        <v>1</v>
      </c>
      <c r="MU22" s="41"/>
      <c r="MV22" s="41"/>
      <c r="MW22" s="8">
        <v>1</v>
      </c>
      <c r="MX22" s="8">
        <v>1</v>
      </c>
      <c r="MY22" s="8">
        <v>1</v>
      </c>
      <c r="MZ22" s="8">
        <v>1</v>
      </c>
      <c r="NA22" s="8">
        <v>1</v>
      </c>
      <c r="NB22" s="41"/>
      <c r="NC22" s="41"/>
      <c r="ND22" s="8">
        <v>1</v>
      </c>
      <c r="NE22" s="8">
        <v>1</v>
      </c>
      <c r="NF22" s="8">
        <v>1</v>
      </c>
      <c r="NG22" s="8">
        <v>1</v>
      </c>
      <c r="NH22" s="8">
        <v>1</v>
      </c>
      <c r="NI22" s="41"/>
      <c r="NJ22" s="41"/>
      <c r="NK22" s="8">
        <v>1</v>
      </c>
      <c r="NL22" s="8">
        <v>1</v>
      </c>
      <c r="NM22" s="8">
        <v>1</v>
      </c>
      <c r="NN22" s="8">
        <v>1</v>
      </c>
      <c r="NO22" s="8">
        <v>1</v>
      </c>
      <c r="NP22" s="40"/>
      <c r="NQ22" s="40"/>
      <c r="NR22" s="8">
        <v>1</v>
      </c>
      <c r="NS22" s="8">
        <v>1</v>
      </c>
      <c r="NT22" s="8">
        <v>1</v>
      </c>
      <c r="NU22" s="8">
        <v>1</v>
      </c>
      <c r="NV22" s="8">
        <v>1</v>
      </c>
      <c r="NW22" s="40"/>
      <c r="NX22" s="40"/>
      <c r="NY22" s="8">
        <v>1</v>
      </c>
      <c r="NZ22" s="8">
        <v>1</v>
      </c>
      <c r="OA22" s="8">
        <v>1</v>
      </c>
      <c r="OB22" s="8"/>
      <c r="OC22" s="8">
        <v>1</v>
      </c>
      <c r="OD22" s="41"/>
      <c r="OE22" s="41"/>
      <c r="OF22" s="8">
        <v>1</v>
      </c>
      <c r="OG22" s="8">
        <v>1</v>
      </c>
      <c r="OH22" s="8">
        <v>1</v>
      </c>
      <c r="OI22" s="32"/>
      <c r="OJ22" s="33"/>
      <c r="OK22" s="33"/>
      <c r="OL22" s="33"/>
      <c r="OM22" s="33"/>
      <c r="ON22" s="33"/>
      <c r="OO22" s="33"/>
      <c r="OP22" s="33"/>
      <c r="OQ22" s="33"/>
      <c r="OR22" s="33"/>
      <c r="OS22" s="33"/>
      <c r="OT22" s="33"/>
      <c r="OU22" s="33"/>
      <c r="OV22" s="33"/>
      <c r="OW22" s="33"/>
      <c r="OX22" s="33"/>
      <c r="OY22" s="33"/>
      <c r="OZ22" s="33"/>
      <c r="PA22" s="33"/>
      <c r="PB22" s="33"/>
      <c r="PC22" s="33"/>
      <c r="PD22" s="33"/>
      <c r="PE22" s="33"/>
      <c r="PF22" s="33"/>
      <c r="PG22" s="33"/>
      <c r="PH22" s="33"/>
      <c r="PI22" s="33"/>
      <c r="PJ22" s="33"/>
      <c r="PK22" s="33"/>
      <c r="PL22" s="33"/>
      <c r="PM22" s="33"/>
      <c r="PN22" s="33"/>
      <c r="PO22" s="33"/>
      <c r="PP22" s="33"/>
      <c r="PQ22" s="33"/>
      <c r="PR22" s="33"/>
      <c r="PS22" s="33"/>
      <c r="PT22" s="33"/>
      <c r="PU22" s="42"/>
      <c r="PV22" s="42"/>
      <c r="PW22" s="42"/>
      <c r="PX22" s="42"/>
      <c r="PY22" s="42"/>
      <c r="PZ22" s="42"/>
      <c r="QA22" s="42"/>
      <c r="QB22" s="42"/>
      <c r="QC22" s="42"/>
      <c r="QD22" s="42"/>
      <c r="QE22" s="42"/>
      <c r="QF22" s="42"/>
      <c r="QG22" s="42"/>
      <c r="QH22" s="42"/>
      <c r="QI22" s="42"/>
    </row>
    <row r="23" spans="1:451" s="43" customFormat="1" ht="21" x14ac:dyDescent="0.3">
      <c r="A23" s="61" t="s">
        <v>516</v>
      </c>
      <c r="B23" s="62" t="s">
        <v>432</v>
      </c>
      <c r="C23" s="45"/>
      <c r="D23" s="8">
        <v>1</v>
      </c>
      <c r="E23" s="8">
        <v>1</v>
      </c>
      <c r="F23" s="8">
        <v>1</v>
      </c>
      <c r="G23" s="8">
        <v>1</v>
      </c>
      <c r="H23" s="8">
        <v>1</v>
      </c>
      <c r="I23" s="46"/>
      <c r="J23" s="46"/>
      <c r="K23" s="8">
        <v>1</v>
      </c>
      <c r="L23" s="8">
        <v>1</v>
      </c>
      <c r="M23" s="8">
        <v>1</v>
      </c>
      <c r="N23" s="8">
        <v>1</v>
      </c>
      <c r="O23" s="8">
        <v>1</v>
      </c>
      <c r="P23" s="46"/>
      <c r="Q23" s="46"/>
      <c r="R23" s="8">
        <v>1</v>
      </c>
      <c r="S23" s="8">
        <v>1</v>
      </c>
      <c r="T23" s="8">
        <v>1</v>
      </c>
      <c r="U23" s="8">
        <v>1</v>
      </c>
      <c r="V23" s="8">
        <v>1</v>
      </c>
      <c r="W23" s="46"/>
      <c r="X23" s="46"/>
      <c r="Y23" s="8">
        <v>0</v>
      </c>
      <c r="Z23" s="8">
        <v>0</v>
      </c>
      <c r="AA23" s="8"/>
      <c r="AB23" s="8">
        <v>0</v>
      </c>
      <c r="AC23" s="8">
        <v>0</v>
      </c>
      <c r="AD23" s="46"/>
      <c r="AE23" s="46"/>
      <c r="AF23" s="8">
        <v>0</v>
      </c>
      <c r="AG23" s="8">
        <v>0</v>
      </c>
      <c r="AH23" s="38"/>
      <c r="AI23" s="8">
        <v>0</v>
      </c>
      <c r="AJ23" s="8">
        <v>0</v>
      </c>
      <c r="AK23" s="8"/>
      <c r="AL23" s="8"/>
      <c r="AM23" s="109">
        <v>1</v>
      </c>
      <c r="AN23" s="109">
        <v>1</v>
      </c>
      <c r="AO23" s="8">
        <v>1</v>
      </c>
      <c r="AP23" s="8">
        <v>1</v>
      </c>
      <c r="AQ23" s="8">
        <v>1</v>
      </c>
      <c r="AR23" s="39"/>
      <c r="AS23" s="39"/>
      <c r="AT23" s="8">
        <v>1</v>
      </c>
      <c r="AU23" s="8">
        <v>1</v>
      </c>
      <c r="AV23" s="8">
        <v>1</v>
      </c>
      <c r="AW23" s="8">
        <v>1</v>
      </c>
      <c r="AX23" s="8">
        <v>1</v>
      </c>
      <c r="AY23" s="39"/>
      <c r="AZ23" s="39"/>
      <c r="BA23" s="39">
        <v>1</v>
      </c>
      <c r="BB23" s="39">
        <v>1</v>
      </c>
      <c r="BC23" s="39">
        <v>1</v>
      </c>
      <c r="BD23" s="39">
        <v>1</v>
      </c>
      <c r="BE23" s="39">
        <v>1</v>
      </c>
      <c r="BF23" s="39"/>
      <c r="BG23" s="39"/>
      <c r="BH23" s="39">
        <v>1</v>
      </c>
      <c r="BI23" s="39">
        <v>1</v>
      </c>
      <c r="BJ23" s="39">
        <v>1</v>
      </c>
      <c r="BK23" s="39">
        <v>1</v>
      </c>
      <c r="BL23" s="39">
        <v>1</v>
      </c>
      <c r="BM23" s="40"/>
      <c r="BN23" s="40"/>
      <c r="BO23" s="8">
        <v>1</v>
      </c>
      <c r="BP23" s="8">
        <v>1</v>
      </c>
      <c r="BQ23" s="8">
        <v>1</v>
      </c>
      <c r="BR23" s="8">
        <v>1</v>
      </c>
      <c r="BS23" s="8">
        <v>1</v>
      </c>
      <c r="BT23" s="40"/>
      <c r="BU23" s="40"/>
      <c r="BV23" s="8">
        <v>1</v>
      </c>
      <c r="BW23" s="8">
        <v>1</v>
      </c>
      <c r="BX23" s="8">
        <v>1</v>
      </c>
      <c r="BY23" s="8">
        <v>1</v>
      </c>
      <c r="BZ23" s="8">
        <v>1</v>
      </c>
      <c r="CA23" s="40"/>
      <c r="CB23" s="40"/>
      <c r="CC23" s="8">
        <v>1</v>
      </c>
      <c r="CD23" s="8">
        <v>1</v>
      </c>
      <c r="CE23" s="8">
        <v>1</v>
      </c>
      <c r="CF23" s="8">
        <v>1</v>
      </c>
      <c r="CG23" s="8">
        <v>1</v>
      </c>
      <c r="CH23" s="40"/>
      <c r="CI23" s="40"/>
      <c r="CJ23" s="8">
        <v>1</v>
      </c>
      <c r="CK23" s="8">
        <v>1</v>
      </c>
      <c r="CL23" s="8">
        <v>1</v>
      </c>
      <c r="CM23" s="8">
        <v>1</v>
      </c>
      <c r="CN23" s="8">
        <v>1</v>
      </c>
      <c r="CO23" s="40"/>
      <c r="CP23" s="40"/>
      <c r="CQ23" s="8">
        <v>1</v>
      </c>
      <c r="CR23" s="8">
        <v>1</v>
      </c>
      <c r="CS23" s="8">
        <v>1</v>
      </c>
      <c r="CT23" s="8">
        <v>1</v>
      </c>
      <c r="CU23" s="8">
        <v>1</v>
      </c>
      <c r="CV23" s="40"/>
      <c r="CW23" s="40"/>
      <c r="CX23" s="8">
        <v>1</v>
      </c>
      <c r="CY23" s="8">
        <v>1</v>
      </c>
      <c r="CZ23" s="8">
        <v>1</v>
      </c>
      <c r="DA23" s="8">
        <v>1</v>
      </c>
      <c r="DB23" s="8">
        <v>1</v>
      </c>
      <c r="DC23" s="40"/>
      <c r="DD23" s="40"/>
      <c r="DE23" s="8">
        <v>1</v>
      </c>
      <c r="DF23" s="8">
        <v>1</v>
      </c>
      <c r="DG23" s="8">
        <v>1</v>
      </c>
      <c r="DH23" s="8">
        <v>1</v>
      </c>
      <c r="DI23" s="8">
        <v>1</v>
      </c>
      <c r="DJ23" s="40"/>
      <c r="DK23" s="40"/>
      <c r="DL23" s="8">
        <v>1</v>
      </c>
      <c r="DM23" s="8">
        <v>1</v>
      </c>
      <c r="DN23" s="8">
        <v>1</v>
      </c>
      <c r="DO23" s="8">
        <v>1</v>
      </c>
      <c r="DP23" s="8">
        <v>1</v>
      </c>
      <c r="DQ23" s="41"/>
      <c r="DR23" s="41"/>
      <c r="DS23" s="8">
        <v>1</v>
      </c>
      <c r="DT23" s="8">
        <v>1</v>
      </c>
      <c r="DU23" s="8">
        <v>1</v>
      </c>
      <c r="DV23" s="8">
        <v>1</v>
      </c>
      <c r="DW23" s="8">
        <v>1</v>
      </c>
      <c r="DX23" s="41"/>
      <c r="DY23" s="41"/>
      <c r="DZ23" s="8">
        <v>1</v>
      </c>
      <c r="EA23" s="8">
        <v>1</v>
      </c>
      <c r="EB23" s="8">
        <v>1</v>
      </c>
      <c r="EC23" s="8">
        <v>1</v>
      </c>
      <c r="ED23" s="8">
        <v>1</v>
      </c>
      <c r="EE23" s="41"/>
      <c r="EF23" s="41"/>
      <c r="EG23" s="8">
        <v>1</v>
      </c>
      <c r="EH23" s="8">
        <v>1</v>
      </c>
      <c r="EI23" s="8">
        <v>1</v>
      </c>
      <c r="EJ23" s="8">
        <v>1</v>
      </c>
      <c r="EK23" s="8">
        <v>1</v>
      </c>
      <c r="EL23" s="41"/>
      <c r="EM23" s="41"/>
      <c r="EN23" s="38"/>
      <c r="EO23" s="8">
        <v>1</v>
      </c>
      <c r="EP23" s="8">
        <v>1</v>
      </c>
      <c r="EQ23" s="8">
        <v>1</v>
      </c>
      <c r="ER23" s="8">
        <v>1</v>
      </c>
      <c r="ES23" s="41"/>
      <c r="ET23" s="41"/>
      <c r="EU23" s="8">
        <v>1</v>
      </c>
      <c r="EV23" s="8">
        <v>1</v>
      </c>
      <c r="EW23" s="8">
        <v>1</v>
      </c>
      <c r="EX23" s="38"/>
      <c r="EY23" s="8">
        <v>1</v>
      </c>
      <c r="EZ23" s="41"/>
      <c r="FA23" s="41"/>
      <c r="FB23" s="8">
        <v>1</v>
      </c>
      <c r="FC23" s="8">
        <v>1</v>
      </c>
      <c r="FD23" s="8">
        <v>1</v>
      </c>
      <c r="FE23" s="38"/>
      <c r="FF23" s="8">
        <v>1</v>
      </c>
      <c r="FG23" s="41"/>
      <c r="FH23" s="41"/>
      <c r="FI23" s="8">
        <v>1</v>
      </c>
      <c r="FJ23" s="8">
        <v>1</v>
      </c>
      <c r="FK23" s="8">
        <v>1</v>
      </c>
      <c r="FL23" s="8">
        <v>1</v>
      </c>
      <c r="FM23" s="8">
        <v>1</v>
      </c>
      <c r="FN23" s="41"/>
      <c r="FO23" s="41"/>
      <c r="FP23" s="8">
        <v>1</v>
      </c>
      <c r="FQ23" s="8">
        <v>1</v>
      </c>
      <c r="FR23" s="8">
        <v>1</v>
      </c>
      <c r="FS23" s="8">
        <v>1</v>
      </c>
      <c r="FT23" s="8">
        <v>1</v>
      </c>
      <c r="FU23" s="41"/>
      <c r="FV23" s="41"/>
      <c r="FW23" s="8">
        <v>1</v>
      </c>
      <c r="FX23" s="8">
        <v>1</v>
      </c>
      <c r="FY23" s="8">
        <v>1</v>
      </c>
      <c r="FZ23" s="38"/>
      <c r="GA23" s="8">
        <v>1</v>
      </c>
      <c r="GB23" s="41"/>
      <c r="GC23" s="41"/>
      <c r="GD23" s="8">
        <v>1</v>
      </c>
      <c r="GE23" s="8">
        <v>1</v>
      </c>
      <c r="GF23" s="8">
        <v>1</v>
      </c>
      <c r="GG23" s="8">
        <v>1</v>
      </c>
      <c r="GH23" s="8">
        <v>1</v>
      </c>
      <c r="GI23" s="41"/>
      <c r="GJ23" s="41"/>
      <c r="GK23" s="38"/>
      <c r="GL23" s="8">
        <v>1</v>
      </c>
      <c r="GM23" s="8">
        <v>1</v>
      </c>
      <c r="GN23" s="8">
        <v>1</v>
      </c>
      <c r="GO23" s="8">
        <v>1</v>
      </c>
      <c r="GP23" s="41"/>
      <c r="GQ23" s="41"/>
      <c r="GR23" s="8">
        <v>1</v>
      </c>
      <c r="GS23" s="8">
        <v>1</v>
      </c>
      <c r="GT23" s="8">
        <v>1</v>
      </c>
      <c r="GU23" s="8">
        <v>1</v>
      </c>
      <c r="GV23" s="8">
        <v>1</v>
      </c>
      <c r="GW23" s="41"/>
      <c r="GX23" s="41"/>
      <c r="GY23" s="8">
        <v>1</v>
      </c>
      <c r="GZ23" s="8">
        <v>1</v>
      </c>
      <c r="HA23" s="8">
        <v>1</v>
      </c>
      <c r="HB23" s="8">
        <v>1</v>
      </c>
      <c r="HC23" s="8">
        <v>1</v>
      </c>
      <c r="HD23" s="41"/>
      <c r="HE23" s="41"/>
      <c r="HF23" s="8">
        <v>1</v>
      </c>
      <c r="HG23" s="8">
        <v>1</v>
      </c>
      <c r="HH23" s="8">
        <v>1</v>
      </c>
      <c r="HI23" s="8">
        <v>1</v>
      </c>
      <c r="HJ23" s="8">
        <v>1</v>
      </c>
      <c r="HK23" s="41"/>
      <c r="HL23" s="41"/>
      <c r="HM23" s="8">
        <v>1</v>
      </c>
      <c r="HN23" s="8">
        <v>1</v>
      </c>
      <c r="HO23" s="8">
        <v>1</v>
      </c>
      <c r="HP23" s="8">
        <v>1</v>
      </c>
      <c r="HQ23" s="8">
        <v>1</v>
      </c>
      <c r="HR23" s="41"/>
      <c r="HS23" s="41"/>
      <c r="HT23" s="38"/>
      <c r="HU23" s="8">
        <v>1</v>
      </c>
      <c r="HV23" s="8">
        <v>1</v>
      </c>
      <c r="HW23" s="8">
        <v>1</v>
      </c>
      <c r="HX23" s="8">
        <v>1</v>
      </c>
      <c r="HY23" s="41"/>
      <c r="HZ23" s="41"/>
      <c r="IA23" s="8">
        <v>1</v>
      </c>
      <c r="IB23" s="8">
        <v>1</v>
      </c>
      <c r="IC23" s="8">
        <v>1</v>
      </c>
      <c r="ID23" s="8">
        <v>1</v>
      </c>
      <c r="IE23" s="8">
        <v>1</v>
      </c>
      <c r="IF23" s="41"/>
      <c r="IG23" s="41"/>
      <c r="IH23" s="8">
        <v>1</v>
      </c>
      <c r="II23" s="8">
        <v>1</v>
      </c>
      <c r="IJ23" s="8">
        <v>1</v>
      </c>
      <c r="IK23" s="8">
        <v>1</v>
      </c>
      <c r="IL23" s="8">
        <v>1</v>
      </c>
      <c r="IM23" s="41"/>
      <c r="IN23" s="41"/>
      <c r="IO23" s="8">
        <v>1</v>
      </c>
      <c r="IP23" s="8">
        <v>1</v>
      </c>
      <c r="IQ23" s="8">
        <v>1</v>
      </c>
      <c r="IR23" s="8">
        <v>1</v>
      </c>
      <c r="IS23" s="8">
        <v>1</v>
      </c>
      <c r="IT23" s="41"/>
      <c r="IU23" s="41"/>
      <c r="IV23" s="8">
        <v>1</v>
      </c>
      <c r="IW23" s="8">
        <v>1</v>
      </c>
      <c r="IX23" s="8">
        <v>1</v>
      </c>
      <c r="IY23" s="8">
        <v>1</v>
      </c>
      <c r="IZ23" s="38"/>
      <c r="JA23" s="41"/>
      <c r="JB23" s="41"/>
      <c r="JC23" s="8">
        <v>1</v>
      </c>
      <c r="JD23" s="8">
        <v>1</v>
      </c>
      <c r="JE23" s="8">
        <v>1</v>
      </c>
      <c r="JF23" s="8">
        <v>1</v>
      </c>
      <c r="JG23" s="8">
        <v>1</v>
      </c>
      <c r="JH23" s="41"/>
      <c r="JI23" s="41"/>
      <c r="JJ23" s="8">
        <v>1</v>
      </c>
      <c r="JK23" s="8">
        <v>1</v>
      </c>
      <c r="JL23" s="8">
        <v>1</v>
      </c>
      <c r="JM23" s="8">
        <v>1</v>
      </c>
      <c r="JN23" s="8">
        <v>1</v>
      </c>
      <c r="JO23" s="41"/>
      <c r="JP23" s="41"/>
      <c r="JQ23" s="8">
        <v>1</v>
      </c>
      <c r="JR23" s="8">
        <v>1</v>
      </c>
      <c r="JS23" s="8">
        <v>1</v>
      </c>
      <c r="JT23" s="8">
        <v>1</v>
      </c>
      <c r="JU23" s="8">
        <v>1</v>
      </c>
      <c r="JV23" s="41"/>
      <c r="JW23" s="41"/>
      <c r="JX23" s="8">
        <v>1</v>
      </c>
      <c r="JY23" s="8">
        <v>1</v>
      </c>
      <c r="JZ23" s="8">
        <v>1</v>
      </c>
      <c r="KA23" s="8">
        <v>1</v>
      </c>
      <c r="KB23" s="8">
        <v>1</v>
      </c>
      <c r="KC23" s="41"/>
      <c r="KD23" s="41"/>
      <c r="KE23" s="8">
        <v>1</v>
      </c>
      <c r="KF23" s="8">
        <v>1</v>
      </c>
      <c r="KG23" s="8">
        <v>1</v>
      </c>
      <c r="KH23" s="8">
        <v>1</v>
      </c>
      <c r="KI23" s="8">
        <v>1</v>
      </c>
      <c r="KJ23" s="41"/>
      <c r="KK23" s="41"/>
      <c r="KL23" s="8">
        <v>1</v>
      </c>
      <c r="KM23" s="8">
        <v>1</v>
      </c>
      <c r="KN23" s="8">
        <v>1</v>
      </c>
      <c r="KO23" s="8">
        <v>1</v>
      </c>
      <c r="KP23" s="8">
        <v>1</v>
      </c>
      <c r="KQ23" s="41"/>
      <c r="KR23" s="41"/>
      <c r="KS23" s="8">
        <v>1</v>
      </c>
      <c r="KT23" s="8">
        <v>1</v>
      </c>
      <c r="KU23" s="8">
        <v>1</v>
      </c>
      <c r="KV23" s="8">
        <v>1</v>
      </c>
      <c r="KW23" s="8">
        <v>1</v>
      </c>
      <c r="KX23" s="41"/>
      <c r="KY23" s="41"/>
      <c r="KZ23" s="8">
        <v>1</v>
      </c>
      <c r="LA23" s="8">
        <v>1</v>
      </c>
      <c r="LB23" s="8">
        <v>1</v>
      </c>
      <c r="LC23" s="8">
        <v>1</v>
      </c>
      <c r="LD23" s="8">
        <v>1</v>
      </c>
      <c r="LE23" s="41"/>
      <c r="LF23" s="41"/>
      <c r="LG23" s="8">
        <v>1</v>
      </c>
      <c r="LH23" s="8">
        <v>1</v>
      </c>
      <c r="LI23" s="8">
        <v>1</v>
      </c>
      <c r="LJ23" s="8">
        <v>1</v>
      </c>
      <c r="LK23" s="8">
        <v>1</v>
      </c>
      <c r="LL23" s="41"/>
      <c r="LM23" s="41"/>
      <c r="LN23" s="8">
        <v>1</v>
      </c>
      <c r="LO23" s="8">
        <v>1</v>
      </c>
      <c r="LP23" s="8">
        <v>1</v>
      </c>
      <c r="LQ23" s="8">
        <v>1</v>
      </c>
      <c r="LR23" s="8">
        <v>1</v>
      </c>
      <c r="LS23" s="41"/>
      <c r="LT23" s="41"/>
      <c r="LU23" s="8">
        <v>1</v>
      </c>
      <c r="LV23" s="8">
        <v>1</v>
      </c>
      <c r="LW23" s="8">
        <v>1</v>
      </c>
      <c r="LX23" s="8">
        <v>1</v>
      </c>
      <c r="LY23" s="8">
        <v>1</v>
      </c>
      <c r="LZ23" s="41"/>
      <c r="MA23" s="41"/>
      <c r="MB23" s="8">
        <v>1</v>
      </c>
      <c r="MC23" s="8">
        <v>1</v>
      </c>
      <c r="MD23" s="8">
        <v>1</v>
      </c>
      <c r="ME23" s="8">
        <v>1</v>
      </c>
      <c r="MF23" s="8">
        <v>1</v>
      </c>
      <c r="MG23" s="41"/>
      <c r="MH23" s="41"/>
      <c r="MI23" s="8">
        <v>1</v>
      </c>
      <c r="MJ23" s="8">
        <v>1</v>
      </c>
      <c r="MK23" s="8">
        <v>1</v>
      </c>
      <c r="ML23" s="8">
        <v>1</v>
      </c>
      <c r="MM23" s="8">
        <v>1</v>
      </c>
      <c r="MN23" s="41"/>
      <c r="MO23" s="41"/>
      <c r="MP23" s="8">
        <v>1</v>
      </c>
      <c r="MQ23" s="8">
        <v>1</v>
      </c>
      <c r="MR23" s="8">
        <v>1</v>
      </c>
      <c r="MS23" s="8">
        <v>1</v>
      </c>
      <c r="MT23" s="8">
        <v>1</v>
      </c>
      <c r="MU23" s="41"/>
      <c r="MV23" s="41"/>
      <c r="MW23" s="8">
        <v>1</v>
      </c>
      <c r="MX23" s="8">
        <v>1</v>
      </c>
      <c r="MY23" s="8">
        <v>1</v>
      </c>
      <c r="MZ23" s="8">
        <v>1</v>
      </c>
      <c r="NA23" s="8">
        <v>1</v>
      </c>
      <c r="NB23" s="41"/>
      <c r="NC23" s="41"/>
      <c r="ND23" s="8">
        <v>1</v>
      </c>
      <c r="NE23" s="8">
        <v>1</v>
      </c>
      <c r="NF23" s="8">
        <v>1</v>
      </c>
      <c r="NG23" s="8">
        <v>1</v>
      </c>
      <c r="NH23" s="8">
        <v>1</v>
      </c>
      <c r="NI23" s="41"/>
      <c r="NJ23" s="41"/>
      <c r="NK23" s="8">
        <v>1</v>
      </c>
      <c r="NL23" s="8">
        <v>1</v>
      </c>
      <c r="NM23" s="8">
        <v>1</v>
      </c>
      <c r="NN23" s="8">
        <v>1</v>
      </c>
      <c r="NO23" s="8">
        <v>1</v>
      </c>
      <c r="NP23" s="40"/>
      <c r="NQ23" s="40"/>
      <c r="NR23" s="8">
        <v>1</v>
      </c>
      <c r="NS23" s="8">
        <v>1</v>
      </c>
      <c r="NT23" s="8">
        <v>1</v>
      </c>
      <c r="NU23" s="8">
        <v>1</v>
      </c>
      <c r="NV23" s="8">
        <v>1</v>
      </c>
      <c r="NW23" s="40"/>
      <c r="NX23" s="40"/>
      <c r="NY23" s="8">
        <v>1</v>
      </c>
      <c r="NZ23" s="8">
        <v>1</v>
      </c>
      <c r="OA23" s="8">
        <v>1</v>
      </c>
      <c r="OB23" s="8"/>
      <c r="OC23" s="8">
        <v>1</v>
      </c>
      <c r="OD23" s="41"/>
      <c r="OE23" s="41"/>
      <c r="OF23" s="8">
        <v>1</v>
      </c>
      <c r="OG23" s="8">
        <v>1</v>
      </c>
      <c r="OH23" s="8">
        <v>1</v>
      </c>
      <c r="OI23" s="32"/>
      <c r="OJ23" s="33"/>
      <c r="OK23" s="33"/>
      <c r="OL23" s="33"/>
      <c r="OM23" s="33"/>
      <c r="ON23" s="33"/>
      <c r="OO23" s="33"/>
      <c r="OP23" s="33"/>
      <c r="OQ23" s="33"/>
      <c r="OR23" s="33"/>
      <c r="OS23" s="33"/>
      <c r="OT23" s="33"/>
      <c r="OU23" s="33"/>
      <c r="OV23" s="33"/>
      <c r="OW23" s="33"/>
      <c r="OX23" s="33"/>
      <c r="OY23" s="33"/>
      <c r="OZ23" s="33"/>
      <c r="PA23" s="33"/>
      <c r="PB23" s="33"/>
      <c r="PC23" s="33"/>
      <c r="PD23" s="33"/>
      <c r="PE23" s="33"/>
      <c r="PF23" s="33"/>
      <c r="PG23" s="33"/>
      <c r="PH23" s="33"/>
      <c r="PI23" s="33"/>
      <c r="PJ23" s="33"/>
      <c r="PK23" s="33"/>
      <c r="PL23" s="33"/>
      <c r="PM23" s="33"/>
      <c r="PN23" s="33"/>
      <c r="PO23" s="33"/>
      <c r="PP23" s="33"/>
      <c r="PQ23" s="33"/>
      <c r="PR23" s="33"/>
      <c r="PS23" s="33"/>
      <c r="PT23" s="33"/>
      <c r="PU23" s="42"/>
      <c r="PV23" s="42"/>
      <c r="PW23" s="42"/>
      <c r="PX23" s="42"/>
      <c r="PY23" s="42"/>
      <c r="PZ23" s="42"/>
      <c r="QA23" s="42"/>
      <c r="QB23" s="42"/>
      <c r="QC23" s="42"/>
      <c r="QD23" s="42"/>
      <c r="QE23" s="42"/>
      <c r="QF23" s="42"/>
      <c r="QG23" s="42"/>
      <c r="QH23" s="42"/>
      <c r="QI23" s="42"/>
    </row>
    <row r="24" spans="1:451" s="43" customFormat="1" ht="21" x14ac:dyDescent="0.3">
      <c r="A24" s="61" t="s">
        <v>517</v>
      </c>
      <c r="B24" s="62" t="s">
        <v>432</v>
      </c>
      <c r="C24" s="45"/>
      <c r="D24" s="8">
        <v>1</v>
      </c>
      <c r="E24" s="8">
        <v>1</v>
      </c>
      <c r="F24" s="8">
        <v>1</v>
      </c>
      <c r="G24" s="8">
        <v>1</v>
      </c>
      <c r="H24" s="8">
        <v>1</v>
      </c>
      <c r="I24" s="46"/>
      <c r="J24" s="46"/>
      <c r="K24" s="8">
        <v>1</v>
      </c>
      <c r="L24" s="8">
        <v>1</v>
      </c>
      <c r="M24" s="8">
        <v>1</v>
      </c>
      <c r="N24" s="8">
        <v>1</v>
      </c>
      <c r="O24" s="8">
        <v>1</v>
      </c>
      <c r="P24" s="46"/>
      <c r="Q24" s="46"/>
      <c r="R24" s="8">
        <v>1</v>
      </c>
      <c r="S24" s="8">
        <v>1</v>
      </c>
      <c r="T24" s="8">
        <v>1</v>
      </c>
      <c r="U24" s="8">
        <v>1</v>
      </c>
      <c r="V24" s="8">
        <v>1</v>
      </c>
      <c r="W24" s="46"/>
      <c r="X24" s="46"/>
      <c r="Y24" s="8">
        <v>0</v>
      </c>
      <c r="Z24" s="8">
        <v>0</v>
      </c>
      <c r="AA24" s="8"/>
      <c r="AB24" s="8">
        <v>0</v>
      </c>
      <c r="AC24" s="8">
        <v>0</v>
      </c>
      <c r="AD24" s="46"/>
      <c r="AE24" s="46"/>
      <c r="AF24" s="8">
        <v>0</v>
      </c>
      <c r="AG24" s="8">
        <v>0</v>
      </c>
      <c r="AH24" s="38"/>
      <c r="AI24" s="8">
        <v>0</v>
      </c>
      <c r="AJ24" s="8">
        <v>0</v>
      </c>
      <c r="AK24" s="8"/>
      <c r="AL24" s="8"/>
      <c r="AM24" s="109">
        <v>1</v>
      </c>
      <c r="AN24" s="109">
        <v>1</v>
      </c>
      <c r="AO24" s="8">
        <v>1</v>
      </c>
      <c r="AP24" s="8">
        <v>1</v>
      </c>
      <c r="AQ24" s="8">
        <v>1</v>
      </c>
      <c r="AR24" s="39"/>
      <c r="AS24" s="39"/>
      <c r="AT24" s="8">
        <v>1</v>
      </c>
      <c r="AU24" s="8">
        <v>1</v>
      </c>
      <c r="AV24" s="8">
        <v>1</v>
      </c>
      <c r="AW24" s="8">
        <v>1</v>
      </c>
      <c r="AX24" s="8">
        <v>1</v>
      </c>
      <c r="AY24" s="39"/>
      <c r="AZ24" s="39"/>
      <c r="BA24" s="39">
        <v>1</v>
      </c>
      <c r="BB24" s="39">
        <v>1</v>
      </c>
      <c r="BC24" s="39">
        <v>1</v>
      </c>
      <c r="BD24" s="39">
        <v>1</v>
      </c>
      <c r="BE24" s="39">
        <v>1</v>
      </c>
      <c r="BF24" s="39"/>
      <c r="BG24" s="39"/>
      <c r="BH24" s="39">
        <v>1</v>
      </c>
      <c r="BI24" s="39">
        <v>1</v>
      </c>
      <c r="BJ24" s="39">
        <v>1</v>
      </c>
      <c r="BK24" s="39">
        <v>1</v>
      </c>
      <c r="BL24" s="39">
        <v>1</v>
      </c>
      <c r="BM24" s="40"/>
      <c r="BN24" s="40"/>
      <c r="BO24" s="8">
        <v>1</v>
      </c>
      <c r="BP24" s="8">
        <v>1</v>
      </c>
      <c r="BQ24" s="8">
        <v>1</v>
      </c>
      <c r="BR24" s="8">
        <v>1</v>
      </c>
      <c r="BS24" s="8">
        <v>1</v>
      </c>
      <c r="BT24" s="40"/>
      <c r="BU24" s="40"/>
      <c r="BV24" s="8">
        <v>1</v>
      </c>
      <c r="BW24" s="8">
        <v>1</v>
      </c>
      <c r="BX24" s="8">
        <v>1</v>
      </c>
      <c r="BY24" s="8">
        <v>0.5</v>
      </c>
      <c r="BZ24" s="8">
        <v>1</v>
      </c>
      <c r="CA24" s="40"/>
      <c r="CB24" s="40"/>
      <c r="CC24" s="8">
        <v>1</v>
      </c>
      <c r="CD24" s="8">
        <v>1</v>
      </c>
      <c r="CE24" s="8">
        <v>1</v>
      </c>
      <c r="CF24" s="8">
        <v>1</v>
      </c>
      <c r="CG24" s="8">
        <v>1</v>
      </c>
      <c r="CH24" s="40"/>
      <c r="CI24" s="40"/>
      <c r="CJ24" s="8">
        <v>1</v>
      </c>
      <c r="CK24" s="8">
        <v>1</v>
      </c>
      <c r="CL24" s="8">
        <v>1</v>
      </c>
      <c r="CM24" s="8">
        <v>1</v>
      </c>
      <c r="CN24" s="8">
        <v>1</v>
      </c>
      <c r="CO24" s="40"/>
      <c r="CP24" s="40"/>
      <c r="CQ24" s="8">
        <v>1</v>
      </c>
      <c r="CR24" s="8">
        <v>1</v>
      </c>
      <c r="CS24" s="8">
        <v>1</v>
      </c>
      <c r="CT24" s="8">
        <v>1</v>
      </c>
      <c r="CU24" s="8">
        <v>1</v>
      </c>
      <c r="CV24" s="40"/>
      <c r="CW24" s="40"/>
      <c r="CX24" s="8">
        <v>1</v>
      </c>
      <c r="CY24" s="8">
        <v>1</v>
      </c>
      <c r="CZ24" s="8">
        <v>1</v>
      </c>
      <c r="DA24" s="8">
        <v>1</v>
      </c>
      <c r="DB24" s="8">
        <v>1</v>
      </c>
      <c r="DC24" s="40"/>
      <c r="DD24" s="40"/>
      <c r="DE24" s="8">
        <v>1</v>
      </c>
      <c r="DF24" s="8">
        <v>1</v>
      </c>
      <c r="DG24" s="8">
        <v>1</v>
      </c>
      <c r="DH24" s="8">
        <v>1</v>
      </c>
      <c r="DI24" s="8">
        <v>1</v>
      </c>
      <c r="DJ24" s="40"/>
      <c r="DK24" s="40"/>
      <c r="DL24" s="8">
        <v>1</v>
      </c>
      <c r="DM24" s="8">
        <v>1</v>
      </c>
      <c r="DN24" s="8">
        <v>1</v>
      </c>
      <c r="DO24" s="8">
        <v>1</v>
      </c>
      <c r="DP24" s="8">
        <v>1</v>
      </c>
      <c r="DQ24" s="41"/>
      <c r="DR24" s="41"/>
      <c r="DS24" s="8">
        <v>1</v>
      </c>
      <c r="DT24" s="8">
        <v>1</v>
      </c>
      <c r="DU24" s="8">
        <v>1</v>
      </c>
      <c r="DV24" s="8">
        <v>1</v>
      </c>
      <c r="DW24" s="8">
        <v>1</v>
      </c>
      <c r="DX24" s="41"/>
      <c r="DY24" s="41"/>
      <c r="DZ24" s="8">
        <v>1</v>
      </c>
      <c r="EA24" s="8">
        <v>1</v>
      </c>
      <c r="EB24" s="8">
        <v>1</v>
      </c>
      <c r="EC24" s="8">
        <v>1</v>
      </c>
      <c r="ED24" s="8">
        <v>1</v>
      </c>
      <c r="EE24" s="41"/>
      <c r="EF24" s="41"/>
      <c r="EG24" s="8">
        <v>1</v>
      </c>
      <c r="EH24" s="8">
        <v>1</v>
      </c>
      <c r="EI24" s="8">
        <v>1</v>
      </c>
      <c r="EJ24" s="8">
        <v>1</v>
      </c>
      <c r="EK24" s="8">
        <v>1</v>
      </c>
      <c r="EL24" s="41"/>
      <c r="EM24" s="41"/>
      <c r="EN24" s="38"/>
      <c r="EO24" s="8">
        <v>1</v>
      </c>
      <c r="EP24" s="8">
        <v>1</v>
      </c>
      <c r="EQ24" s="8">
        <v>1</v>
      </c>
      <c r="ER24" s="8">
        <v>1</v>
      </c>
      <c r="ES24" s="41"/>
      <c r="ET24" s="41"/>
      <c r="EU24" s="8">
        <v>1</v>
      </c>
      <c r="EV24" s="8">
        <v>1</v>
      </c>
      <c r="EW24" s="8">
        <v>1</v>
      </c>
      <c r="EX24" s="38"/>
      <c r="EY24" s="8">
        <v>1</v>
      </c>
      <c r="EZ24" s="41"/>
      <c r="FA24" s="41"/>
      <c r="FB24" s="8">
        <v>1</v>
      </c>
      <c r="FC24" s="8">
        <v>1</v>
      </c>
      <c r="FD24" s="8">
        <v>1</v>
      </c>
      <c r="FE24" s="38"/>
      <c r="FF24" s="8">
        <v>1</v>
      </c>
      <c r="FG24" s="41"/>
      <c r="FH24" s="41"/>
      <c r="FI24" s="8">
        <v>1</v>
      </c>
      <c r="FJ24" s="8">
        <v>1</v>
      </c>
      <c r="FK24" s="8">
        <v>1</v>
      </c>
      <c r="FL24" s="8">
        <v>1</v>
      </c>
      <c r="FM24" s="8">
        <v>1</v>
      </c>
      <c r="FN24" s="41"/>
      <c r="FO24" s="41"/>
      <c r="FP24" s="8">
        <v>1</v>
      </c>
      <c r="FQ24" s="8">
        <v>1</v>
      </c>
      <c r="FR24" s="8">
        <v>1</v>
      </c>
      <c r="FS24" s="8">
        <v>1</v>
      </c>
      <c r="FT24" s="8">
        <v>1</v>
      </c>
      <c r="FU24" s="41"/>
      <c r="FV24" s="41"/>
      <c r="FW24" s="8">
        <v>1</v>
      </c>
      <c r="FX24" s="8">
        <v>1</v>
      </c>
      <c r="FY24" s="8">
        <v>1</v>
      </c>
      <c r="FZ24" s="38"/>
      <c r="GA24" s="8">
        <v>1</v>
      </c>
      <c r="GB24" s="41"/>
      <c r="GC24" s="41"/>
      <c r="GD24" s="8">
        <v>1</v>
      </c>
      <c r="GE24" s="8">
        <v>1</v>
      </c>
      <c r="GF24" s="8">
        <v>1</v>
      </c>
      <c r="GG24" s="8">
        <v>1</v>
      </c>
      <c r="GH24" s="8">
        <v>1</v>
      </c>
      <c r="GI24" s="41"/>
      <c r="GJ24" s="41"/>
      <c r="GK24" s="38"/>
      <c r="GL24" s="8">
        <v>1</v>
      </c>
      <c r="GM24" s="8">
        <v>1</v>
      </c>
      <c r="GN24" s="8">
        <v>1</v>
      </c>
      <c r="GO24" s="8">
        <v>1</v>
      </c>
      <c r="GP24" s="41"/>
      <c r="GQ24" s="41"/>
      <c r="GR24" s="8">
        <v>1</v>
      </c>
      <c r="GS24" s="8">
        <v>1</v>
      </c>
      <c r="GT24" s="8">
        <v>1</v>
      </c>
      <c r="GU24" s="8">
        <v>1</v>
      </c>
      <c r="GV24" s="8">
        <v>1</v>
      </c>
      <c r="GW24" s="41"/>
      <c r="GX24" s="41"/>
      <c r="GY24" s="8">
        <v>1</v>
      </c>
      <c r="GZ24" s="8">
        <v>1</v>
      </c>
      <c r="HA24" s="8">
        <v>1</v>
      </c>
      <c r="HB24" s="8">
        <v>1</v>
      </c>
      <c r="HC24" s="8">
        <v>1</v>
      </c>
      <c r="HD24" s="41"/>
      <c r="HE24" s="41"/>
      <c r="HF24" s="8">
        <v>1</v>
      </c>
      <c r="HG24" s="8">
        <v>1</v>
      </c>
      <c r="HH24" s="8">
        <v>1</v>
      </c>
      <c r="HI24" s="8">
        <v>1</v>
      </c>
      <c r="HJ24" s="8">
        <v>1</v>
      </c>
      <c r="HK24" s="41"/>
      <c r="HL24" s="41"/>
      <c r="HM24" s="8">
        <v>1</v>
      </c>
      <c r="HN24" s="8">
        <v>1</v>
      </c>
      <c r="HO24" s="8">
        <v>1</v>
      </c>
      <c r="HP24" s="8">
        <v>1</v>
      </c>
      <c r="HQ24" s="8">
        <v>1</v>
      </c>
      <c r="HR24" s="41"/>
      <c r="HS24" s="41"/>
      <c r="HT24" s="38"/>
      <c r="HU24" s="8">
        <v>1</v>
      </c>
      <c r="HV24" s="8">
        <v>1</v>
      </c>
      <c r="HW24" s="8">
        <v>1</v>
      </c>
      <c r="HX24" s="8">
        <v>1</v>
      </c>
      <c r="HY24" s="41"/>
      <c r="HZ24" s="41"/>
      <c r="IA24" s="8">
        <v>1</v>
      </c>
      <c r="IB24" s="8">
        <v>1</v>
      </c>
      <c r="IC24" s="8">
        <v>1</v>
      </c>
      <c r="ID24" s="8">
        <v>1</v>
      </c>
      <c r="IE24" s="8">
        <v>1</v>
      </c>
      <c r="IF24" s="41"/>
      <c r="IG24" s="41"/>
      <c r="IH24" s="8">
        <v>1</v>
      </c>
      <c r="II24" s="8">
        <v>1</v>
      </c>
      <c r="IJ24" s="8">
        <v>1</v>
      </c>
      <c r="IK24" s="8">
        <v>1</v>
      </c>
      <c r="IL24" s="8">
        <v>1</v>
      </c>
      <c r="IM24" s="41"/>
      <c r="IN24" s="41"/>
      <c r="IO24" s="8">
        <v>1</v>
      </c>
      <c r="IP24" s="8">
        <v>1</v>
      </c>
      <c r="IQ24" s="8">
        <v>1</v>
      </c>
      <c r="IR24" s="8">
        <v>1</v>
      </c>
      <c r="IS24" s="8">
        <v>1</v>
      </c>
      <c r="IT24" s="41"/>
      <c r="IU24" s="41"/>
      <c r="IV24" s="8">
        <v>1</v>
      </c>
      <c r="IW24" s="8">
        <v>1</v>
      </c>
      <c r="IX24" s="8">
        <v>1</v>
      </c>
      <c r="IY24" s="8">
        <v>1</v>
      </c>
      <c r="IZ24" s="38"/>
      <c r="JA24" s="41"/>
      <c r="JB24" s="41"/>
      <c r="JC24" s="8">
        <v>1</v>
      </c>
      <c r="JD24" s="8">
        <v>1</v>
      </c>
      <c r="JE24" s="8">
        <v>1</v>
      </c>
      <c r="JF24" s="8">
        <v>1</v>
      </c>
      <c r="JG24" s="8">
        <v>1</v>
      </c>
      <c r="JH24" s="41"/>
      <c r="JI24" s="41"/>
      <c r="JJ24" s="8">
        <v>1</v>
      </c>
      <c r="JK24" s="8">
        <v>1</v>
      </c>
      <c r="JL24" s="8">
        <v>1</v>
      </c>
      <c r="JM24" s="8">
        <v>1</v>
      </c>
      <c r="JN24" s="8">
        <v>1</v>
      </c>
      <c r="JO24" s="41"/>
      <c r="JP24" s="41"/>
      <c r="JQ24" s="8">
        <v>1</v>
      </c>
      <c r="JR24" s="8">
        <v>1</v>
      </c>
      <c r="JS24" s="8">
        <v>1</v>
      </c>
      <c r="JT24" s="8">
        <v>1</v>
      </c>
      <c r="JU24" s="8">
        <v>1</v>
      </c>
      <c r="JV24" s="41"/>
      <c r="JW24" s="41"/>
      <c r="JX24" s="8">
        <v>1</v>
      </c>
      <c r="JY24" s="8">
        <v>1</v>
      </c>
      <c r="JZ24" s="8">
        <v>1</v>
      </c>
      <c r="KA24" s="8">
        <v>1</v>
      </c>
      <c r="KB24" s="8">
        <v>1</v>
      </c>
      <c r="KC24" s="41"/>
      <c r="KD24" s="41"/>
      <c r="KE24" s="8">
        <v>1</v>
      </c>
      <c r="KF24" s="8">
        <v>1</v>
      </c>
      <c r="KG24" s="8">
        <v>1</v>
      </c>
      <c r="KH24" s="8">
        <v>1</v>
      </c>
      <c r="KI24" s="8">
        <v>1</v>
      </c>
      <c r="KJ24" s="41"/>
      <c r="KK24" s="41"/>
      <c r="KL24" s="8">
        <v>1</v>
      </c>
      <c r="KM24" s="8">
        <v>1</v>
      </c>
      <c r="KN24" s="8">
        <v>1</v>
      </c>
      <c r="KO24" s="8">
        <v>1</v>
      </c>
      <c r="KP24" s="8">
        <v>1</v>
      </c>
      <c r="KQ24" s="41"/>
      <c r="KR24" s="41"/>
      <c r="KS24" s="8">
        <v>1</v>
      </c>
      <c r="KT24" s="8">
        <v>1</v>
      </c>
      <c r="KU24" s="8">
        <v>1</v>
      </c>
      <c r="KV24" s="8">
        <v>1</v>
      </c>
      <c r="KW24" s="8">
        <v>1</v>
      </c>
      <c r="KX24" s="41"/>
      <c r="KY24" s="41"/>
      <c r="KZ24" s="8">
        <v>1</v>
      </c>
      <c r="LA24" s="8">
        <v>1</v>
      </c>
      <c r="LB24" s="8">
        <v>1</v>
      </c>
      <c r="LC24" s="8">
        <v>1</v>
      </c>
      <c r="LD24" s="8">
        <v>1</v>
      </c>
      <c r="LE24" s="41"/>
      <c r="LF24" s="41"/>
      <c r="LG24" s="8">
        <v>1</v>
      </c>
      <c r="LH24" s="8">
        <v>1</v>
      </c>
      <c r="LI24" s="8">
        <v>1</v>
      </c>
      <c r="LJ24" s="8">
        <v>1</v>
      </c>
      <c r="LK24" s="8">
        <v>1</v>
      </c>
      <c r="LL24" s="41"/>
      <c r="LM24" s="41"/>
      <c r="LN24" s="8">
        <v>1</v>
      </c>
      <c r="LO24" s="8">
        <v>1</v>
      </c>
      <c r="LP24" s="8">
        <v>1</v>
      </c>
      <c r="LQ24" s="8">
        <v>1</v>
      </c>
      <c r="LR24" s="8">
        <v>1</v>
      </c>
      <c r="LS24" s="41"/>
      <c r="LT24" s="41"/>
      <c r="LU24" s="8">
        <v>1</v>
      </c>
      <c r="LV24" s="8">
        <v>1</v>
      </c>
      <c r="LW24" s="8">
        <v>1</v>
      </c>
      <c r="LX24" s="8">
        <v>1</v>
      </c>
      <c r="LY24" s="8">
        <v>1</v>
      </c>
      <c r="LZ24" s="41"/>
      <c r="MA24" s="41"/>
      <c r="MB24" s="8">
        <v>1</v>
      </c>
      <c r="MC24" s="8">
        <v>1</v>
      </c>
      <c r="MD24" s="8">
        <v>1</v>
      </c>
      <c r="ME24" s="8">
        <v>1</v>
      </c>
      <c r="MF24" s="8">
        <v>1</v>
      </c>
      <c r="MG24" s="41"/>
      <c r="MH24" s="41"/>
      <c r="MI24" s="8">
        <v>1</v>
      </c>
      <c r="MJ24" s="8">
        <v>1</v>
      </c>
      <c r="MK24" s="8">
        <v>1</v>
      </c>
      <c r="ML24" s="8">
        <v>1</v>
      </c>
      <c r="MM24" s="8">
        <v>1</v>
      </c>
      <c r="MN24" s="41"/>
      <c r="MO24" s="41"/>
      <c r="MP24" s="8">
        <v>1</v>
      </c>
      <c r="MQ24" s="8">
        <v>1</v>
      </c>
      <c r="MR24" s="8">
        <v>1</v>
      </c>
      <c r="MS24" s="8">
        <v>1</v>
      </c>
      <c r="MT24" s="8">
        <v>1</v>
      </c>
      <c r="MU24" s="41"/>
      <c r="MV24" s="41"/>
      <c r="MW24" s="8">
        <v>1</v>
      </c>
      <c r="MX24" s="8">
        <v>1</v>
      </c>
      <c r="MY24" s="8">
        <v>1</v>
      </c>
      <c r="MZ24" s="8">
        <v>1</v>
      </c>
      <c r="NA24" s="8">
        <v>1</v>
      </c>
      <c r="NB24" s="41"/>
      <c r="NC24" s="41"/>
      <c r="ND24" s="8">
        <v>1</v>
      </c>
      <c r="NE24" s="8">
        <v>1</v>
      </c>
      <c r="NF24" s="8">
        <v>1</v>
      </c>
      <c r="NG24" s="8">
        <v>1</v>
      </c>
      <c r="NH24" s="8">
        <v>1</v>
      </c>
      <c r="NI24" s="41"/>
      <c r="NJ24" s="41"/>
      <c r="NK24" s="8">
        <v>1</v>
      </c>
      <c r="NL24" s="8">
        <v>1</v>
      </c>
      <c r="NM24" s="8">
        <v>1</v>
      </c>
      <c r="NN24" s="8">
        <v>1</v>
      </c>
      <c r="NO24" s="8">
        <v>1</v>
      </c>
      <c r="NP24" s="40"/>
      <c r="NQ24" s="40"/>
      <c r="NR24" s="8">
        <v>1</v>
      </c>
      <c r="NS24" s="8">
        <v>1</v>
      </c>
      <c r="NT24" s="8">
        <v>1</v>
      </c>
      <c r="NU24" s="8">
        <v>1</v>
      </c>
      <c r="NV24" s="8">
        <v>1</v>
      </c>
      <c r="NW24" s="40"/>
      <c r="NX24" s="40"/>
      <c r="NY24" s="8">
        <v>1</v>
      </c>
      <c r="NZ24" s="8">
        <v>1</v>
      </c>
      <c r="OA24" s="8">
        <v>1</v>
      </c>
      <c r="OB24" s="8"/>
      <c r="OC24" s="8">
        <v>1</v>
      </c>
      <c r="OD24" s="41"/>
      <c r="OE24" s="41"/>
      <c r="OF24" s="8">
        <v>1</v>
      </c>
      <c r="OG24" s="8">
        <v>1</v>
      </c>
      <c r="OH24" s="8">
        <v>1</v>
      </c>
      <c r="OI24" s="32"/>
      <c r="OJ24" s="33"/>
      <c r="OK24" s="33"/>
      <c r="OL24" s="33"/>
      <c r="OM24" s="33"/>
      <c r="ON24" s="33"/>
      <c r="OO24" s="33"/>
      <c r="OP24" s="33"/>
      <c r="OQ24" s="33"/>
      <c r="OR24" s="33"/>
      <c r="OS24" s="33"/>
      <c r="OT24" s="33"/>
      <c r="OU24" s="33"/>
      <c r="OV24" s="33"/>
      <c r="OW24" s="33"/>
      <c r="OX24" s="33"/>
      <c r="OY24" s="33"/>
      <c r="OZ24" s="33"/>
      <c r="PA24" s="33"/>
      <c r="PB24" s="33"/>
      <c r="PC24" s="33"/>
      <c r="PD24" s="33"/>
      <c r="PE24" s="33"/>
      <c r="PF24" s="33"/>
      <c r="PG24" s="33"/>
      <c r="PH24" s="33"/>
      <c r="PI24" s="33"/>
      <c r="PJ24" s="33"/>
      <c r="PK24" s="33"/>
      <c r="PL24" s="33"/>
      <c r="PM24" s="33"/>
      <c r="PN24" s="33"/>
      <c r="PO24" s="33"/>
      <c r="PP24" s="33"/>
      <c r="PQ24" s="33"/>
      <c r="PR24" s="33"/>
      <c r="PS24" s="33"/>
      <c r="PT24" s="33"/>
      <c r="PU24" s="42"/>
      <c r="PV24" s="42"/>
      <c r="PW24" s="42"/>
      <c r="PX24" s="42"/>
      <c r="PY24" s="42"/>
      <c r="PZ24" s="42"/>
      <c r="QA24" s="42"/>
      <c r="QB24" s="42"/>
      <c r="QC24" s="42"/>
      <c r="QD24" s="42"/>
      <c r="QE24" s="42"/>
      <c r="QF24" s="42"/>
      <c r="QG24" s="42"/>
      <c r="QH24" s="42"/>
      <c r="QI24" s="42"/>
    </row>
    <row r="25" spans="1:451" s="43" customFormat="1" ht="21" x14ac:dyDescent="0.3">
      <c r="A25" s="61" t="s">
        <v>518</v>
      </c>
      <c r="B25" s="62" t="s">
        <v>432</v>
      </c>
      <c r="C25" s="45"/>
      <c r="D25" s="8">
        <v>1</v>
      </c>
      <c r="E25" s="8">
        <v>1</v>
      </c>
      <c r="F25" s="8">
        <v>1</v>
      </c>
      <c r="G25" s="8">
        <v>1</v>
      </c>
      <c r="H25" s="8">
        <v>1</v>
      </c>
      <c r="I25" s="46"/>
      <c r="J25" s="46"/>
      <c r="K25" s="8">
        <v>1</v>
      </c>
      <c r="L25" s="8">
        <v>1</v>
      </c>
      <c r="M25" s="8">
        <v>1</v>
      </c>
      <c r="N25" s="8">
        <v>1</v>
      </c>
      <c r="O25" s="8">
        <v>1</v>
      </c>
      <c r="P25" s="46"/>
      <c r="Q25" s="46"/>
      <c r="R25" s="8">
        <v>1</v>
      </c>
      <c r="S25" s="8">
        <v>1</v>
      </c>
      <c r="T25" s="8">
        <v>1</v>
      </c>
      <c r="U25" s="8">
        <v>1</v>
      </c>
      <c r="V25" s="8">
        <v>1</v>
      </c>
      <c r="W25" s="46"/>
      <c r="X25" s="46"/>
      <c r="Y25" s="8">
        <v>0</v>
      </c>
      <c r="Z25" s="8">
        <v>0</v>
      </c>
      <c r="AA25" s="8"/>
      <c r="AB25" s="8">
        <v>0</v>
      </c>
      <c r="AC25" s="8">
        <v>0</v>
      </c>
      <c r="AD25" s="46"/>
      <c r="AE25" s="46"/>
      <c r="AF25" s="8">
        <v>0</v>
      </c>
      <c r="AG25" s="8">
        <v>0</v>
      </c>
      <c r="AH25" s="38"/>
      <c r="AI25" s="8">
        <v>0</v>
      </c>
      <c r="AJ25" s="8">
        <v>0</v>
      </c>
      <c r="AK25" s="8"/>
      <c r="AL25" s="8"/>
      <c r="AM25" s="109">
        <v>1</v>
      </c>
      <c r="AN25" s="109">
        <v>1</v>
      </c>
      <c r="AO25" s="8">
        <v>1</v>
      </c>
      <c r="AP25" s="8">
        <v>1</v>
      </c>
      <c r="AQ25" s="8">
        <v>1</v>
      </c>
      <c r="AR25" s="39"/>
      <c r="AS25" s="39"/>
      <c r="AT25" s="8">
        <v>1</v>
      </c>
      <c r="AU25" s="8">
        <v>1</v>
      </c>
      <c r="AV25" s="8">
        <v>1</v>
      </c>
      <c r="AW25" s="8">
        <v>1</v>
      </c>
      <c r="AX25" s="8">
        <v>1</v>
      </c>
      <c r="AY25" s="39"/>
      <c r="AZ25" s="39"/>
      <c r="BA25" s="39">
        <v>1</v>
      </c>
      <c r="BB25" s="39">
        <v>1</v>
      </c>
      <c r="BC25" s="39">
        <v>1</v>
      </c>
      <c r="BD25" s="39">
        <v>1</v>
      </c>
      <c r="BE25" s="39">
        <v>1</v>
      </c>
      <c r="BF25" s="39"/>
      <c r="BG25" s="39"/>
      <c r="BH25" s="39">
        <v>1</v>
      </c>
      <c r="BI25" s="39">
        <v>1</v>
      </c>
      <c r="BJ25" s="39">
        <v>1</v>
      </c>
      <c r="BK25" s="39">
        <v>1</v>
      </c>
      <c r="BL25" s="39">
        <v>1</v>
      </c>
      <c r="BM25" s="40"/>
      <c r="BN25" s="40"/>
      <c r="BO25" s="8">
        <v>1</v>
      </c>
      <c r="BP25" s="8">
        <v>1</v>
      </c>
      <c r="BQ25" s="8">
        <v>1</v>
      </c>
      <c r="BR25" s="8">
        <v>1</v>
      </c>
      <c r="BS25" s="8">
        <v>1</v>
      </c>
      <c r="BT25" s="40"/>
      <c r="BU25" s="40"/>
      <c r="BV25" s="8">
        <v>1</v>
      </c>
      <c r="BW25" s="8">
        <v>1</v>
      </c>
      <c r="BX25" s="8">
        <v>1</v>
      </c>
      <c r="BY25" s="8">
        <v>1</v>
      </c>
      <c r="BZ25" s="8">
        <v>1</v>
      </c>
      <c r="CA25" s="40"/>
      <c r="CB25" s="40"/>
      <c r="CC25" s="8">
        <v>1</v>
      </c>
      <c r="CD25" s="8">
        <v>1</v>
      </c>
      <c r="CE25" s="8">
        <v>1</v>
      </c>
      <c r="CF25" s="8">
        <v>1</v>
      </c>
      <c r="CG25" s="8">
        <v>1</v>
      </c>
      <c r="CH25" s="40"/>
      <c r="CI25" s="40"/>
      <c r="CJ25" s="8">
        <v>1</v>
      </c>
      <c r="CK25" s="8">
        <v>1</v>
      </c>
      <c r="CL25" s="8">
        <v>1</v>
      </c>
      <c r="CM25" s="8">
        <v>1</v>
      </c>
      <c r="CN25" s="8">
        <v>1</v>
      </c>
      <c r="CO25" s="40"/>
      <c r="CP25" s="40"/>
      <c r="CQ25" s="8">
        <v>1</v>
      </c>
      <c r="CR25" s="8">
        <v>1</v>
      </c>
      <c r="CS25" s="8">
        <v>1</v>
      </c>
      <c r="CT25" s="8">
        <v>1</v>
      </c>
      <c r="CU25" s="8">
        <v>1</v>
      </c>
      <c r="CV25" s="40"/>
      <c r="CW25" s="40"/>
      <c r="CX25" s="8">
        <v>1</v>
      </c>
      <c r="CY25" s="8">
        <v>1</v>
      </c>
      <c r="CZ25" s="8">
        <v>1</v>
      </c>
      <c r="DA25" s="8">
        <v>1</v>
      </c>
      <c r="DB25" s="8">
        <v>1</v>
      </c>
      <c r="DC25" s="40"/>
      <c r="DD25" s="40"/>
      <c r="DE25" s="8">
        <v>1</v>
      </c>
      <c r="DF25" s="8">
        <v>1</v>
      </c>
      <c r="DG25" s="8">
        <v>1</v>
      </c>
      <c r="DH25" s="8">
        <v>1</v>
      </c>
      <c r="DI25" s="8">
        <v>1</v>
      </c>
      <c r="DJ25" s="40"/>
      <c r="DK25" s="40"/>
      <c r="DL25" s="8">
        <v>1</v>
      </c>
      <c r="DM25" s="8">
        <v>1</v>
      </c>
      <c r="DN25" s="8">
        <v>1</v>
      </c>
      <c r="DO25" s="8">
        <v>1</v>
      </c>
      <c r="DP25" s="8">
        <v>1</v>
      </c>
      <c r="DQ25" s="41"/>
      <c r="DR25" s="41"/>
      <c r="DS25" s="8">
        <v>1</v>
      </c>
      <c r="DT25" s="8">
        <v>1</v>
      </c>
      <c r="DU25" s="8">
        <v>1</v>
      </c>
      <c r="DV25" s="8">
        <v>1</v>
      </c>
      <c r="DW25" s="8">
        <v>1</v>
      </c>
      <c r="DX25" s="41"/>
      <c r="DY25" s="41"/>
      <c r="DZ25" s="8">
        <v>1</v>
      </c>
      <c r="EA25" s="8">
        <v>1</v>
      </c>
      <c r="EB25" s="8">
        <v>1</v>
      </c>
      <c r="EC25" s="8">
        <v>1</v>
      </c>
      <c r="ED25" s="8">
        <v>1</v>
      </c>
      <c r="EE25" s="41"/>
      <c r="EF25" s="41"/>
      <c r="EG25" s="8">
        <v>1</v>
      </c>
      <c r="EH25" s="8">
        <v>1</v>
      </c>
      <c r="EI25" s="8">
        <v>1</v>
      </c>
      <c r="EJ25" s="8">
        <v>1</v>
      </c>
      <c r="EK25" s="8">
        <v>1</v>
      </c>
      <c r="EL25" s="41"/>
      <c r="EM25" s="41"/>
      <c r="EN25" s="38"/>
      <c r="EO25" s="8">
        <v>1</v>
      </c>
      <c r="EP25" s="8">
        <v>1</v>
      </c>
      <c r="EQ25" s="8">
        <v>1</v>
      </c>
      <c r="ER25" s="8">
        <v>1</v>
      </c>
      <c r="ES25" s="41"/>
      <c r="ET25" s="41"/>
      <c r="EU25" s="8">
        <v>1</v>
      </c>
      <c r="EV25" s="8">
        <v>1</v>
      </c>
      <c r="EW25" s="8">
        <v>1</v>
      </c>
      <c r="EX25" s="38"/>
      <c r="EY25" s="8">
        <v>1</v>
      </c>
      <c r="EZ25" s="41"/>
      <c r="FA25" s="41"/>
      <c r="FB25" s="8">
        <v>1</v>
      </c>
      <c r="FC25" s="8">
        <v>1</v>
      </c>
      <c r="FD25" s="8">
        <v>1</v>
      </c>
      <c r="FE25" s="38"/>
      <c r="FF25" s="8">
        <v>1</v>
      </c>
      <c r="FG25" s="41"/>
      <c r="FH25" s="41"/>
      <c r="FI25" s="8">
        <v>1</v>
      </c>
      <c r="FJ25" s="8">
        <v>1</v>
      </c>
      <c r="FK25" s="8">
        <v>1</v>
      </c>
      <c r="FL25" s="8">
        <v>1</v>
      </c>
      <c r="FM25" s="8">
        <v>1</v>
      </c>
      <c r="FN25" s="41"/>
      <c r="FO25" s="41"/>
      <c r="FP25" s="8">
        <v>1</v>
      </c>
      <c r="FQ25" s="8">
        <v>1</v>
      </c>
      <c r="FR25" s="8">
        <v>1</v>
      </c>
      <c r="FS25" s="8">
        <v>1</v>
      </c>
      <c r="FT25" s="8">
        <v>1</v>
      </c>
      <c r="FU25" s="41"/>
      <c r="FV25" s="41"/>
      <c r="FW25" s="8">
        <v>1</v>
      </c>
      <c r="FX25" s="8">
        <v>1</v>
      </c>
      <c r="FY25" s="8">
        <v>1</v>
      </c>
      <c r="FZ25" s="38"/>
      <c r="GA25" s="8">
        <v>1</v>
      </c>
      <c r="GB25" s="41"/>
      <c r="GC25" s="41"/>
      <c r="GD25" s="8">
        <v>1</v>
      </c>
      <c r="GE25" s="8">
        <v>1</v>
      </c>
      <c r="GF25" s="8">
        <v>1</v>
      </c>
      <c r="GG25" s="8">
        <v>1</v>
      </c>
      <c r="GH25" s="8">
        <v>1</v>
      </c>
      <c r="GI25" s="41"/>
      <c r="GJ25" s="41"/>
      <c r="GK25" s="38"/>
      <c r="GL25" s="8">
        <v>1</v>
      </c>
      <c r="GM25" s="8">
        <v>1</v>
      </c>
      <c r="GN25" s="8">
        <v>1</v>
      </c>
      <c r="GO25" s="8">
        <v>1</v>
      </c>
      <c r="GP25" s="41"/>
      <c r="GQ25" s="41"/>
      <c r="GR25" s="8">
        <v>1</v>
      </c>
      <c r="GS25" s="8">
        <v>1</v>
      </c>
      <c r="GT25" s="8">
        <v>1</v>
      </c>
      <c r="GU25" s="8">
        <v>1</v>
      </c>
      <c r="GV25" s="8">
        <v>1</v>
      </c>
      <c r="GW25" s="41"/>
      <c r="GX25" s="41"/>
      <c r="GY25" s="8">
        <v>1</v>
      </c>
      <c r="GZ25" s="8">
        <v>1</v>
      </c>
      <c r="HA25" s="8">
        <v>1</v>
      </c>
      <c r="HB25" s="8">
        <v>1</v>
      </c>
      <c r="HC25" s="8">
        <v>1</v>
      </c>
      <c r="HD25" s="41"/>
      <c r="HE25" s="41"/>
      <c r="HF25" s="8">
        <v>1</v>
      </c>
      <c r="HG25" s="8">
        <v>1</v>
      </c>
      <c r="HH25" s="8">
        <v>1</v>
      </c>
      <c r="HI25" s="8">
        <v>1</v>
      </c>
      <c r="HJ25" s="8">
        <v>1</v>
      </c>
      <c r="HK25" s="41"/>
      <c r="HL25" s="41"/>
      <c r="HM25" s="8">
        <v>1</v>
      </c>
      <c r="HN25" s="8">
        <v>1</v>
      </c>
      <c r="HO25" s="8">
        <v>1</v>
      </c>
      <c r="HP25" s="8">
        <v>1</v>
      </c>
      <c r="HQ25" s="8">
        <v>1</v>
      </c>
      <c r="HR25" s="41"/>
      <c r="HS25" s="41"/>
      <c r="HT25" s="38"/>
      <c r="HU25" s="8">
        <v>1</v>
      </c>
      <c r="HV25" s="8">
        <v>1</v>
      </c>
      <c r="HW25" s="8">
        <v>1</v>
      </c>
      <c r="HX25" s="8">
        <v>1</v>
      </c>
      <c r="HY25" s="41"/>
      <c r="HZ25" s="41"/>
      <c r="IA25" s="8">
        <v>1</v>
      </c>
      <c r="IB25" s="8">
        <v>1</v>
      </c>
      <c r="IC25" s="8">
        <v>1</v>
      </c>
      <c r="ID25" s="8">
        <v>1</v>
      </c>
      <c r="IE25" s="8">
        <v>1</v>
      </c>
      <c r="IF25" s="41"/>
      <c r="IG25" s="41"/>
      <c r="IH25" s="8">
        <v>1</v>
      </c>
      <c r="II25" s="8">
        <v>1</v>
      </c>
      <c r="IJ25" s="8">
        <v>1</v>
      </c>
      <c r="IK25" s="8">
        <v>1</v>
      </c>
      <c r="IL25" s="8">
        <v>1</v>
      </c>
      <c r="IM25" s="41"/>
      <c r="IN25" s="41"/>
      <c r="IO25" s="8">
        <v>1</v>
      </c>
      <c r="IP25" s="8">
        <v>1</v>
      </c>
      <c r="IQ25" s="8">
        <v>1</v>
      </c>
      <c r="IR25" s="8">
        <v>1</v>
      </c>
      <c r="IS25" s="8">
        <v>1</v>
      </c>
      <c r="IT25" s="41"/>
      <c r="IU25" s="41"/>
      <c r="IV25" s="8">
        <v>1</v>
      </c>
      <c r="IW25" s="8">
        <v>1</v>
      </c>
      <c r="IX25" s="8">
        <v>1</v>
      </c>
      <c r="IY25" s="8">
        <v>1</v>
      </c>
      <c r="IZ25" s="38"/>
      <c r="JA25" s="41"/>
      <c r="JB25" s="41"/>
      <c r="JC25" s="8">
        <v>1</v>
      </c>
      <c r="JD25" s="8">
        <v>1</v>
      </c>
      <c r="JE25" s="8">
        <v>1</v>
      </c>
      <c r="JF25" s="8">
        <v>1</v>
      </c>
      <c r="JG25" s="8">
        <v>1</v>
      </c>
      <c r="JH25" s="41"/>
      <c r="JI25" s="41"/>
      <c r="JJ25" s="8">
        <v>1</v>
      </c>
      <c r="JK25" s="8">
        <v>1</v>
      </c>
      <c r="JL25" s="8">
        <v>1</v>
      </c>
      <c r="JM25" s="8">
        <v>1</v>
      </c>
      <c r="JN25" s="8">
        <v>1</v>
      </c>
      <c r="JO25" s="41"/>
      <c r="JP25" s="41"/>
      <c r="JQ25" s="8">
        <v>1</v>
      </c>
      <c r="JR25" s="8">
        <v>1</v>
      </c>
      <c r="JS25" s="8">
        <v>1</v>
      </c>
      <c r="JT25" s="8">
        <v>1</v>
      </c>
      <c r="JU25" s="8">
        <v>1</v>
      </c>
      <c r="JV25" s="41"/>
      <c r="JW25" s="41"/>
      <c r="JX25" s="8">
        <v>1</v>
      </c>
      <c r="JY25" s="8">
        <v>1</v>
      </c>
      <c r="JZ25" s="8">
        <v>1</v>
      </c>
      <c r="KA25" s="8">
        <v>1</v>
      </c>
      <c r="KB25" s="8">
        <v>1</v>
      </c>
      <c r="KC25" s="41"/>
      <c r="KD25" s="41"/>
      <c r="KE25" s="8">
        <v>1</v>
      </c>
      <c r="KF25" s="8">
        <v>1</v>
      </c>
      <c r="KG25" s="8">
        <v>1</v>
      </c>
      <c r="KH25" s="8">
        <v>1</v>
      </c>
      <c r="KI25" s="8">
        <v>1</v>
      </c>
      <c r="KJ25" s="41"/>
      <c r="KK25" s="41"/>
      <c r="KL25" s="8">
        <v>1</v>
      </c>
      <c r="KM25" s="8">
        <v>1</v>
      </c>
      <c r="KN25" s="8">
        <v>1</v>
      </c>
      <c r="KO25" s="8">
        <v>1</v>
      </c>
      <c r="KP25" s="8">
        <v>1</v>
      </c>
      <c r="KQ25" s="41"/>
      <c r="KR25" s="41"/>
      <c r="KS25" s="8">
        <v>1</v>
      </c>
      <c r="KT25" s="8">
        <v>1</v>
      </c>
      <c r="KU25" s="8">
        <v>1</v>
      </c>
      <c r="KV25" s="8">
        <v>1</v>
      </c>
      <c r="KW25" s="8">
        <v>1</v>
      </c>
      <c r="KX25" s="41"/>
      <c r="KY25" s="41"/>
      <c r="KZ25" s="8">
        <v>1</v>
      </c>
      <c r="LA25" s="8">
        <v>1</v>
      </c>
      <c r="LB25" s="8">
        <v>1</v>
      </c>
      <c r="LC25" s="8">
        <v>1</v>
      </c>
      <c r="LD25" s="8">
        <v>1</v>
      </c>
      <c r="LE25" s="41"/>
      <c r="LF25" s="41"/>
      <c r="LG25" s="8">
        <v>1</v>
      </c>
      <c r="LH25" s="8">
        <v>1</v>
      </c>
      <c r="LI25" s="8">
        <v>1</v>
      </c>
      <c r="LJ25" s="8">
        <v>1</v>
      </c>
      <c r="LK25" s="8">
        <v>1</v>
      </c>
      <c r="LL25" s="41"/>
      <c r="LM25" s="41"/>
      <c r="LN25" s="8">
        <v>1</v>
      </c>
      <c r="LO25" s="8">
        <v>1</v>
      </c>
      <c r="LP25" s="8">
        <v>1</v>
      </c>
      <c r="LQ25" s="8">
        <v>1</v>
      </c>
      <c r="LR25" s="8">
        <v>1</v>
      </c>
      <c r="LS25" s="41"/>
      <c r="LT25" s="41"/>
      <c r="LU25" s="8">
        <v>1</v>
      </c>
      <c r="LV25" s="8">
        <v>1</v>
      </c>
      <c r="LW25" s="8">
        <v>1</v>
      </c>
      <c r="LX25" s="8">
        <v>1</v>
      </c>
      <c r="LY25" s="8">
        <v>1</v>
      </c>
      <c r="LZ25" s="41"/>
      <c r="MA25" s="41"/>
      <c r="MB25" s="8">
        <v>1</v>
      </c>
      <c r="MC25" s="8">
        <v>1</v>
      </c>
      <c r="MD25" s="8">
        <v>1</v>
      </c>
      <c r="ME25" s="8">
        <v>1</v>
      </c>
      <c r="MF25" s="8">
        <v>1</v>
      </c>
      <c r="MG25" s="41"/>
      <c r="MH25" s="41"/>
      <c r="MI25" s="8">
        <v>1</v>
      </c>
      <c r="MJ25" s="8">
        <v>1</v>
      </c>
      <c r="MK25" s="8">
        <v>1</v>
      </c>
      <c r="ML25" s="8">
        <v>1</v>
      </c>
      <c r="MM25" s="8">
        <v>1</v>
      </c>
      <c r="MN25" s="41"/>
      <c r="MO25" s="41"/>
      <c r="MP25" s="8">
        <v>1</v>
      </c>
      <c r="MQ25" s="8">
        <v>1</v>
      </c>
      <c r="MR25" s="8">
        <v>1</v>
      </c>
      <c r="MS25" s="8">
        <v>1</v>
      </c>
      <c r="MT25" s="8">
        <v>1</v>
      </c>
      <c r="MU25" s="41"/>
      <c r="MV25" s="41"/>
      <c r="MW25" s="8">
        <v>1</v>
      </c>
      <c r="MX25" s="8">
        <v>1</v>
      </c>
      <c r="MY25" s="8">
        <v>1</v>
      </c>
      <c r="MZ25" s="8">
        <v>1</v>
      </c>
      <c r="NA25" s="8">
        <v>1</v>
      </c>
      <c r="NB25" s="41"/>
      <c r="NC25" s="41"/>
      <c r="ND25" s="8">
        <v>1</v>
      </c>
      <c r="NE25" s="8">
        <v>1</v>
      </c>
      <c r="NF25" s="8">
        <v>1</v>
      </c>
      <c r="NG25" s="8">
        <v>1</v>
      </c>
      <c r="NH25" s="8">
        <v>1</v>
      </c>
      <c r="NI25" s="41"/>
      <c r="NJ25" s="41"/>
      <c r="NK25" s="8">
        <v>1</v>
      </c>
      <c r="NL25" s="8">
        <v>1</v>
      </c>
      <c r="NM25" s="8">
        <v>1</v>
      </c>
      <c r="NN25" s="8">
        <v>1</v>
      </c>
      <c r="NO25" s="8">
        <v>1</v>
      </c>
      <c r="NP25" s="40"/>
      <c r="NQ25" s="40"/>
      <c r="NR25" s="8">
        <v>1</v>
      </c>
      <c r="NS25" s="8">
        <v>1</v>
      </c>
      <c r="NT25" s="8">
        <v>1</v>
      </c>
      <c r="NU25" s="8">
        <v>1</v>
      </c>
      <c r="NV25" s="8">
        <v>1</v>
      </c>
      <c r="NW25" s="40"/>
      <c r="NX25" s="40"/>
      <c r="NY25" s="8">
        <v>1</v>
      </c>
      <c r="NZ25" s="8">
        <v>1</v>
      </c>
      <c r="OA25" s="8">
        <v>1</v>
      </c>
      <c r="OB25" s="8"/>
      <c r="OC25" s="8">
        <v>1</v>
      </c>
      <c r="OD25" s="41"/>
      <c r="OE25" s="41"/>
      <c r="OF25" s="8">
        <v>1</v>
      </c>
      <c r="OG25" s="8">
        <v>1</v>
      </c>
      <c r="OH25" s="8">
        <v>1</v>
      </c>
      <c r="OI25" s="32"/>
      <c r="OJ25" s="33"/>
      <c r="OK25" s="33"/>
      <c r="OL25" s="33"/>
      <c r="OM25" s="33"/>
      <c r="ON25" s="33"/>
      <c r="OO25" s="33"/>
      <c r="OP25" s="33"/>
      <c r="OQ25" s="33"/>
      <c r="OR25" s="33"/>
      <c r="OS25" s="33"/>
      <c r="OT25" s="33"/>
      <c r="OU25" s="33"/>
      <c r="OV25" s="33"/>
      <c r="OW25" s="33"/>
      <c r="OX25" s="33"/>
      <c r="OY25" s="33"/>
      <c r="OZ25" s="33"/>
      <c r="PA25" s="33"/>
      <c r="PB25" s="33"/>
      <c r="PC25" s="33"/>
      <c r="PD25" s="33"/>
      <c r="PE25" s="33"/>
      <c r="PF25" s="33"/>
      <c r="PG25" s="33"/>
      <c r="PH25" s="33"/>
      <c r="PI25" s="33"/>
      <c r="PJ25" s="33"/>
      <c r="PK25" s="33"/>
      <c r="PL25" s="33"/>
      <c r="PM25" s="33"/>
      <c r="PN25" s="33"/>
      <c r="PO25" s="33"/>
      <c r="PP25" s="33"/>
      <c r="PQ25" s="33"/>
      <c r="PR25" s="33"/>
      <c r="PS25" s="33"/>
      <c r="PT25" s="33"/>
      <c r="PU25" s="42"/>
      <c r="PV25" s="42"/>
      <c r="PW25" s="42"/>
      <c r="PX25" s="42"/>
      <c r="PY25" s="42"/>
      <c r="PZ25" s="42"/>
      <c r="QA25" s="42"/>
      <c r="QB25" s="42"/>
      <c r="QC25" s="42"/>
      <c r="QD25" s="42"/>
      <c r="QE25" s="42"/>
      <c r="QF25" s="42"/>
      <c r="QG25" s="42"/>
      <c r="QH25" s="42"/>
      <c r="QI25" s="42"/>
    </row>
    <row r="26" spans="1:451" s="43" customFormat="1" ht="21" x14ac:dyDescent="0.3">
      <c r="A26" s="61" t="s">
        <v>519</v>
      </c>
      <c r="B26" s="62" t="s">
        <v>432</v>
      </c>
      <c r="C26" s="45"/>
      <c r="D26" s="8">
        <v>1</v>
      </c>
      <c r="E26" s="8">
        <v>1</v>
      </c>
      <c r="F26" s="8">
        <v>1</v>
      </c>
      <c r="G26" s="8">
        <v>0</v>
      </c>
      <c r="H26" s="8">
        <v>0</v>
      </c>
      <c r="I26" s="46"/>
      <c r="J26" s="46"/>
      <c r="K26" s="8">
        <v>1</v>
      </c>
      <c r="L26" s="8">
        <v>1</v>
      </c>
      <c r="M26" s="8">
        <v>1</v>
      </c>
      <c r="N26" s="8">
        <v>1</v>
      </c>
      <c r="O26" s="8">
        <v>1</v>
      </c>
      <c r="P26" s="46"/>
      <c r="Q26" s="46"/>
      <c r="R26" s="8">
        <v>1</v>
      </c>
      <c r="S26" s="8">
        <v>1</v>
      </c>
      <c r="T26" s="8">
        <v>1</v>
      </c>
      <c r="U26" s="8">
        <v>1</v>
      </c>
      <c r="V26" s="8">
        <v>1</v>
      </c>
      <c r="W26" s="46"/>
      <c r="X26" s="46"/>
      <c r="Y26" s="8">
        <v>1</v>
      </c>
      <c r="Z26" s="8">
        <v>0</v>
      </c>
      <c r="AA26" s="8"/>
      <c r="AB26" s="8">
        <v>0</v>
      </c>
      <c r="AC26" s="8">
        <v>1</v>
      </c>
      <c r="AD26" s="46"/>
      <c r="AE26" s="46"/>
      <c r="AF26" s="8">
        <v>1</v>
      </c>
      <c r="AG26" s="8">
        <v>0</v>
      </c>
      <c r="AH26" s="38"/>
      <c r="AI26" s="8">
        <v>0</v>
      </c>
      <c r="AJ26" s="8">
        <v>1</v>
      </c>
      <c r="AK26" s="8"/>
      <c r="AL26" s="8"/>
      <c r="AM26" s="109">
        <v>1</v>
      </c>
      <c r="AN26" s="109">
        <v>1</v>
      </c>
      <c r="AO26" s="8">
        <v>1</v>
      </c>
      <c r="AP26" s="8">
        <v>1</v>
      </c>
      <c r="AQ26" s="8">
        <v>1</v>
      </c>
      <c r="AR26" s="39"/>
      <c r="AS26" s="39"/>
      <c r="AT26" s="8">
        <v>1</v>
      </c>
      <c r="AU26" s="8">
        <v>1</v>
      </c>
      <c r="AV26" s="8">
        <v>1</v>
      </c>
      <c r="AW26" s="8">
        <v>1</v>
      </c>
      <c r="AX26" s="8">
        <v>1</v>
      </c>
      <c r="AY26" s="39"/>
      <c r="AZ26" s="39"/>
      <c r="BA26" s="39">
        <v>1</v>
      </c>
      <c r="BB26" s="39">
        <v>1</v>
      </c>
      <c r="BC26" s="39">
        <v>1</v>
      </c>
      <c r="BD26" s="39">
        <v>1</v>
      </c>
      <c r="BE26" s="39">
        <v>1</v>
      </c>
      <c r="BF26" s="39"/>
      <c r="BG26" s="39"/>
      <c r="BH26" s="39">
        <v>1</v>
      </c>
      <c r="BI26" s="39">
        <v>1</v>
      </c>
      <c r="BJ26" s="39">
        <v>1</v>
      </c>
      <c r="BK26" s="39">
        <v>1</v>
      </c>
      <c r="BL26" s="39">
        <v>1</v>
      </c>
      <c r="BM26" s="40"/>
      <c r="BN26" s="40"/>
      <c r="BO26" s="8">
        <v>1</v>
      </c>
      <c r="BP26" s="8">
        <v>1</v>
      </c>
      <c r="BQ26" s="8">
        <v>1</v>
      </c>
      <c r="BR26" s="8">
        <v>1</v>
      </c>
      <c r="BS26" s="8">
        <v>1</v>
      </c>
      <c r="BT26" s="40"/>
      <c r="BU26" s="40"/>
      <c r="BV26" s="8">
        <v>1</v>
      </c>
      <c r="BW26" s="8">
        <v>1</v>
      </c>
      <c r="BX26" s="8">
        <v>1</v>
      </c>
      <c r="BY26" s="8">
        <v>1</v>
      </c>
      <c r="BZ26" s="8">
        <v>1</v>
      </c>
      <c r="CA26" s="40"/>
      <c r="CB26" s="40"/>
      <c r="CC26" s="8">
        <v>1</v>
      </c>
      <c r="CD26" s="8">
        <v>1</v>
      </c>
      <c r="CE26" s="8">
        <v>1</v>
      </c>
      <c r="CF26" s="8">
        <v>1</v>
      </c>
      <c r="CG26" s="8">
        <v>1</v>
      </c>
      <c r="CH26" s="40"/>
      <c r="CI26" s="40"/>
      <c r="CJ26" s="8">
        <v>1</v>
      </c>
      <c r="CK26" s="8">
        <v>1</v>
      </c>
      <c r="CL26" s="8">
        <v>1</v>
      </c>
      <c r="CM26" s="8">
        <v>1</v>
      </c>
      <c r="CN26" s="8">
        <v>1</v>
      </c>
      <c r="CO26" s="40"/>
      <c r="CP26" s="40"/>
      <c r="CQ26" s="8">
        <v>1</v>
      </c>
      <c r="CR26" s="8">
        <v>1</v>
      </c>
      <c r="CS26" s="8">
        <v>1</v>
      </c>
      <c r="CT26" s="8">
        <v>1</v>
      </c>
      <c r="CU26" s="8">
        <v>1</v>
      </c>
      <c r="CV26" s="40"/>
      <c r="CW26" s="40"/>
      <c r="CX26" s="8">
        <v>1</v>
      </c>
      <c r="CY26" s="8">
        <v>1</v>
      </c>
      <c r="CZ26" s="8">
        <v>1</v>
      </c>
      <c r="DA26" s="8">
        <v>1</v>
      </c>
      <c r="DB26" s="8">
        <v>1</v>
      </c>
      <c r="DC26" s="40"/>
      <c r="DD26" s="40"/>
      <c r="DE26" s="8">
        <v>1</v>
      </c>
      <c r="DF26" s="8">
        <v>1</v>
      </c>
      <c r="DG26" s="8">
        <v>1</v>
      </c>
      <c r="DH26" s="8">
        <v>1</v>
      </c>
      <c r="DI26" s="8">
        <v>1</v>
      </c>
      <c r="DJ26" s="40"/>
      <c r="DK26" s="40"/>
      <c r="DL26" s="8">
        <v>1</v>
      </c>
      <c r="DM26" s="8">
        <v>1</v>
      </c>
      <c r="DN26" s="8">
        <v>1</v>
      </c>
      <c r="DO26" s="8">
        <v>1</v>
      </c>
      <c r="DP26" s="8">
        <v>1</v>
      </c>
      <c r="DQ26" s="41"/>
      <c r="DR26" s="41"/>
      <c r="DS26" s="8">
        <v>1</v>
      </c>
      <c r="DT26" s="8">
        <v>1</v>
      </c>
      <c r="DU26" s="8">
        <v>1</v>
      </c>
      <c r="DV26" s="8">
        <v>1</v>
      </c>
      <c r="DW26" s="8">
        <v>1</v>
      </c>
      <c r="DX26" s="41"/>
      <c r="DY26" s="41"/>
      <c r="DZ26" s="8">
        <v>1</v>
      </c>
      <c r="EA26" s="8">
        <v>1</v>
      </c>
      <c r="EB26" s="8">
        <v>1</v>
      </c>
      <c r="EC26" s="8">
        <v>1</v>
      </c>
      <c r="ED26" s="8">
        <v>1</v>
      </c>
      <c r="EE26" s="41"/>
      <c r="EF26" s="41"/>
      <c r="EG26" s="8">
        <v>1</v>
      </c>
      <c r="EH26" s="8">
        <v>1</v>
      </c>
      <c r="EI26" s="8">
        <v>1</v>
      </c>
      <c r="EJ26" s="8">
        <v>1</v>
      </c>
      <c r="EK26" s="8">
        <v>1</v>
      </c>
      <c r="EL26" s="41"/>
      <c r="EM26" s="41"/>
      <c r="EN26" s="38"/>
      <c r="EO26" s="8">
        <v>1</v>
      </c>
      <c r="EP26" s="8">
        <v>1</v>
      </c>
      <c r="EQ26" s="8">
        <v>1</v>
      </c>
      <c r="ER26" s="8">
        <v>1</v>
      </c>
      <c r="ES26" s="41"/>
      <c r="ET26" s="41"/>
      <c r="EU26" s="8">
        <v>1</v>
      </c>
      <c r="EV26" s="8">
        <v>1</v>
      </c>
      <c r="EW26" s="8">
        <v>1</v>
      </c>
      <c r="EX26" s="38"/>
      <c r="EY26" s="8">
        <v>1</v>
      </c>
      <c r="EZ26" s="41"/>
      <c r="FA26" s="41"/>
      <c r="FB26" s="8">
        <v>1</v>
      </c>
      <c r="FC26" s="8">
        <v>1</v>
      </c>
      <c r="FD26" s="8">
        <v>1</v>
      </c>
      <c r="FE26" s="38"/>
      <c r="FF26" s="8">
        <v>1</v>
      </c>
      <c r="FG26" s="41"/>
      <c r="FH26" s="41"/>
      <c r="FI26" s="8">
        <v>1</v>
      </c>
      <c r="FJ26" s="8">
        <v>1</v>
      </c>
      <c r="FK26" s="8">
        <v>1</v>
      </c>
      <c r="FL26" s="8">
        <v>1</v>
      </c>
      <c r="FM26" s="8">
        <v>1</v>
      </c>
      <c r="FN26" s="41"/>
      <c r="FO26" s="41"/>
      <c r="FP26" s="8">
        <v>1</v>
      </c>
      <c r="FQ26" s="8">
        <v>1</v>
      </c>
      <c r="FR26" s="8">
        <v>1</v>
      </c>
      <c r="FS26" s="8">
        <v>1</v>
      </c>
      <c r="FT26" s="8">
        <v>1</v>
      </c>
      <c r="FU26" s="41"/>
      <c r="FV26" s="41"/>
      <c r="FW26" s="8">
        <v>1</v>
      </c>
      <c r="FX26" s="8">
        <v>1</v>
      </c>
      <c r="FY26" s="8">
        <v>1</v>
      </c>
      <c r="FZ26" s="38"/>
      <c r="GA26" s="8">
        <v>1</v>
      </c>
      <c r="GB26" s="41"/>
      <c r="GC26" s="41"/>
      <c r="GD26" s="8">
        <v>1</v>
      </c>
      <c r="GE26" s="8">
        <v>1</v>
      </c>
      <c r="GF26" s="8">
        <v>1</v>
      </c>
      <c r="GG26" s="8">
        <v>1</v>
      </c>
      <c r="GH26" s="8">
        <v>1</v>
      </c>
      <c r="GI26" s="41"/>
      <c r="GJ26" s="41"/>
      <c r="GK26" s="38"/>
      <c r="GL26" s="8">
        <v>1</v>
      </c>
      <c r="GM26" s="8">
        <v>1</v>
      </c>
      <c r="GN26" s="8">
        <v>1</v>
      </c>
      <c r="GO26" s="8">
        <v>1</v>
      </c>
      <c r="GP26" s="41"/>
      <c r="GQ26" s="41"/>
      <c r="GR26" s="8">
        <v>1</v>
      </c>
      <c r="GS26" s="8">
        <v>1</v>
      </c>
      <c r="GT26" s="8">
        <v>1</v>
      </c>
      <c r="GU26" s="8">
        <v>1</v>
      </c>
      <c r="GV26" s="8">
        <v>1</v>
      </c>
      <c r="GW26" s="41"/>
      <c r="GX26" s="41"/>
      <c r="GY26" s="8">
        <v>1</v>
      </c>
      <c r="GZ26" s="8">
        <v>1</v>
      </c>
      <c r="HA26" s="8">
        <v>1</v>
      </c>
      <c r="HB26" s="8">
        <v>1</v>
      </c>
      <c r="HC26" s="8">
        <v>1</v>
      </c>
      <c r="HD26" s="41"/>
      <c r="HE26" s="41"/>
      <c r="HF26" s="8">
        <v>1</v>
      </c>
      <c r="HG26" s="8">
        <v>1</v>
      </c>
      <c r="HH26" s="8">
        <v>1</v>
      </c>
      <c r="HI26" s="8">
        <v>1</v>
      </c>
      <c r="HJ26" s="8">
        <v>1</v>
      </c>
      <c r="HK26" s="41"/>
      <c r="HL26" s="41"/>
      <c r="HM26" s="8">
        <v>1</v>
      </c>
      <c r="HN26" s="8">
        <v>1</v>
      </c>
      <c r="HO26" s="8">
        <v>1</v>
      </c>
      <c r="HP26" s="8">
        <v>1</v>
      </c>
      <c r="HQ26" s="8">
        <v>1</v>
      </c>
      <c r="HR26" s="41"/>
      <c r="HS26" s="41"/>
      <c r="HT26" s="38"/>
      <c r="HU26" s="8">
        <v>1</v>
      </c>
      <c r="HV26" s="8">
        <v>1</v>
      </c>
      <c r="HW26" s="8">
        <v>1</v>
      </c>
      <c r="HX26" s="8">
        <v>1</v>
      </c>
      <c r="HY26" s="41"/>
      <c r="HZ26" s="41"/>
      <c r="IA26" s="8">
        <v>1</v>
      </c>
      <c r="IB26" s="8">
        <v>1</v>
      </c>
      <c r="IC26" s="8">
        <v>1</v>
      </c>
      <c r="ID26" s="8">
        <v>1</v>
      </c>
      <c r="IE26" s="8">
        <v>1</v>
      </c>
      <c r="IF26" s="41"/>
      <c r="IG26" s="41"/>
      <c r="IH26" s="8">
        <v>1</v>
      </c>
      <c r="II26" s="8">
        <v>1</v>
      </c>
      <c r="IJ26" s="8">
        <v>1</v>
      </c>
      <c r="IK26" s="8">
        <v>1</v>
      </c>
      <c r="IL26" s="8">
        <v>1</v>
      </c>
      <c r="IM26" s="41"/>
      <c r="IN26" s="41"/>
      <c r="IO26" s="8">
        <v>1</v>
      </c>
      <c r="IP26" s="8">
        <v>1</v>
      </c>
      <c r="IQ26" s="8">
        <v>1</v>
      </c>
      <c r="IR26" s="8">
        <v>1</v>
      </c>
      <c r="IS26" s="8">
        <v>1</v>
      </c>
      <c r="IT26" s="41"/>
      <c r="IU26" s="41"/>
      <c r="IV26" s="8">
        <v>1</v>
      </c>
      <c r="IW26" s="8">
        <v>1</v>
      </c>
      <c r="IX26" s="8">
        <v>1</v>
      </c>
      <c r="IY26" s="8">
        <v>1</v>
      </c>
      <c r="IZ26" s="38"/>
      <c r="JA26" s="41"/>
      <c r="JB26" s="41"/>
      <c r="JC26" s="8">
        <v>1</v>
      </c>
      <c r="JD26" s="8">
        <v>1</v>
      </c>
      <c r="JE26" s="8">
        <v>1</v>
      </c>
      <c r="JF26" s="8">
        <v>1</v>
      </c>
      <c r="JG26" s="8">
        <v>1</v>
      </c>
      <c r="JH26" s="41"/>
      <c r="JI26" s="41"/>
      <c r="JJ26" s="8">
        <v>1</v>
      </c>
      <c r="JK26" s="8">
        <v>1</v>
      </c>
      <c r="JL26" s="8">
        <v>1</v>
      </c>
      <c r="JM26" s="8">
        <v>1</v>
      </c>
      <c r="JN26" s="8">
        <v>1</v>
      </c>
      <c r="JO26" s="41"/>
      <c r="JP26" s="41"/>
      <c r="JQ26" s="8">
        <v>1</v>
      </c>
      <c r="JR26" s="8">
        <v>1</v>
      </c>
      <c r="JS26" s="8">
        <v>1</v>
      </c>
      <c r="JT26" s="8">
        <v>1</v>
      </c>
      <c r="JU26" s="8">
        <v>1</v>
      </c>
      <c r="JV26" s="41"/>
      <c r="JW26" s="41"/>
      <c r="JX26" s="8">
        <v>1</v>
      </c>
      <c r="JY26" s="8">
        <v>1</v>
      </c>
      <c r="JZ26" s="8">
        <v>1</v>
      </c>
      <c r="KA26" s="8">
        <v>1</v>
      </c>
      <c r="KB26" s="8">
        <v>1</v>
      </c>
      <c r="KC26" s="41"/>
      <c r="KD26" s="41"/>
      <c r="KE26" s="8">
        <v>1</v>
      </c>
      <c r="KF26" s="8">
        <v>1</v>
      </c>
      <c r="KG26" s="8">
        <v>1</v>
      </c>
      <c r="KH26" s="8">
        <v>1</v>
      </c>
      <c r="KI26" s="8">
        <v>1</v>
      </c>
      <c r="KJ26" s="41"/>
      <c r="KK26" s="41"/>
      <c r="KL26" s="8">
        <v>1</v>
      </c>
      <c r="KM26" s="8">
        <v>1</v>
      </c>
      <c r="KN26" s="8">
        <v>1</v>
      </c>
      <c r="KO26" s="8">
        <v>1</v>
      </c>
      <c r="KP26" s="8">
        <v>1</v>
      </c>
      <c r="KQ26" s="41"/>
      <c r="KR26" s="41"/>
      <c r="KS26" s="8">
        <v>1</v>
      </c>
      <c r="KT26" s="8">
        <v>1</v>
      </c>
      <c r="KU26" s="8">
        <v>1</v>
      </c>
      <c r="KV26" s="8">
        <v>1</v>
      </c>
      <c r="KW26" s="8">
        <v>1</v>
      </c>
      <c r="KX26" s="41"/>
      <c r="KY26" s="41"/>
      <c r="KZ26" s="8">
        <v>1</v>
      </c>
      <c r="LA26" s="8">
        <v>1</v>
      </c>
      <c r="LB26" s="8">
        <v>1</v>
      </c>
      <c r="LC26" s="8">
        <v>1</v>
      </c>
      <c r="LD26" s="8">
        <v>1</v>
      </c>
      <c r="LE26" s="41"/>
      <c r="LF26" s="41"/>
      <c r="LG26" s="8">
        <v>1</v>
      </c>
      <c r="LH26" s="8">
        <v>1</v>
      </c>
      <c r="LI26" s="8">
        <v>1</v>
      </c>
      <c r="LJ26" s="8">
        <v>1</v>
      </c>
      <c r="LK26" s="8">
        <v>1</v>
      </c>
      <c r="LL26" s="41"/>
      <c r="LM26" s="41"/>
      <c r="LN26" s="8">
        <v>1</v>
      </c>
      <c r="LO26" s="8">
        <v>1</v>
      </c>
      <c r="LP26" s="8">
        <v>1</v>
      </c>
      <c r="LQ26" s="8">
        <v>1</v>
      </c>
      <c r="LR26" s="8">
        <v>1</v>
      </c>
      <c r="LS26" s="41"/>
      <c r="LT26" s="41"/>
      <c r="LU26" s="8">
        <v>1</v>
      </c>
      <c r="LV26" s="8">
        <v>1</v>
      </c>
      <c r="LW26" s="8">
        <v>1</v>
      </c>
      <c r="LX26" s="8">
        <v>1</v>
      </c>
      <c r="LY26" s="8">
        <v>1</v>
      </c>
      <c r="LZ26" s="41"/>
      <c r="MA26" s="41"/>
      <c r="MB26" s="8">
        <v>1</v>
      </c>
      <c r="MC26" s="8">
        <v>1</v>
      </c>
      <c r="MD26" s="8">
        <v>1</v>
      </c>
      <c r="ME26" s="8">
        <v>1</v>
      </c>
      <c r="MF26" s="8">
        <v>1</v>
      </c>
      <c r="MG26" s="41"/>
      <c r="MH26" s="41"/>
      <c r="MI26" s="8">
        <v>1</v>
      </c>
      <c r="MJ26" s="8">
        <v>1</v>
      </c>
      <c r="MK26" s="8">
        <v>1</v>
      </c>
      <c r="ML26" s="8">
        <v>1</v>
      </c>
      <c r="MM26" s="8">
        <v>1</v>
      </c>
      <c r="MN26" s="41"/>
      <c r="MO26" s="41"/>
      <c r="MP26" s="8">
        <v>1</v>
      </c>
      <c r="MQ26" s="8">
        <v>1</v>
      </c>
      <c r="MR26" s="8">
        <v>1</v>
      </c>
      <c r="MS26" s="8">
        <v>1</v>
      </c>
      <c r="MT26" s="8">
        <v>1</v>
      </c>
      <c r="MU26" s="41"/>
      <c r="MV26" s="41"/>
      <c r="MW26" s="8">
        <v>1</v>
      </c>
      <c r="MX26" s="8">
        <v>1</v>
      </c>
      <c r="MY26" s="8">
        <v>1</v>
      </c>
      <c r="MZ26" s="8">
        <v>1</v>
      </c>
      <c r="NA26" s="8">
        <v>1</v>
      </c>
      <c r="NB26" s="41"/>
      <c r="NC26" s="41"/>
      <c r="ND26" s="8">
        <v>1</v>
      </c>
      <c r="NE26" s="8">
        <v>1</v>
      </c>
      <c r="NF26" s="8">
        <v>1</v>
      </c>
      <c r="NG26" s="8">
        <v>1</v>
      </c>
      <c r="NH26" s="8">
        <v>1</v>
      </c>
      <c r="NI26" s="41"/>
      <c r="NJ26" s="41"/>
      <c r="NK26" s="8">
        <v>1</v>
      </c>
      <c r="NL26" s="8">
        <v>1</v>
      </c>
      <c r="NM26" s="8">
        <v>1</v>
      </c>
      <c r="NN26" s="8">
        <v>1</v>
      </c>
      <c r="NO26" s="8">
        <v>1</v>
      </c>
      <c r="NP26" s="40"/>
      <c r="NQ26" s="40"/>
      <c r="NR26" s="8">
        <v>1</v>
      </c>
      <c r="NS26" s="8">
        <v>1</v>
      </c>
      <c r="NT26" s="8">
        <v>1</v>
      </c>
      <c r="NU26" s="8">
        <v>1</v>
      </c>
      <c r="NV26" s="8">
        <v>1</v>
      </c>
      <c r="NW26" s="40"/>
      <c r="NX26" s="40"/>
      <c r="NY26" s="8">
        <v>1</v>
      </c>
      <c r="NZ26" s="8">
        <v>1</v>
      </c>
      <c r="OA26" s="8">
        <v>1</v>
      </c>
      <c r="OB26" s="8"/>
      <c r="OC26" s="8">
        <v>1</v>
      </c>
      <c r="OD26" s="41"/>
      <c r="OE26" s="41"/>
      <c r="OF26" s="8">
        <v>1</v>
      </c>
      <c r="OG26" s="8">
        <v>1</v>
      </c>
      <c r="OH26" s="8">
        <v>1</v>
      </c>
      <c r="OI26" s="32"/>
      <c r="OJ26" s="33"/>
      <c r="OK26" s="33"/>
      <c r="OL26" s="33"/>
      <c r="OM26" s="33"/>
      <c r="ON26" s="33"/>
      <c r="OO26" s="33"/>
      <c r="OP26" s="33"/>
      <c r="OQ26" s="33"/>
      <c r="OR26" s="33"/>
      <c r="OS26" s="33"/>
      <c r="OT26" s="33"/>
      <c r="OU26" s="33"/>
      <c r="OV26" s="33"/>
      <c r="OW26" s="33"/>
      <c r="OX26" s="33"/>
      <c r="OY26" s="33"/>
      <c r="OZ26" s="33"/>
      <c r="PA26" s="33"/>
      <c r="PB26" s="33"/>
      <c r="PC26" s="33"/>
      <c r="PD26" s="33"/>
      <c r="PE26" s="33"/>
      <c r="PF26" s="33"/>
      <c r="PG26" s="33"/>
      <c r="PH26" s="33"/>
      <c r="PI26" s="33"/>
      <c r="PJ26" s="33"/>
      <c r="PK26" s="33"/>
      <c r="PL26" s="33"/>
      <c r="PM26" s="33"/>
      <c r="PN26" s="33"/>
      <c r="PO26" s="33"/>
      <c r="PP26" s="33"/>
      <c r="PQ26" s="33"/>
      <c r="PR26" s="33"/>
      <c r="PS26" s="33"/>
      <c r="PT26" s="33"/>
      <c r="PU26" s="42"/>
      <c r="PV26" s="42"/>
      <c r="PW26" s="42"/>
      <c r="PX26" s="42"/>
      <c r="PY26" s="42"/>
      <c r="PZ26" s="42"/>
      <c r="QA26" s="42"/>
      <c r="QB26" s="42"/>
      <c r="QC26" s="42"/>
      <c r="QD26" s="42"/>
      <c r="QE26" s="42"/>
      <c r="QF26" s="42"/>
      <c r="QG26" s="42"/>
      <c r="QH26" s="42"/>
      <c r="QI26" s="42"/>
    </row>
    <row r="27" spans="1:451" s="43" customFormat="1" ht="21" x14ac:dyDescent="0.3">
      <c r="A27" s="61" t="s">
        <v>520</v>
      </c>
      <c r="B27" s="62" t="s">
        <v>433</v>
      </c>
      <c r="C27" s="45"/>
      <c r="D27" s="8">
        <v>1</v>
      </c>
      <c r="E27" s="8">
        <v>1</v>
      </c>
      <c r="F27" s="8">
        <v>1</v>
      </c>
      <c r="G27" s="8">
        <v>1</v>
      </c>
      <c r="H27" s="8">
        <v>0</v>
      </c>
      <c r="I27" s="46"/>
      <c r="J27" s="46"/>
      <c r="K27" s="8">
        <v>1</v>
      </c>
      <c r="L27" s="8">
        <v>0</v>
      </c>
      <c r="M27" s="8">
        <v>1</v>
      </c>
      <c r="N27" s="8">
        <v>1</v>
      </c>
      <c r="O27" s="8">
        <v>1</v>
      </c>
      <c r="P27" s="46"/>
      <c r="Q27" s="46"/>
      <c r="R27" s="8">
        <v>1</v>
      </c>
      <c r="S27" s="8">
        <v>1</v>
      </c>
      <c r="T27" s="8">
        <v>1</v>
      </c>
      <c r="U27" s="8">
        <v>1</v>
      </c>
      <c r="V27" s="8">
        <v>1</v>
      </c>
      <c r="W27" s="46"/>
      <c r="X27" s="46"/>
      <c r="Y27" s="8">
        <v>1</v>
      </c>
      <c r="Z27" s="8">
        <v>1</v>
      </c>
      <c r="AA27" s="8"/>
      <c r="AB27" s="8">
        <v>0</v>
      </c>
      <c r="AC27" s="8">
        <v>0</v>
      </c>
      <c r="AD27" s="46"/>
      <c r="AE27" s="46"/>
      <c r="AF27" s="8">
        <v>0</v>
      </c>
      <c r="AG27" s="8">
        <v>0</v>
      </c>
      <c r="AH27" s="38"/>
      <c r="AI27" s="8">
        <v>1</v>
      </c>
      <c r="AJ27" s="8">
        <v>1</v>
      </c>
      <c r="AK27" s="8"/>
      <c r="AL27" s="8"/>
      <c r="AM27" s="109">
        <v>1</v>
      </c>
      <c r="AN27" s="109">
        <v>1</v>
      </c>
      <c r="AO27" s="8">
        <v>1</v>
      </c>
      <c r="AP27" s="8">
        <v>1</v>
      </c>
      <c r="AQ27" s="8">
        <v>1</v>
      </c>
      <c r="AR27" s="39"/>
      <c r="AS27" s="39"/>
      <c r="AT27" s="8">
        <v>1</v>
      </c>
      <c r="AU27" s="8">
        <v>1</v>
      </c>
      <c r="AV27" s="8">
        <v>1</v>
      </c>
      <c r="AW27" s="8">
        <v>1</v>
      </c>
      <c r="AX27" s="8">
        <v>1</v>
      </c>
      <c r="AY27" s="39"/>
      <c r="AZ27" s="39"/>
      <c r="BA27" s="39">
        <v>0</v>
      </c>
      <c r="BB27" s="39">
        <v>1</v>
      </c>
      <c r="BC27" s="39">
        <v>1</v>
      </c>
      <c r="BD27" s="39">
        <v>1</v>
      </c>
      <c r="BE27" s="39">
        <v>1</v>
      </c>
      <c r="BF27" s="39"/>
      <c r="BG27" s="39"/>
      <c r="BH27" s="39">
        <v>1</v>
      </c>
      <c r="BI27" s="39">
        <v>1</v>
      </c>
      <c r="BJ27" s="39">
        <v>1</v>
      </c>
      <c r="BK27" s="39">
        <v>1</v>
      </c>
      <c r="BL27" s="39">
        <v>1</v>
      </c>
      <c r="BM27" s="40"/>
      <c r="BN27" s="40"/>
      <c r="BO27" s="8">
        <v>0</v>
      </c>
      <c r="BP27" s="8">
        <v>0</v>
      </c>
      <c r="BQ27" s="8">
        <v>0</v>
      </c>
      <c r="BR27" s="8">
        <v>0</v>
      </c>
      <c r="BS27" s="8">
        <v>0</v>
      </c>
      <c r="BT27" s="40"/>
      <c r="BU27" s="40"/>
      <c r="BV27" s="8">
        <v>1</v>
      </c>
      <c r="BW27" s="8">
        <v>1</v>
      </c>
      <c r="BX27" s="8">
        <v>1</v>
      </c>
      <c r="BY27" s="8">
        <v>1</v>
      </c>
      <c r="BZ27" s="8">
        <v>1</v>
      </c>
      <c r="CA27" s="40"/>
      <c r="CB27" s="40"/>
      <c r="CC27" s="8">
        <v>1</v>
      </c>
      <c r="CD27" s="8">
        <v>1</v>
      </c>
      <c r="CE27" s="8">
        <v>1</v>
      </c>
      <c r="CF27" s="8">
        <v>1</v>
      </c>
      <c r="CG27" s="8">
        <v>1</v>
      </c>
      <c r="CH27" s="40"/>
      <c r="CI27" s="40"/>
      <c r="CJ27" s="8">
        <v>1</v>
      </c>
      <c r="CK27" s="8">
        <v>1</v>
      </c>
      <c r="CL27" s="8">
        <v>1</v>
      </c>
      <c r="CM27" s="8">
        <v>1</v>
      </c>
      <c r="CN27" s="8">
        <v>1</v>
      </c>
      <c r="CO27" s="40"/>
      <c r="CP27" s="40"/>
      <c r="CQ27" s="8">
        <v>1</v>
      </c>
      <c r="CR27" s="8">
        <v>1</v>
      </c>
      <c r="CS27" s="8">
        <v>1</v>
      </c>
      <c r="CT27" s="8">
        <v>1</v>
      </c>
      <c r="CU27" s="8">
        <v>1</v>
      </c>
      <c r="CV27" s="40"/>
      <c r="CW27" s="40"/>
      <c r="CX27" s="8">
        <v>1</v>
      </c>
      <c r="CY27" s="8">
        <v>1</v>
      </c>
      <c r="CZ27" s="8">
        <v>1</v>
      </c>
      <c r="DA27" s="8">
        <v>1</v>
      </c>
      <c r="DB27" s="8">
        <v>1</v>
      </c>
      <c r="DC27" s="40"/>
      <c r="DD27" s="40"/>
      <c r="DE27" s="8">
        <v>1</v>
      </c>
      <c r="DF27" s="8">
        <v>1</v>
      </c>
      <c r="DG27" s="8">
        <v>1</v>
      </c>
      <c r="DH27" s="8">
        <v>1</v>
      </c>
      <c r="DI27" s="8">
        <v>1</v>
      </c>
      <c r="DJ27" s="40"/>
      <c r="DK27" s="40"/>
      <c r="DL27" s="8">
        <v>1</v>
      </c>
      <c r="DM27" s="8">
        <v>1</v>
      </c>
      <c r="DN27" s="8">
        <v>1</v>
      </c>
      <c r="DO27" s="8">
        <v>1</v>
      </c>
      <c r="DP27" s="8">
        <v>1</v>
      </c>
      <c r="DQ27" s="41"/>
      <c r="DR27" s="41"/>
      <c r="DS27" s="8">
        <v>1</v>
      </c>
      <c r="DT27" s="8">
        <v>1</v>
      </c>
      <c r="DU27" s="8">
        <v>1</v>
      </c>
      <c r="DV27" s="8">
        <v>1</v>
      </c>
      <c r="DW27" s="8">
        <v>1</v>
      </c>
      <c r="DX27" s="41"/>
      <c r="DY27" s="41"/>
      <c r="DZ27" s="8">
        <v>1</v>
      </c>
      <c r="EA27" s="8">
        <v>1</v>
      </c>
      <c r="EB27" s="8">
        <v>1</v>
      </c>
      <c r="EC27" s="8">
        <v>1</v>
      </c>
      <c r="ED27" s="8">
        <v>1</v>
      </c>
      <c r="EE27" s="41"/>
      <c r="EF27" s="41"/>
      <c r="EG27" s="8">
        <v>1</v>
      </c>
      <c r="EH27" s="8">
        <v>1</v>
      </c>
      <c r="EI27" s="8">
        <v>1</v>
      </c>
      <c r="EJ27" s="8">
        <v>1</v>
      </c>
      <c r="EK27" s="8">
        <v>1</v>
      </c>
      <c r="EL27" s="41"/>
      <c r="EM27" s="41"/>
      <c r="EN27" s="38"/>
      <c r="EO27" s="8">
        <v>1</v>
      </c>
      <c r="EP27" s="8">
        <v>1</v>
      </c>
      <c r="EQ27" s="8">
        <v>1</v>
      </c>
      <c r="ER27" s="8">
        <v>1</v>
      </c>
      <c r="ES27" s="41"/>
      <c r="ET27" s="41"/>
      <c r="EU27" s="8">
        <v>1</v>
      </c>
      <c r="EV27" s="8">
        <v>1</v>
      </c>
      <c r="EW27" s="8">
        <v>1</v>
      </c>
      <c r="EX27" s="38"/>
      <c r="EY27" s="8">
        <v>1</v>
      </c>
      <c r="EZ27" s="41"/>
      <c r="FA27" s="41"/>
      <c r="FB27" s="8">
        <v>1</v>
      </c>
      <c r="FC27" s="8">
        <v>1</v>
      </c>
      <c r="FD27" s="8">
        <v>1</v>
      </c>
      <c r="FE27" s="38"/>
      <c r="FF27" s="8">
        <v>1</v>
      </c>
      <c r="FG27" s="41"/>
      <c r="FH27" s="41"/>
      <c r="FI27" s="8">
        <v>1</v>
      </c>
      <c r="FJ27" s="8">
        <v>1</v>
      </c>
      <c r="FK27" s="8">
        <v>1</v>
      </c>
      <c r="FL27" s="8">
        <v>1</v>
      </c>
      <c r="FM27" s="8">
        <v>1</v>
      </c>
      <c r="FN27" s="41"/>
      <c r="FO27" s="41"/>
      <c r="FP27" s="8">
        <v>1</v>
      </c>
      <c r="FQ27" s="8">
        <v>1</v>
      </c>
      <c r="FR27" s="8">
        <v>1</v>
      </c>
      <c r="FS27" s="8">
        <v>1</v>
      </c>
      <c r="FT27" s="8">
        <v>1</v>
      </c>
      <c r="FU27" s="41"/>
      <c r="FV27" s="41"/>
      <c r="FW27" s="8">
        <v>1</v>
      </c>
      <c r="FX27" s="8">
        <v>1</v>
      </c>
      <c r="FY27" s="8">
        <v>1</v>
      </c>
      <c r="FZ27" s="38"/>
      <c r="GA27" s="8">
        <v>1</v>
      </c>
      <c r="GB27" s="41"/>
      <c r="GC27" s="41"/>
      <c r="GD27" s="8">
        <v>1</v>
      </c>
      <c r="GE27" s="8">
        <v>1</v>
      </c>
      <c r="GF27" s="8">
        <v>1</v>
      </c>
      <c r="GG27" s="8">
        <v>1</v>
      </c>
      <c r="GH27" s="8">
        <v>1</v>
      </c>
      <c r="GI27" s="41"/>
      <c r="GJ27" s="41"/>
      <c r="GK27" s="38"/>
      <c r="GL27" s="8">
        <v>1</v>
      </c>
      <c r="GM27" s="8">
        <v>1</v>
      </c>
      <c r="GN27" s="8">
        <v>1</v>
      </c>
      <c r="GO27" s="8">
        <v>1</v>
      </c>
      <c r="GP27" s="41"/>
      <c r="GQ27" s="41"/>
      <c r="GR27" s="8">
        <v>1</v>
      </c>
      <c r="GS27" s="8">
        <v>1</v>
      </c>
      <c r="GT27" s="8">
        <v>1</v>
      </c>
      <c r="GU27" s="8">
        <v>1</v>
      </c>
      <c r="GV27" s="8">
        <v>1</v>
      </c>
      <c r="GW27" s="41"/>
      <c r="GX27" s="41"/>
      <c r="GY27" s="8">
        <v>1</v>
      </c>
      <c r="GZ27" s="8">
        <v>1</v>
      </c>
      <c r="HA27" s="8">
        <v>1</v>
      </c>
      <c r="HB27" s="8">
        <v>1</v>
      </c>
      <c r="HC27" s="8">
        <v>1</v>
      </c>
      <c r="HD27" s="41"/>
      <c r="HE27" s="41"/>
      <c r="HF27" s="8">
        <v>1</v>
      </c>
      <c r="HG27" s="8">
        <v>1</v>
      </c>
      <c r="HH27" s="8">
        <v>1</v>
      </c>
      <c r="HI27" s="8">
        <v>1</v>
      </c>
      <c r="HJ27" s="8">
        <v>1</v>
      </c>
      <c r="HK27" s="41"/>
      <c r="HL27" s="41"/>
      <c r="HM27" s="8">
        <v>1</v>
      </c>
      <c r="HN27" s="8">
        <v>1</v>
      </c>
      <c r="HO27" s="8">
        <v>1</v>
      </c>
      <c r="HP27" s="8">
        <v>1</v>
      </c>
      <c r="HQ27" s="8">
        <v>1</v>
      </c>
      <c r="HR27" s="41"/>
      <c r="HS27" s="41"/>
      <c r="HT27" s="38"/>
      <c r="HU27" s="8">
        <v>1</v>
      </c>
      <c r="HV27" s="8">
        <v>1</v>
      </c>
      <c r="HW27" s="8">
        <v>1</v>
      </c>
      <c r="HX27" s="8">
        <v>1</v>
      </c>
      <c r="HY27" s="41"/>
      <c r="HZ27" s="41"/>
      <c r="IA27" s="8">
        <v>1</v>
      </c>
      <c r="IB27" s="8">
        <v>1</v>
      </c>
      <c r="IC27" s="8">
        <v>1</v>
      </c>
      <c r="ID27" s="8">
        <v>1</v>
      </c>
      <c r="IE27" s="8">
        <v>1</v>
      </c>
      <c r="IF27" s="41"/>
      <c r="IG27" s="41"/>
      <c r="IH27" s="8">
        <v>1</v>
      </c>
      <c r="II27" s="8">
        <v>1</v>
      </c>
      <c r="IJ27" s="8">
        <v>1</v>
      </c>
      <c r="IK27" s="8">
        <v>1</v>
      </c>
      <c r="IL27" s="8">
        <v>1</v>
      </c>
      <c r="IM27" s="41"/>
      <c r="IN27" s="41"/>
      <c r="IO27" s="8">
        <v>1</v>
      </c>
      <c r="IP27" s="8">
        <v>1</v>
      </c>
      <c r="IQ27" s="8">
        <v>1</v>
      </c>
      <c r="IR27" s="8">
        <v>1</v>
      </c>
      <c r="IS27" s="8">
        <v>1</v>
      </c>
      <c r="IT27" s="41"/>
      <c r="IU27" s="41"/>
      <c r="IV27" s="8">
        <v>1</v>
      </c>
      <c r="IW27" s="8">
        <v>1</v>
      </c>
      <c r="IX27" s="8">
        <v>1</v>
      </c>
      <c r="IY27" s="8">
        <v>1</v>
      </c>
      <c r="IZ27" s="38"/>
      <c r="JA27" s="41"/>
      <c r="JB27" s="41"/>
      <c r="JC27" s="8">
        <v>1</v>
      </c>
      <c r="JD27" s="8">
        <v>1</v>
      </c>
      <c r="JE27" s="8">
        <v>1</v>
      </c>
      <c r="JF27" s="8">
        <v>1</v>
      </c>
      <c r="JG27" s="8">
        <v>1</v>
      </c>
      <c r="JH27" s="41"/>
      <c r="JI27" s="41"/>
      <c r="JJ27" s="8">
        <v>1</v>
      </c>
      <c r="JK27" s="8">
        <v>1</v>
      </c>
      <c r="JL27" s="8">
        <v>1</v>
      </c>
      <c r="JM27" s="8">
        <v>1</v>
      </c>
      <c r="JN27" s="8">
        <v>1</v>
      </c>
      <c r="JO27" s="41"/>
      <c r="JP27" s="41"/>
      <c r="JQ27" s="8">
        <v>1</v>
      </c>
      <c r="JR27" s="8">
        <v>1</v>
      </c>
      <c r="JS27" s="8">
        <v>1</v>
      </c>
      <c r="JT27" s="8">
        <v>1</v>
      </c>
      <c r="JU27" s="8">
        <v>1</v>
      </c>
      <c r="JV27" s="41"/>
      <c r="JW27" s="41"/>
      <c r="JX27" s="8">
        <v>1</v>
      </c>
      <c r="JY27" s="8">
        <v>1</v>
      </c>
      <c r="JZ27" s="8">
        <v>1</v>
      </c>
      <c r="KA27" s="8">
        <v>1</v>
      </c>
      <c r="KB27" s="8">
        <v>1</v>
      </c>
      <c r="KC27" s="41"/>
      <c r="KD27" s="41"/>
      <c r="KE27" s="8">
        <v>1</v>
      </c>
      <c r="KF27" s="8">
        <v>1</v>
      </c>
      <c r="KG27" s="8">
        <v>1</v>
      </c>
      <c r="KH27" s="8">
        <v>1</v>
      </c>
      <c r="KI27" s="8">
        <v>1</v>
      </c>
      <c r="KJ27" s="41"/>
      <c r="KK27" s="41"/>
      <c r="KL27" s="8">
        <v>1</v>
      </c>
      <c r="KM27" s="8">
        <v>1</v>
      </c>
      <c r="KN27" s="8">
        <v>1</v>
      </c>
      <c r="KO27" s="8">
        <v>1</v>
      </c>
      <c r="KP27" s="8">
        <v>1</v>
      </c>
      <c r="KQ27" s="41"/>
      <c r="KR27" s="41"/>
      <c r="KS27" s="8">
        <v>1</v>
      </c>
      <c r="KT27" s="8">
        <v>1</v>
      </c>
      <c r="KU27" s="8">
        <v>1</v>
      </c>
      <c r="KV27" s="8">
        <v>1</v>
      </c>
      <c r="KW27" s="8">
        <v>1</v>
      </c>
      <c r="KX27" s="41"/>
      <c r="KY27" s="41"/>
      <c r="KZ27" s="8">
        <v>1</v>
      </c>
      <c r="LA27" s="8">
        <v>1</v>
      </c>
      <c r="LB27" s="8">
        <v>1</v>
      </c>
      <c r="LC27" s="8">
        <v>1</v>
      </c>
      <c r="LD27" s="8">
        <v>1</v>
      </c>
      <c r="LE27" s="41"/>
      <c r="LF27" s="41"/>
      <c r="LG27" s="8">
        <v>1</v>
      </c>
      <c r="LH27" s="8">
        <v>1</v>
      </c>
      <c r="LI27" s="8">
        <v>1</v>
      </c>
      <c r="LJ27" s="8">
        <v>1</v>
      </c>
      <c r="LK27" s="8">
        <v>1</v>
      </c>
      <c r="LL27" s="41"/>
      <c r="LM27" s="41"/>
      <c r="LN27" s="8">
        <v>1</v>
      </c>
      <c r="LO27" s="8">
        <v>1</v>
      </c>
      <c r="LP27" s="8">
        <v>1</v>
      </c>
      <c r="LQ27" s="8">
        <v>1</v>
      </c>
      <c r="LR27" s="8">
        <v>1</v>
      </c>
      <c r="LS27" s="41"/>
      <c r="LT27" s="41"/>
      <c r="LU27" s="8">
        <v>1</v>
      </c>
      <c r="LV27" s="8">
        <v>1</v>
      </c>
      <c r="LW27" s="8">
        <v>1</v>
      </c>
      <c r="LX27" s="8">
        <v>1</v>
      </c>
      <c r="LY27" s="8">
        <v>1</v>
      </c>
      <c r="LZ27" s="41"/>
      <c r="MA27" s="41"/>
      <c r="MB27" s="8">
        <v>1</v>
      </c>
      <c r="MC27" s="8">
        <v>1</v>
      </c>
      <c r="MD27" s="8">
        <v>1</v>
      </c>
      <c r="ME27" s="8">
        <v>1</v>
      </c>
      <c r="MF27" s="8">
        <v>1</v>
      </c>
      <c r="MG27" s="41"/>
      <c r="MH27" s="41"/>
      <c r="MI27" s="8">
        <v>1</v>
      </c>
      <c r="MJ27" s="8">
        <v>1</v>
      </c>
      <c r="MK27" s="8">
        <v>1</v>
      </c>
      <c r="ML27" s="8">
        <v>1</v>
      </c>
      <c r="MM27" s="8">
        <v>1</v>
      </c>
      <c r="MN27" s="41"/>
      <c r="MO27" s="41"/>
      <c r="MP27" s="8">
        <v>1</v>
      </c>
      <c r="MQ27" s="8">
        <v>1</v>
      </c>
      <c r="MR27" s="8">
        <v>1</v>
      </c>
      <c r="MS27" s="8">
        <v>1</v>
      </c>
      <c r="MT27" s="8">
        <v>1</v>
      </c>
      <c r="MU27" s="41"/>
      <c r="MV27" s="41"/>
      <c r="MW27" s="8">
        <v>1</v>
      </c>
      <c r="MX27" s="8">
        <v>1</v>
      </c>
      <c r="MY27" s="8">
        <v>1</v>
      </c>
      <c r="MZ27" s="8">
        <v>1</v>
      </c>
      <c r="NA27" s="8">
        <v>1</v>
      </c>
      <c r="NB27" s="41"/>
      <c r="NC27" s="41"/>
      <c r="ND27" s="8">
        <v>1</v>
      </c>
      <c r="NE27" s="8">
        <v>1</v>
      </c>
      <c r="NF27" s="8">
        <v>1</v>
      </c>
      <c r="NG27" s="8">
        <v>1</v>
      </c>
      <c r="NH27" s="8">
        <v>1</v>
      </c>
      <c r="NI27" s="41"/>
      <c r="NJ27" s="41"/>
      <c r="NK27" s="8">
        <v>1</v>
      </c>
      <c r="NL27" s="8">
        <v>1</v>
      </c>
      <c r="NM27" s="8">
        <v>1</v>
      </c>
      <c r="NN27" s="8">
        <v>1</v>
      </c>
      <c r="NO27" s="8">
        <v>1</v>
      </c>
      <c r="NP27" s="40"/>
      <c r="NQ27" s="40"/>
      <c r="NR27" s="8">
        <v>1</v>
      </c>
      <c r="NS27" s="8">
        <v>1</v>
      </c>
      <c r="NT27" s="8">
        <v>1</v>
      </c>
      <c r="NU27" s="8">
        <v>1</v>
      </c>
      <c r="NV27" s="8">
        <v>1</v>
      </c>
      <c r="NW27" s="40"/>
      <c r="NX27" s="40"/>
      <c r="NY27" s="8">
        <v>1</v>
      </c>
      <c r="NZ27" s="8">
        <v>1</v>
      </c>
      <c r="OA27" s="8">
        <v>1</v>
      </c>
      <c r="OB27" s="8"/>
      <c r="OC27" s="8">
        <v>1</v>
      </c>
      <c r="OD27" s="41"/>
      <c r="OE27" s="41"/>
      <c r="OF27" s="8">
        <v>1</v>
      </c>
      <c r="OG27" s="8">
        <v>1</v>
      </c>
      <c r="OH27" s="8">
        <v>1</v>
      </c>
      <c r="OI27" s="32"/>
      <c r="OJ27" s="33"/>
      <c r="OK27" s="33"/>
      <c r="OL27" s="33"/>
      <c r="OM27" s="33"/>
      <c r="ON27" s="33"/>
      <c r="OO27" s="33"/>
      <c r="OP27" s="33"/>
      <c r="OQ27" s="33"/>
      <c r="OR27" s="33"/>
      <c r="OS27" s="33"/>
      <c r="OT27" s="33"/>
      <c r="OU27" s="33"/>
      <c r="OV27" s="33"/>
      <c r="OW27" s="33"/>
      <c r="OX27" s="33"/>
      <c r="OY27" s="33"/>
      <c r="OZ27" s="33"/>
      <c r="PA27" s="33"/>
      <c r="PB27" s="33"/>
      <c r="PC27" s="33"/>
      <c r="PD27" s="33"/>
      <c r="PE27" s="33"/>
      <c r="PF27" s="33"/>
      <c r="PG27" s="33"/>
      <c r="PH27" s="33"/>
      <c r="PI27" s="33"/>
      <c r="PJ27" s="33"/>
      <c r="PK27" s="33"/>
      <c r="PL27" s="33"/>
      <c r="PM27" s="33"/>
      <c r="PN27" s="33"/>
      <c r="PO27" s="33"/>
      <c r="PP27" s="33"/>
      <c r="PQ27" s="33"/>
      <c r="PR27" s="33"/>
      <c r="PS27" s="33"/>
      <c r="PT27" s="33"/>
      <c r="PU27" s="42"/>
      <c r="PV27" s="42"/>
      <c r="PW27" s="42"/>
      <c r="PX27" s="42"/>
      <c r="PY27" s="42"/>
      <c r="PZ27" s="42"/>
      <c r="QA27" s="42"/>
      <c r="QB27" s="42"/>
      <c r="QC27" s="42"/>
      <c r="QD27" s="42"/>
      <c r="QE27" s="42"/>
      <c r="QF27" s="42"/>
      <c r="QG27" s="42"/>
      <c r="QH27" s="42"/>
      <c r="QI27" s="42"/>
    </row>
    <row r="28" spans="1:451" s="31" customFormat="1" ht="21" x14ac:dyDescent="0.3">
      <c r="A28" s="61" t="s">
        <v>521</v>
      </c>
      <c r="B28" s="62" t="s">
        <v>433</v>
      </c>
      <c r="C28" s="45"/>
      <c r="D28" s="8">
        <v>1</v>
      </c>
      <c r="E28" s="8">
        <v>1</v>
      </c>
      <c r="F28" s="8">
        <v>1</v>
      </c>
      <c r="G28" s="8">
        <v>1</v>
      </c>
      <c r="H28" s="8">
        <v>1</v>
      </c>
      <c r="I28" s="46"/>
      <c r="J28" s="46"/>
      <c r="K28" s="8">
        <v>1</v>
      </c>
      <c r="L28" s="8">
        <v>1</v>
      </c>
      <c r="M28" s="8">
        <v>1</v>
      </c>
      <c r="N28" s="8">
        <v>1</v>
      </c>
      <c r="O28" s="8">
        <v>1</v>
      </c>
      <c r="P28" s="46"/>
      <c r="Q28" s="46"/>
      <c r="R28" s="8">
        <v>1</v>
      </c>
      <c r="S28" s="8">
        <v>1</v>
      </c>
      <c r="T28" s="8">
        <v>1</v>
      </c>
      <c r="U28" s="8">
        <v>1</v>
      </c>
      <c r="V28" s="8">
        <v>1</v>
      </c>
      <c r="W28" s="46"/>
      <c r="X28" s="46"/>
      <c r="Y28" s="8">
        <v>1</v>
      </c>
      <c r="Z28" s="8">
        <v>1</v>
      </c>
      <c r="AA28" s="8"/>
      <c r="AB28" s="8">
        <v>1</v>
      </c>
      <c r="AC28" s="8">
        <v>1</v>
      </c>
      <c r="AD28" s="46"/>
      <c r="AE28" s="46"/>
      <c r="AF28" s="8">
        <v>1</v>
      </c>
      <c r="AG28" s="8">
        <v>1</v>
      </c>
      <c r="AH28" s="38"/>
      <c r="AI28" s="8">
        <v>1</v>
      </c>
      <c r="AJ28" s="8">
        <v>1</v>
      </c>
      <c r="AK28" s="8"/>
      <c r="AL28" s="8"/>
      <c r="AM28" s="109">
        <v>1</v>
      </c>
      <c r="AN28" s="109">
        <v>1</v>
      </c>
      <c r="AO28" s="8">
        <v>0</v>
      </c>
      <c r="AP28" s="8">
        <v>0</v>
      </c>
      <c r="AQ28" s="8">
        <v>0</v>
      </c>
      <c r="AR28" s="39"/>
      <c r="AS28" s="39"/>
      <c r="AT28" s="39">
        <v>0</v>
      </c>
      <c r="AU28" s="39">
        <v>0</v>
      </c>
      <c r="AV28" s="8">
        <v>1</v>
      </c>
      <c r="AW28" s="8">
        <v>1</v>
      </c>
      <c r="AX28" s="8">
        <v>1</v>
      </c>
      <c r="AY28" s="39"/>
      <c r="AZ28" s="39"/>
      <c r="BA28" s="39">
        <v>1</v>
      </c>
      <c r="BB28" s="39">
        <v>1</v>
      </c>
      <c r="BC28" s="39">
        <v>1</v>
      </c>
      <c r="BD28" s="39">
        <v>1</v>
      </c>
      <c r="BE28" s="39">
        <v>1</v>
      </c>
      <c r="BF28" s="39"/>
      <c r="BG28" s="39"/>
      <c r="BH28" s="39">
        <v>1</v>
      </c>
      <c r="BI28" s="39">
        <v>1</v>
      </c>
      <c r="BJ28" s="39">
        <v>1</v>
      </c>
      <c r="BK28" s="39">
        <v>1</v>
      </c>
      <c r="BL28" s="39">
        <v>1</v>
      </c>
      <c r="BM28" s="40"/>
      <c r="BN28" s="40"/>
      <c r="BO28" s="8">
        <v>1</v>
      </c>
      <c r="BP28" s="8">
        <v>1</v>
      </c>
      <c r="BQ28" s="8">
        <v>1</v>
      </c>
      <c r="BR28" s="8">
        <v>1</v>
      </c>
      <c r="BS28" s="8">
        <v>1</v>
      </c>
      <c r="BT28" s="40"/>
      <c r="BU28" s="40"/>
      <c r="BV28" s="8">
        <v>1</v>
      </c>
      <c r="BW28" s="8">
        <v>1</v>
      </c>
      <c r="BX28" s="8">
        <v>1</v>
      </c>
      <c r="BY28" s="8">
        <v>1</v>
      </c>
      <c r="BZ28" s="8">
        <v>1</v>
      </c>
      <c r="CA28" s="40"/>
      <c r="CB28" s="40"/>
      <c r="CC28" s="8">
        <v>1</v>
      </c>
      <c r="CD28" s="8">
        <v>1</v>
      </c>
      <c r="CE28" s="8">
        <v>1</v>
      </c>
      <c r="CF28" s="8">
        <v>1</v>
      </c>
      <c r="CG28" s="8">
        <v>1</v>
      </c>
      <c r="CH28" s="40"/>
      <c r="CI28" s="40"/>
      <c r="CJ28" s="8">
        <v>1</v>
      </c>
      <c r="CK28" s="8">
        <v>1</v>
      </c>
      <c r="CL28" s="8">
        <v>1</v>
      </c>
      <c r="CM28" s="8">
        <v>1</v>
      </c>
      <c r="CN28" s="8">
        <v>1</v>
      </c>
      <c r="CO28" s="40"/>
      <c r="CP28" s="40"/>
      <c r="CQ28" s="8">
        <v>1</v>
      </c>
      <c r="CR28" s="8">
        <v>1</v>
      </c>
      <c r="CS28" s="8">
        <v>1</v>
      </c>
      <c r="CT28" s="8">
        <v>1</v>
      </c>
      <c r="CU28" s="8">
        <v>1</v>
      </c>
      <c r="CV28" s="40"/>
      <c r="CW28" s="40"/>
      <c r="CX28" s="8">
        <v>1</v>
      </c>
      <c r="CY28" s="8">
        <v>1</v>
      </c>
      <c r="CZ28" s="8">
        <v>1</v>
      </c>
      <c r="DA28" s="8">
        <v>1</v>
      </c>
      <c r="DB28" s="8">
        <v>1</v>
      </c>
      <c r="DC28" s="40"/>
      <c r="DD28" s="40"/>
      <c r="DE28" s="8">
        <v>1</v>
      </c>
      <c r="DF28" s="8">
        <v>1</v>
      </c>
      <c r="DG28" s="8">
        <v>1</v>
      </c>
      <c r="DH28" s="8">
        <v>1</v>
      </c>
      <c r="DI28" s="8">
        <v>1</v>
      </c>
      <c r="DJ28" s="40"/>
      <c r="DK28" s="40"/>
      <c r="DL28" s="8">
        <v>1</v>
      </c>
      <c r="DM28" s="8">
        <v>1</v>
      </c>
      <c r="DN28" s="8">
        <v>1</v>
      </c>
      <c r="DO28" s="8">
        <v>1</v>
      </c>
      <c r="DP28" s="8">
        <v>1</v>
      </c>
      <c r="DQ28" s="41"/>
      <c r="DR28" s="41"/>
      <c r="DS28" s="8">
        <v>1</v>
      </c>
      <c r="DT28" s="8">
        <v>1</v>
      </c>
      <c r="DU28" s="8">
        <v>1</v>
      </c>
      <c r="DV28" s="8">
        <v>1</v>
      </c>
      <c r="DW28" s="8">
        <v>1</v>
      </c>
      <c r="DX28" s="41"/>
      <c r="DY28" s="41"/>
      <c r="DZ28" s="8">
        <v>1</v>
      </c>
      <c r="EA28" s="8">
        <v>1</v>
      </c>
      <c r="EB28" s="8">
        <v>1</v>
      </c>
      <c r="EC28" s="8">
        <v>1</v>
      </c>
      <c r="ED28" s="8">
        <v>1</v>
      </c>
      <c r="EE28" s="41"/>
      <c r="EF28" s="41"/>
      <c r="EG28" s="8">
        <v>1</v>
      </c>
      <c r="EH28" s="8">
        <v>1</v>
      </c>
      <c r="EI28" s="8">
        <v>1</v>
      </c>
      <c r="EJ28" s="8">
        <v>1</v>
      </c>
      <c r="EK28" s="8">
        <v>1</v>
      </c>
      <c r="EL28" s="41"/>
      <c r="EM28" s="41"/>
      <c r="EN28" s="38"/>
      <c r="EO28" s="8">
        <v>1</v>
      </c>
      <c r="EP28" s="8">
        <v>1</v>
      </c>
      <c r="EQ28" s="8">
        <v>1</v>
      </c>
      <c r="ER28" s="8">
        <v>1</v>
      </c>
      <c r="ES28" s="41"/>
      <c r="ET28" s="41"/>
      <c r="EU28" s="8">
        <v>1</v>
      </c>
      <c r="EV28" s="8">
        <v>1</v>
      </c>
      <c r="EW28" s="8">
        <v>1</v>
      </c>
      <c r="EX28" s="38"/>
      <c r="EY28" s="8">
        <v>1</v>
      </c>
      <c r="EZ28" s="41"/>
      <c r="FA28" s="41"/>
      <c r="FB28" s="8">
        <v>1</v>
      </c>
      <c r="FC28" s="8">
        <v>1</v>
      </c>
      <c r="FD28" s="8">
        <v>1</v>
      </c>
      <c r="FE28" s="38"/>
      <c r="FF28" s="8">
        <v>1</v>
      </c>
      <c r="FG28" s="41"/>
      <c r="FH28" s="41"/>
      <c r="FI28" s="8">
        <v>1</v>
      </c>
      <c r="FJ28" s="8">
        <v>1</v>
      </c>
      <c r="FK28" s="8">
        <v>1</v>
      </c>
      <c r="FL28" s="8">
        <v>1</v>
      </c>
      <c r="FM28" s="8">
        <v>1</v>
      </c>
      <c r="FN28" s="41"/>
      <c r="FO28" s="41"/>
      <c r="FP28" s="8">
        <v>1</v>
      </c>
      <c r="FQ28" s="8">
        <v>1</v>
      </c>
      <c r="FR28" s="8">
        <v>1</v>
      </c>
      <c r="FS28" s="8">
        <v>1</v>
      </c>
      <c r="FT28" s="8">
        <v>1</v>
      </c>
      <c r="FU28" s="41"/>
      <c r="FV28" s="41"/>
      <c r="FW28" s="8">
        <v>1</v>
      </c>
      <c r="FX28" s="8">
        <v>1</v>
      </c>
      <c r="FY28" s="8">
        <v>1</v>
      </c>
      <c r="FZ28" s="38"/>
      <c r="GA28" s="8">
        <v>1</v>
      </c>
      <c r="GB28" s="41"/>
      <c r="GC28" s="41"/>
      <c r="GD28" s="8">
        <v>1</v>
      </c>
      <c r="GE28" s="8">
        <v>1</v>
      </c>
      <c r="GF28" s="8">
        <v>1</v>
      </c>
      <c r="GG28" s="8">
        <v>1</v>
      </c>
      <c r="GH28" s="8">
        <v>1</v>
      </c>
      <c r="GI28" s="41"/>
      <c r="GJ28" s="41"/>
      <c r="GK28" s="38"/>
      <c r="GL28" s="8">
        <v>1</v>
      </c>
      <c r="GM28" s="8">
        <v>1</v>
      </c>
      <c r="GN28" s="8">
        <v>1</v>
      </c>
      <c r="GO28" s="8">
        <v>1</v>
      </c>
      <c r="GP28" s="41"/>
      <c r="GQ28" s="41"/>
      <c r="GR28" s="8">
        <v>1</v>
      </c>
      <c r="GS28" s="8">
        <v>1</v>
      </c>
      <c r="GT28" s="8">
        <v>1</v>
      </c>
      <c r="GU28" s="8">
        <v>1</v>
      </c>
      <c r="GV28" s="8">
        <v>1</v>
      </c>
      <c r="GW28" s="41"/>
      <c r="GX28" s="41"/>
      <c r="GY28" s="8">
        <v>1</v>
      </c>
      <c r="GZ28" s="8">
        <v>1</v>
      </c>
      <c r="HA28" s="8">
        <v>1</v>
      </c>
      <c r="HB28" s="8">
        <v>1</v>
      </c>
      <c r="HC28" s="8">
        <v>1</v>
      </c>
      <c r="HD28" s="41"/>
      <c r="HE28" s="41"/>
      <c r="HF28" s="8">
        <v>1</v>
      </c>
      <c r="HG28" s="8">
        <v>1</v>
      </c>
      <c r="HH28" s="8">
        <v>1</v>
      </c>
      <c r="HI28" s="8">
        <v>1</v>
      </c>
      <c r="HJ28" s="8">
        <v>1</v>
      </c>
      <c r="HK28" s="41"/>
      <c r="HL28" s="41"/>
      <c r="HM28" s="8">
        <v>1</v>
      </c>
      <c r="HN28" s="8">
        <v>1</v>
      </c>
      <c r="HO28" s="8">
        <v>1</v>
      </c>
      <c r="HP28" s="8">
        <v>1</v>
      </c>
      <c r="HQ28" s="8">
        <v>1</v>
      </c>
      <c r="HR28" s="41"/>
      <c r="HS28" s="41"/>
      <c r="HT28" s="38"/>
      <c r="HU28" s="8">
        <v>1</v>
      </c>
      <c r="HV28" s="8">
        <v>1</v>
      </c>
      <c r="HW28" s="8">
        <v>1</v>
      </c>
      <c r="HX28" s="8">
        <v>1</v>
      </c>
      <c r="HY28" s="41"/>
      <c r="HZ28" s="41"/>
      <c r="IA28" s="8">
        <v>1</v>
      </c>
      <c r="IB28" s="8">
        <v>1</v>
      </c>
      <c r="IC28" s="8">
        <v>1</v>
      </c>
      <c r="ID28" s="8">
        <v>1</v>
      </c>
      <c r="IE28" s="8">
        <v>1</v>
      </c>
      <c r="IF28" s="41"/>
      <c r="IG28" s="41"/>
      <c r="IH28" s="8">
        <v>1</v>
      </c>
      <c r="II28" s="8">
        <v>1</v>
      </c>
      <c r="IJ28" s="8">
        <v>1</v>
      </c>
      <c r="IK28" s="8">
        <v>1</v>
      </c>
      <c r="IL28" s="8">
        <v>1</v>
      </c>
      <c r="IM28" s="41"/>
      <c r="IN28" s="41"/>
      <c r="IO28" s="8">
        <v>1</v>
      </c>
      <c r="IP28" s="8">
        <v>1</v>
      </c>
      <c r="IQ28" s="8">
        <v>1</v>
      </c>
      <c r="IR28" s="8">
        <v>1</v>
      </c>
      <c r="IS28" s="8">
        <v>1</v>
      </c>
      <c r="IT28" s="41"/>
      <c r="IU28" s="41"/>
      <c r="IV28" s="8">
        <v>1</v>
      </c>
      <c r="IW28" s="8">
        <v>1</v>
      </c>
      <c r="IX28" s="8">
        <v>1</v>
      </c>
      <c r="IY28" s="8">
        <v>1</v>
      </c>
      <c r="IZ28" s="38"/>
      <c r="JA28" s="41"/>
      <c r="JB28" s="41"/>
      <c r="JC28" s="8">
        <v>1</v>
      </c>
      <c r="JD28" s="8">
        <v>1</v>
      </c>
      <c r="JE28" s="8">
        <v>1</v>
      </c>
      <c r="JF28" s="8">
        <v>1</v>
      </c>
      <c r="JG28" s="8">
        <v>1</v>
      </c>
      <c r="JH28" s="41"/>
      <c r="JI28" s="41"/>
      <c r="JJ28" s="8">
        <v>1</v>
      </c>
      <c r="JK28" s="8">
        <v>1</v>
      </c>
      <c r="JL28" s="8">
        <v>1</v>
      </c>
      <c r="JM28" s="8">
        <v>1</v>
      </c>
      <c r="JN28" s="8">
        <v>1</v>
      </c>
      <c r="JO28" s="41"/>
      <c r="JP28" s="41"/>
      <c r="JQ28" s="8">
        <v>1</v>
      </c>
      <c r="JR28" s="8">
        <v>1</v>
      </c>
      <c r="JS28" s="8">
        <v>1</v>
      </c>
      <c r="JT28" s="8">
        <v>1</v>
      </c>
      <c r="JU28" s="8">
        <v>1</v>
      </c>
      <c r="JV28" s="41"/>
      <c r="JW28" s="41"/>
      <c r="JX28" s="8">
        <v>1</v>
      </c>
      <c r="JY28" s="8">
        <v>1</v>
      </c>
      <c r="JZ28" s="8">
        <v>1</v>
      </c>
      <c r="KA28" s="8">
        <v>1</v>
      </c>
      <c r="KB28" s="8">
        <v>1</v>
      </c>
      <c r="KC28" s="41"/>
      <c r="KD28" s="41"/>
      <c r="KE28" s="8">
        <v>1</v>
      </c>
      <c r="KF28" s="8">
        <v>1</v>
      </c>
      <c r="KG28" s="8">
        <v>1</v>
      </c>
      <c r="KH28" s="8">
        <v>1</v>
      </c>
      <c r="KI28" s="8">
        <v>1</v>
      </c>
      <c r="KJ28" s="41"/>
      <c r="KK28" s="41"/>
      <c r="KL28" s="8">
        <v>1</v>
      </c>
      <c r="KM28" s="8">
        <v>1</v>
      </c>
      <c r="KN28" s="8">
        <v>1</v>
      </c>
      <c r="KO28" s="8">
        <v>1</v>
      </c>
      <c r="KP28" s="8">
        <v>1</v>
      </c>
      <c r="KQ28" s="41"/>
      <c r="KR28" s="41"/>
      <c r="KS28" s="8">
        <v>1</v>
      </c>
      <c r="KT28" s="8">
        <v>1</v>
      </c>
      <c r="KU28" s="8">
        <v>1</v>
      </c>
      <c r="KV28" s="8">
        <v>1</v>
      </c>
      <c r="KW28" s="8">
        <v>1</v>
      </c>
      <c r="KX28" s="41"/>
      <c r="KY28" s="41"/>
      <c r="KZ28" s="8">
        <v>1</v>
      </c>
      <c r="LA28" s="8">
        <v>1</v>
      </c>
      <c r="LB28" s="8">
        <v>1</v>
      </c>
      <c r="LC28" s="8">
        <v>1</v>
      </c>
      <c r="LD28" s="8">
        <v>1</v>
      </c>
      <c r="LE28" s="41"/>
      <c r="LF28" s="41"/>
      <c r="LG28" s="8">
        <v>1</v>
      </c>
      <c r="LH28" s="8">
        <v>1</v>
      </c>
      <c r="LI28" s="8">
        <v>1</v>
      </c>
      <c r="LJ28" s="8">
        <v>1</v>
      </c>
      <c r="LK28" s="8">
        <v>1</v>
      </c>
      <c r="LL28" s="41"/>
      <c r="LM28" s="41"/>
      <c r="LN28" s="8">
        <v>1</v>
      </c>
      <c r="LO28" s="8">
        <v>1</v>
      </c>
      <c r="LP28" s="8">
        <v>1</v>
      </c>
      <c r="LQ28" s="8">
        <v>1</v>
      </c>
      <c r="LR28" s="8">
        <v>1</v>
      </c>
      <c r="LS28" s="41"/>
      <c r="LT28" s="41"/>
      <c r="LU28" s="8">
        <v>1</v>
      </c>
      <c r="LV28" s="8">
        <v>1</v>
      </c>
      <c r="LW28" s="8">
        <v>1</v>
      </c>
      <c r="LX28" s="8">
        <v>1</v>
      </c>
      <c r="LY28" s="8">
        <v>1</v>
      </c>
      <c r="LZ28" s="41"/>
      <c r="MA28" s="41"/>
      <c r="MB28" s="8">
        <v>1</v>
      </c>
      <c r="MC28" s="8">
        <v>1</v>
      </c>
      <c r="MD28" s="8">
        <v>1</v>
      </c>
      <c r="ME28" s="8">
        <v>1</v>
      </c>
      <c r="MF28" s="8">
        <v>1</v>
      </c>
      <c r="MG28" s="41"/>
      <c r="MH28" s="41"/>
      <c r="MI28" s="8">
        <v>1</v>
      </c>
      <c r="MJ28" s="8">
        <v>1</v>
      </c>
      <c r="MK28" s="8">
        <v>1</v>
      </c>
      <c r="ML28" s="8">
        <v>1</v>
      </c>
      <c r="MM28" s="8">
        <v>1</v>
      </c>
      <c r="MN28" s="41"/>
      <c r="MO28" s="41"/>
      <c r="MP28" s="8">
        <v>1</v>
      </c>
      <c r="MQ28" s="8">
        <v>1</v>
      </c>
      <c r="MR28" s="8">
        <v>1</v>
      </c>
      <c r="MS28" s="8">
        <v>1</v>
      </c>
      <c r="MT28" s="8">
        <v>1</v>
      </c>
      <c r="MU28" s="41"/>
      <c r="MV28" s="41"/>
      <c r="MW28" s="8">
        <v>1</v>
      </c>
      <c r="MX28" s="8">
        <v>1</v>
      </c>
      <c r="MY28" s="8">
        <v>1</v>
      </c>
      <c r="MZ28" s="8">
        <v>1</v>
      </c>
      <c r="NA28" s="8">
        <v>1</v>
      </c>
      <c r="NB28" s="41"/>
      <c r="NC28" s="41"/>
      <c r="ND28" s="8">
        <v>1</v>
      </c>
      <c r="NE28" s="8">
        <v>1</v>
      </c>
      <c r="NF28" s="8">
        <v>1</v>
      </c>
      <c r="NG28" s="8">
        <v>1</v>
      </c>
      <c r="NH28" s="8">
        <v>1</v>
      </c>
      <c r="NI28" s="41"/>
      <c r="NJ28" s="41"/>
      <c r="NK28" s="8">
        <v>1</v>
      </c>
      <c r="NL28" s="8">
        <v>1</v>
      </c>
      <c r="NM28" s="8">
        <v>1</v>
      </c>
      <c r="NN28" s="8">
        <v>1</v>
      </c>
      <c r="NO28" s="8">
        <v>1</v>
      </c>
      <c r="NP28" s="40"/>
      <c r="NQ28" s="40"/>
      <c r="NR28" s="8">
        <v>1</v>
      </c>
      <c r="NS28" s="8">
        <v>1</v>
      </c>
      <c r="NT28" s="8">
        <v>1</v>
      </c>
      <c r="NU28" s="8">
        <v>1</v>
      </c>
      <c r="NV28" s="8">
        <v>1</v>
      </c>
      <c r="NW28" s="40"/>
      <c r="NX28" s="40"/>
      <c r="NY28" s="8">
        <v>1</v>
      </c>
      <c r="NZ28" s="8">
        <v>1</v>
      </c>
      <c r="OA28" s="8">
        <v>1</v>
      </c>
      <c r="OB28" s="8"/>
      <c r="OC28" s="8">
        <v>1</v>
      </c>
      <c r="OD28" s="41"/>
      <c r="OE28" s="41"/>
      <c r="OF28" s="8">
        <v>1</v>
      </c>
      <c r="OG28" s="8">
        <v>1</v>
      </c>
      <c r="OH28" s="8">
        <v>1</v>
      </c>
      <c r="OI28" s="32"/>
      <c r="OJ28" s="33"/>
      <c r="OK28" s="33"/>
      <c r="OL28" s="33"/>
      <c r="OM28" s="33"/>
      <c r="ON28" s="33"/>
      <c r="OO28" s="33"/>
      <c r="OP28" s="33"/>
      <c r="OQ28" s="33"/>
      <c r="OR28" s="33"/>
      <c r="OS28" s="33"/>
      <c r="OT28" s="33"/>
      <c r="OU28" s="33"/>
      <c r="OV28" s="33"/>
      <c r="OW28" s="33"/>
      <c r="OX28" s="33"/>
      <c r="OY28" s="33"/>
      <c r="OZ28" s="33"/>
      <c r="PA28" s="33"/>
      <c r="PB28" s="33"/>
      <c r="PC28" s="33"/>
      <c r="PD28" s="33"/>
      <c r="PE28" s="33"/>
      <c r="PF28" s="33"/>
      <c r="PG28" s="33"/>
      <c r="PH28" s="33"/>
      <c r="PI28" s="33"/>
      <c r="PJ28" s="33"/>
      <c r="PK28" s="33"/>
      <c r="PL28" s="33"/>
      <c r="PM28" s="33"/>
      <c r="PN28" s="33"/>
      <c r="PO28" s="33"/>
      <c r="PP28" s="33"/>
      <c r="PQ28" s="33"/>
      <c r="PR28" s="33"/>
      <c r="PS28" s="33"/>
      <c r="PT28" s="33"/>
      <c r="PU28" s="33"/>
      <c r="PV28" s="33"/>
      <c r="PW28" s="33"/>
      <c r="PX28" s="33"/>
      <c r="PY28" s="33"/>
      <c r="PZ28" s="33"/>
      <c r="QA28" s="33"/>
      <c r="QB28" s="33"/>
      <c r="QC28" s="33"/>
      <c r="QD28" s="33"/>
      <c r="QE28" s="33"/>
      <c r="QF28" s="33"/>
      <c r="QG28" s="33"/>
      <c r="QH28" s="33"/>
      <c r="QI28" s="33"/>
    </row>
    <row r="29" spans="1:451" s="31" customFormat="1" ht="21" x14ac:dyDescent="0.3">
      <c r="A29" s="61" t="s">
        <v>522</v>
      </c>
      <c r="B29" s="62" t="s">
        <v>433</v>
      </c>
      <c r="C29" s="45"/>
      <c r="D29" s="8">
        <v>1</v>
      </c>
      <c r="E29" s="8">
        <v>1</v>
      </c>
      <c r="F29" s="8">
        <v>1</v>
      </c>
      <c r="G29" s="8">
        <v>1</v>
      </c>
      <c r="H29" s="8">
        <v>1</v>
      </c>
      <c r="I29" s="46"/>
      <c r="J29" s="46"/>
      <c r="K29" s="8">
        <v>1</v>
      </c>
      <c r="L29" s="8">
        <v>1</v>
      </c>
      <c r="M29" s="8">
        <v>1</v>
      </c>
      <c r="N29" s="8">
        <v>1</v>
      </c>
      <c r="O29" s="8">
        <v>1</v>
      </c>
      <c r="P29" s="46"/>
      <c r="Q29" s="46"/>
      <c r="R29" s="8">
        <v>1</v>
      </c>
      <c r="S29" s="8">
        <v>0</v>
      </c>
      <c r="T29" s="8">
        <v>0</v>
      </c>
      <c r="U29" s="8">
        <v>0</v>
      </c>
      <c r="V29" s="8">
        <v>0</v>
      </c>
      <c r="W29" s="46"/>
      <c r="X29" s="46"/>
      <c r="Y29" s="8">
        <v>0</v>
      </c>
      <c r="Z29" s="8">
        <v>0</v>
      </c>
      <c r="AA29" s="8"/>
      <c r="AB29" s="8">
        <v>0</v>
      </c>
      <c r="AC29" s="8">
        <v>0</v>
      </c>
      <c r="AD29" s="46"/>
      <c r="AE29" s="46"/>
      <c r="AF29" s="8">
        <v>0</v>
      </c>
      <c r="AG29" s="8">
        <v>0</v>
      </c>
      <c r="AH29" s="38"/>
      <c r="AI29" s="8">
        <v>1</v>
      </c>
      <c r="AJ29" s="8">
        <v>1</v>
      </c>
      <c r="AK29" s="8"/>
      <c r="AL29" s="8"/>
      <c r="AM29" s="109">
        <v>1</v>
      </c>
      <c r="AN29" s="109">
        <v>1</v>
      </c>
      <c r="AO29" s="8">
        <v>1</v>
      </c>
      <c r="AP29" s="8">
        <v>1</v>
      </c>
      <c r="AQ29" s="8">
        <v>1</v>
      </c>
      <c r="AR29" s="39"/>
      <c r="AS29" s="39"/>
      <c r="AT29" s="8">
        <v>1</v>
      </c>
      <c r="AU29" s="8">
        <v>1</v>
      </c>
      <c r="AV29" s="8">
        <v>1</v>
      </c>
      <c r="AW29" s="8">
        <v>1</v>
      </c>
      <c r="AX29" s="8">
        <v>1</v>
      </c>
      <c r="AY29" s="39"/>
      <c r="AZ29" s="39"/>
      <c r="BA29" s="39">
        <v>1</v>
      </c>
      <c r="BB29" s="39">
        <v>1</v>
      </c>
      <c r="BC29" s="39">
        <v>1</v>
      </c>
      <c r="BD29" s="39">
        <v>1</v>
      </c>
      <c r="BE29" s="39">
        <v>1</v>
      </c>
      <c r="BF29" s="39"/>
      <c r="BG29" s="39"/>
      <c r="BH29" s="39">
        <v>1</v>
      </c>
      <c r="BI29" s="39">
        <v>1</v>
      </c>
      <c r="BJ29" s="39">
        <v>1</v>
      </c>
      <c r="BK29" s="39">
        <v>1</v>
      </c>
      <c r="BL29" s="39">
        <v>1</v>
      </c>
      <c r="BM29" s="40"/>
      <c r="BN29" s="40"/>
      <c r="BO29" s="8">
        <v>1</v>
      </c>
      <c r="BP29" s="8">
        <v>1</v>
      </c>
      <c r="BQ29" s="8">
        <v>1</v>
      </c>
      <c r="BR29" s="8">
        <v>1</v>
      </c>
      <c r="BS29" s="8">
        <v>1</v>
      </c>
      <c r="BT29" s="40"/>
      <c r="BU29" s="40"/>
      <c r="BV29" s="8">
        <v>1</v>
      </c>
      <c r="BW29" s="8">
        <v>1</v>
      </c>
      <c r="BX29" s="8">
        <v>1</v>
      </c>
      <c r="BY29" s="8">
        <v>1</v>
      </c>
      <c r="BZ29" s="8">
        <v>1</v>
      </c>
      <c r="CA29" s="40"/>
      <c r="CB29" s="40"/>
      <c r="CC29" s="8">
        <v>1</v>
      </c>
      <c r="CD29" s="8">
        <v>1</v>
      </c>
      <c r="CE29" s="8">
        <v>1</v>
      </c>
      <c r="CF29" s="8">
        <v>1</v>
      </c>
      <c r="CG29" s="8">
        <v>1</v>
      </c>
      <c r="CH29" s="40"/>
      <c r="CI29" s="40"/>
      <c r="CJ29" s="8">
        <v>1</v>
      </c>
      <c r="CK29" s="8">
        <v>1</v>
      </c>
      <c r="CL29" s="8">
        <v>1</v>
      </c>
      <c r="CM29" s="8">
        <v>1</v>
      </c>
      <c r="CN29" s="8">
        <v>1</v>
      </c>
      <c r="CO29" s="40"/>
      <c r="CP29" s="40"/>
      <c r="CQ29" s="8">
        <v>1</v>
      </c>
      <c r="CR29" s="8">
        <v>1</v>
      </c>
      <c r="CS29" s="8">
        <v>1</v>
      </c>
      <c r="CT29" s="8">
        <v>1</v>
      </c>
      <c r="CU29" s="8">
        <v>1</v>
      </c>
      <c r="CV29" s="40"/>
      <c r="CW29" s="40"/>
      <c r="CX29" s="8">
        <v>1</v>
      </c>
      <c r="CY29" s="8">
        <v>1</v>
      </c>
      <c r="CZ29" s="8">
        <v>1</v>
      </c>
      <c r="DA29" s="8">
        <v>1</v>
      </c>
      <c r="DB29" s="8">
        <v>1</v>
      </c>
      <c r="DC29" s="40"/>
      <c r="DD29" s="40"/>
      <c r="DE29" s="8">
        <v>1</v>
      </c>
      <c r="DF29" s="8">
        <v>1</v>
      </c>
      <c r="DG29" s="8">
        <v>1</v>
      </c>
      <c r="DH29" s="8">
        <v>1</v>
      </c>
      <c r="DI29" s="8">
        <v>1</v>
      </c>
      <c r="DJ29" s="40"/>
      <c r="DK29" s="40"/>
      <c r="DL29" s="8">
        <v>1</v>
      </c>
      <c r="DM29" s="8">
        <v>1</v>
      </c>
      <c r="DN29" s="8">
        <v>1</v>
      </c>
      <c r="DO29" s="8">
        <v>1</v>
      </c>
      <c r="DP29" s="8">
        <v>1</v>
      </c>
      <c r="DQ29" s="41"/>
      <c r="DR29" s="41"/>
      <c r="DS29" s="8">
        <v>1</v>
      </c>
      <c r="DT29" s="8">
        <v>1</v>
      </c>
      <c r="DU29" s="8">
        <v>1</v>
      </c>
      <c r="DV29" s="8">
        <v>1</v>
      </c>
      <c r="DW29" s="8">
        <v>1</v>
      </c>
      <c r="DX29" s="41"/>
      <c r="DY29" s="41"/>
      <c r="DZ29" s="8">
        <v>1</v>
      </c>
      <c r="EA29" s="8">
        <v>1</v>
      </c>
      <c r="EB29" s="8">
        <v>1</v>
      </c>
      <c r="EC29" s="8">
        <v>1</v>
      </c>
      <c r="ED29" s="8">
        <v>1</v>
      </c>
      <c r="EE29" s="41"/>
      <c r="EF29" s="41"/>
      <c r="EG29" s="8">
        <v>1</v>
      </c>
      <c r="EH29" s="8">
        <v>1</v>
      </c>
      <c r="EI29" s="8">
        <v>1</v>
      </c>
      <c r="EJ29" s="8">
        <v>1</v>
      </c>
      <c r="EK29" s="8">
        <v>1</v>
      </c>
      <c r="EL29" s="41"/>
      <c r="EM29" s="41"/>
      <c r="EN29" s="38"/>
      <c r="EO29" s="8">
        <v>1</v>
      </c>
      <c r="EP29" s="8">
        <v>1</v>
      </c>
      <c r="EQ29" s="8">
        <v>1</v>
      </c>
      <c r="ER29" s="8">
        <v>1</v>
      </c>
      <c r="ES29" s="41"/>
      <c r="ET29" s="41"/>
      <c r="EU29" s="8">
        <v>1</v>
      </c>
      <c r="EV29" s="8">
        <v>1</v>
      </c>
      <c r="EW29" s="8">
        <v>1</v>
      </c>
      <c r="EX29" s="38"/>
      <c r="EY29" s="8">
        <v>1</v>
      </c>
      <c r="EZ29" s="41"/>
      <c r="FA29" s="41"/>
      <c r="FB29" s="8">
        <v>1</v>
      </c>
      <c r="FC29" s="8">
        <v>1</v>
      </c>
      <c r="FD29" s="8">
        <v>1</v>
      </c>
      <c r="FE29" s="38"/>
      <c r="FF29" s="8">
        <v>1</v>
      </c>
      <c r="FG29" s="41"/>
      <c r="FH29" s="41"/>
      <c r="FI29" s="8">
        <v>1</v>
      </c>
      <c r="FJ29" s="8">
        <v>1</v>
      </c>
      <c r="FK29" s="8">
        <v>1</v>
      </c>
      <c r="FL29" s="8">
        <v>1</v>
      </c>
      <c r="FM29" s="8">
        <v>1</v>
      </c>
      <c r="FN29" s="41"/>
      <c r="FO29" s="41"/>
      <c r="FP29" s="8">
        <v>1</v>
      </c>
      <c r="FQ29" s="8">
        <v>1</v>
      </c>
      <c r="FR29" s="8">
        <v>1</v>
      </c>
      <c r="FS29" s="8">
        <v>1</v>
      </c>
      <c r="FT29" s="8">
        <v>1</v>
      </c>
      <c r="FU29" s="41"/>
      <c r="FV29" s="41"/>
      <c r="FW29" s="8">
        <v>1</v>
      </c>
      <c r="FX29" s="8">
        <v>1</v>
      </c>
      <c r="FY29" s="8">
        <v>1</v>
      </c>
      <c r="FZ29" s="38"/>
      <c r="GA29" s="8">
        <v>1</v>
      </c>
      <c r="GB29" s="41"/>
      <c r="GC29" s="41"/>
      <c r="GD29" s="8">
        <v>1</v>
      </c>
      <c r="GE29" s="8">
        <v>1</v>
      </c>
      <c r="GF29" s="8">
        <v>1</v>
      </c>
      <c r="GG29" s="8">
        <v>1</v>
      </c>
      <c r="GH29" s="8">
        <v>1</v>
      </c>
      <c r="GI29" s="41"/>
      <c r="GJ29" s="41"/>
      <c r="GK29" s="38"/>
      <c r="GL29" s="8">
        <v>1</v>
      </c>
      <c r="GM29" s="8">
        <v>1</v>
      </c>
      <c r="GN29" s="8">
        <v>1</v>
      </c>
      <c r="GO29" s="8">
        <v>1</v>
      </c>
      <c r="GP29" s="41"/>
      <c r="GQ29" s="41"/>
      <c r="GR29" s="8">
        <v>1</v>
      </c>
      <c r="GS29" s="8">
        <v>1</v>
      </c>
      <c r="GT29" s="8">
        <v>1</v>
      </c>
      <c r="GU29" s="8">
        <v>1</v>
      </c>
      <c r="GV29" s="8">
        <v>1</v>
      </c>
      <c r="GW29" s="41"/>
      <c r="GX29" s="41"/>
      <c r="GY29" s="8">
        <v>1</v>
      </c>
      <c r="GZ29" s="8">
        <v>1</v>
      </c>
      <c r="HA29" s="8">
        <v>1</v>
      </c>
      <c r="HB29" s="8">
        <v>1</v>
      </c>
      <c r="HC29" s="8">
        <v>1</v>
      </c>
      <c r="HD29" s="41"/>
      <c r="HE29" s="41"/>
      <c r="HF29" s="8">
        <v>1</v>
      </c>
      <c r="HG29" s="8">
        <v>1</v>
      </c>
      <c r="HH29" s="8">
        <v>1</v>
      </c>
      <c r="HI29" s="8">
        <v>1</v>
      </c>
      <c r="HJ29" s="8">
        <v>1</v>
      </c>
      <c r="HK29" s="41"/>
      <c r="HL29" s="41"/>
      <c r="HM29" s="8">
        <v>1</v>
      </c>
      <c r="HN29" s="8">
        <v>1</v>
      </c>
      <c r="HO29" s="8">
        <v>1</v>
      </c>
      <c r="HP29" s="8">
        <v>1</v>
      </c>
      <c r="HQ29" s="8">
        <v>1</v>
      </c>
      <c r="HR29" s="41"/>
      <c r="HS29" s="41"/>
      <c r="HT29" s="38"/>
      <c r="HU29" s="8">
        <v>1</v>
      </c>
      <c r="HV29" s="8">
        <v>1</v>
      </c>
      <c r="HW29" s="8">
        <v>1</v>
      </c>
      <c r="HX29" s="8">
        <v>1</v>
      </c>
      <c r="HY29" s="41"/>
      <c r="HZ29" s="41"/>
      <c r="IA29" s="8">
        <v>1</v>
      </c>
      <c r="IB29" s="8">
        <v>1</v>
      </c>
      <c r="IC29" s="8">
        <v>1</v>
      </c>
      <c r="ID29" s="8">
        <v>1</v>
      </c>
      <c r="IE29" s="8">
        <v>1</v>
      </c>
      <c r="IF29" s="41"/>
      <c r="IG29" s="41"/>
      <c r="IH29" s="8">
        <v>1</v>
      </c>
      <c r="II29" s="8">
        <v>1</v>
      </c>
      <c r="IJ29" s="8">
        <v>1</v>
      </c>
      <c r="IK29" s="8">
        <v>1</v>
      </c>
      <c r="IL29" s="8">
        <v>1</v>
      </c>
      <c r="IM29" s="41"/>
      <c r="IN29" s="41"/>
      <c r="IO29" s="8">
        <v>1</v>
      </c>
      <c r="IP29" s="8">
        <v>1</v>
      </c>
      <c r="IQ29" s="8">
        <v>1</v>
      </c>
      <c r="IR29" s="8">
        <v>1</v>
      </c>
      <c r="IS29" s="8">
        <v>1</v>
      </c>
      <c r="IT29" s="41"/>
      <c r="IU29" s="41"/>
      <c r="IV29" s="8">
        <v>1</v>
      </c>
      <c r="IW29" s="8">
        <v>1</v>
      </c>
      <c r="IX29" s="8">
        <v>1</v>
      </c>
      <c r="IY29" s="8">
        <v>1</v>
      </c>
      <c r="IZ29" s="38"/>
      <c r="JA29" s="41"/>
      <c r="JB29" s="41"/>
      <c r="JC29" s="8">
        <v>1</v>
      </c>
      <c r="JD29" s="8">
        <v>1</v>
      </c>
      <c r="JE29" s="8">
        <v>1</v>
      </c>
      <c r="JF29" s="8">
        <v>1</v>
      </c>
      <c r="JG29" s="8">
        <v>1</v>
      </c>
      <c r="JH29" s="41"/>
      <c r="JI29" s="41"/>
      <c r="JJ29" s="8">
        <v>1</v>
      </c>
      <c r="JK29" s="8">
        <v>1</v>
      </c>
      <c r="JL29" s="8">
        <v>1</v>
      </c>
      <c r="JM29" s="8">
        <v>1</v>
      </c>
      <c r="JN29" s="8">
        <v>1</v>
      </c>
      <c r="JO29" s="41"/>
      <c r="JP29" s="41"/>
      <c r="JQ29" s="8">
        <v>1</v>
      </c>
      <c r="JR29" s="8">
        <v>1</v>
      </c>
      <c r="JS29" s="8">
        <v>1</v>
      </c>
      <c r="JT29" s="8">
        <v>1</v>
      </c>
      <c r="JU29" s="8">
        <v>1</v>
      </c>
      <c r="JV29" s="41"/>
      <c r="JW29" s="41"/>
      <c r="JX29" s="8">
        <v>1</v>
      </c>
      <c r="JY29" s="8">
        <v>1</v>
      </c>
      <c r="JZ29" s="8">
        <v>1</v>
      </c>
      <c r="KA29" s="8">
        <v>1</v>
      </c>
      <c r="KB29" s="8">
        <v>1</v>
      </c>
      <c r="KC29" s="41"/>
      <c r="KD29" s="41"/>
      <c r="KE29" s="8">
        <v>1</v>
      </c>
      <c r="KF29" s="8">
        <v>1</v>
      </c>
      <c r="KG29" s="8">
        <v>1</v>
      </c>
      <c r="KH29" s="8">
        <v>1</v>
      </c>
      <c r="KI29" s="8">
        <v>1</v>
      </c>
      <c r="KJ29" s="41"/>
      <c r="KK29" s="41"/>
      <c r="KL29" s="8">
        <v>1</v>
      </c>
      <c r="KM29" s="8">
        <v>1</v>
      </c>
      <c r="KN29" s="8">
        <v>1</v>
      </c>
      <c r="KO29" s="8">
        <v>1</v>
      </c>
      <c r="KP29" s="8">
        <v>1</v>
      </c>
      <c r="KQ29" s="41"/>
      <c r="KR29" s="41"/>
      <c r="KS29" s="8">
        <v>1</v>
      </c>
      <c r="KT29" s="8">
        <v>1</v>
      </c>
      <c r="KU29" s="8">
        <v>1</v>
      </c>
      <c r="KV29" s="8">
        <v>1</v>
      </c>
      <c r="KW29" s="8">
        <v>1</v>
      </c>
      <c r="KX29" s="41"/>
      <c r="KY29" s="41"/>
      <c r="KZ29" s="8">
        <v>1</v>
      </c>
      <c r="LA29" s="8">
        <v>1</v>
      </c>
      <c r="LB29" s="8">
        <v>1</v>
      </c>
      <c r="LC29" s="8">
        <v>1</v>
      </c>
      <c r="LD29" s="8">
        <v>1</v>
      </c>
      <c r="LE29" s="41"/>
      <c r="LF29" s="41"/>
      <c r="LG29" s="8">
        <v>1</v>
      </c>
      <c r="LH29" s="8">
        <v>1</v>
      </c>
      <c r="LI29" s="8">
        <v>1</v>
      </c>
      <c r="LJ29" s="8">
        <v>1</v>
      </c>
      <c r="LK29" s="8">
        <v>1</v>
      </c>
      <c r="LL29" s="41"/>
      <c r="LM29" s="41"/>
      <c r="LN29" s="8">
        <v>1</v>
      </c>
      <c r="LO29" s="8">
        <v>1</v>
      </c>
      <c r="LP29" s="8">
        <v>1</v>
      </c>
      <c r="LQ29" s="8">
        <v>1</v>
      </c>
      <c r="LR29" s="8">
        <v>1</v>
      </c>
      <c r="LS29" s="41"/>
      <c r="LT29" s="41"/>
      <c r="LU29" s="8">
        <v>1</v>
      </c>
      <c r="LV29" s="8">
        <v>1</v>
      </c>
      <c r="LW29" s="8">
        <v>1</v>
      </c>
      <c r="LX29" s="8">
        <v>1</v>
      </c>
      <c r="LY29" s="8">
        <v>1</v>
      </c>
      <c r="LZ29" s="41"/>
      <c r="MA29" s="41"/>
      <c r="MB29" s="8">
        <v>1</v>
      </c>
      <c r="MC29" s="8">
        <v>1</v>
      </c>
      <c r="MD29" s="8">
        <v>1</v>
      </c>
      <c r="ME29" s="8">
        <v>1</v>
      </c>
      <c r="MF29" s="8">
        <v>1</v>
      </c>
      <c r="MG29" s="41"/>
      <c r="MH29" s="41"/>
      <c r="MI29" s="8">
        <v>1</v>
      </c>
      <c r="MJ29" s="8">
        <v>1</v>
      </c>
      <c r="MK29" s="8">
        <v>1</v>
      </c>
      <c r="ML29" s="8">
        <v>1</v>
      </c>
      <c r="MM29" s="8">
        <v>1</v>
      </c>
      <c r="MN29" s="41"/>
      <c r="MO29" s="41"/>
      <c r="MP29" s="8">
        <v>1</v>
      </c>
      <c r="MQ29" s="8">
        <v>1</v>
      </c>
      <c r="MR29" s="8">
        <v>1</v>
      </c>
      <c r="MS29" s="8">
        <v>1</v>
      </c>
      <c r="MT29" s="8">
        <v>1</v>
      </c>
      <c r="MU29" s="41"/>
      <c r="MV29" s="41"/>
      <c r="MW29" s="8">
        <v>1</v>
      </c>
      <c r="MX29" s="8">
        <v>1</v>
      </c>
      <c r="MY29" s="8">
        <v>1</v>
      </c>
      <c r="MZ29" s="8">
        <v>1</v>
      </c>
      <c r="NA29" s="8">
        <v>1</v>
      </c>
      <c r="NB29" s="41"/>
      <c r="NC29" s="41"/>
      <c r="ND29" s="8">
        <v>1</v>
      </c>
      <c r="NE29" s="8">
        <v>1</v>
      </c>
      <c r="NF29" s="8">
        <v>1</v>
      </c>
      <c r="NG29" s="8">
        <v>1</v>
      </c>
      <c r="NH29" s="8">
        <v>1</v>
      </c>
      <c r="NI29" s="41"/>
      <c r="NJ29" s="41"/>
      <c r="NK29" s="8">
        <v>1</v>
      </c>
      <c r="NL29" s="8">
        <v>1</v>
      </c>
      <c r="NM29" s="8">
        <v>1</v>
      </c>
      <c r="NN29" s="8">
        <v>1</v>
      </c>
      <c r="NO29" s="8">
        <v>1</v>
      </c>
      <c r="NP29" s="40"/>
      <c r="NQ29" s="40"/>
      <c r="NR29" s="8">
        <v>1</v>
      </c>
      <c r="NS29" s="8">
        <v>1</v>
      </c>
      <c r="NT29" s="8">
        <v>1</v>
      </c>
      <c r="NU29" s="8">
        <v>1</v>
      </c>
      <c r="NV29" s="8">
        <v>1</v>
      </c>
      <c r="NW29" s="40"/>
      <c r="NX29" s="40"/>
      <c r="NY29" s="8">
        <v>1</v>
      </c>
      <c r="NZ29" s="8">
        <v>1</v>
      </c>
      <c r="OA29" s="8">
        <v>1</v>
      </c>
      <c r="OB29" s="8"/>
      <c r="OC29" s="8">
        <v>1</v>
      </c>
      <c r="OD29" s="41"/>
      <c r="OE29" s="41"/>
      <c r="OF29" s="8">
        <v>1</v>
      </c>
      <c r="OG29" s="8">
        <v>1</v>
      </c>
      <c r="OH29" s="8">
        <v>1</v>
      </c>
      <c r="OI29" s="32"/>
      <c r="OJ29" s="33"/>
      <c r="OK29" s="33"/>
      <c r="OL29" s="33"/>
      <c r="OM29" s="33"/>
      <c r="ON29" s="33"/>
      <c r="OO29" s="33"/>
      <c r="OP29" s="33"/>
      <c r="OQ29" s="33"/>
      <c r="OR29" s="33"/>
      <c r="OS29" s="33"/>
      <c r="OT29" s="33"/>
      <c r="OU29" s="33"/>
      <c r="OV29" s="33"/>
      <c r="OW29" s="33"/>
      <c r="OX29" s="33"/>
      <c r="OY29" s="33"/>
      <c r="OZ29" s="33"/>
      <c r="PA29" s="33"/>
      <c r="PB29" s="33"/>
      <c r="PC29" s="33"/>
      <c r="PD29" s="33"/>
      <c r="PE29" s="33"/>
      <c r="PF29" s="33"/>
      <c r="PG29" s="33"/>
      <c r="PH29" s="33"/>
      <c r="PI29" s="33"/>
      <c r="PJ29" s="33"/>
      <c r="PK29" s="33"/>
      <c r="PL29" s="33"/>
      <c r="PM29" s="33"/>
      <c r="PN29" s="33"/>
      <c r="PO29" s="33"/>
      <c r="PP29" s="33"/>
      <c r="PQ29" s="33"/>
      <c r="PR29" s="33"/>
      <c r="PS29" s="33"/>
      <c r="PT29" s="33"/>
    </row>
    <row r="30" spans="1:451" s="31" customFormat="1" ht="21" x14ac:dyDescent="0.3">
      <c r="A30" s="61" t="s">
        <v>523</v>
      </c>
      <c r="B30" s="62" t="s">
        <v>433</v>
      </c>
      <c r="C30" s="45"/>
      <c r="D30" s="8">
        <v>1</v>
      </c>
      <c r="E30" s="8">
        <v>1</v>
      </c>
      <c r="F30" s="8">
        <v>1</v>
      </c>
      <c r="G30" s="8">
        <v>1</v>
      </c>
      <c r="H30" s="8">
        <v>1</v>
      </c>
      <c r="I30" s="46"/>
      <c r="J30" s="46"/>
      <c r="K30" s="8">
        <v>1</v>
      </c>
      <c r="L30" s="8">
        <v>1</v>
      </c>
      <c r="M30" s="8">
        <v>1</v>
      </c>
      <c r="N30" s="8">
        <v>1</v>
      </c>
      <c r="O30" s="8">
        <v>1</v>
      </c>
      <c r="P30" s="46"/>
      <c r="Q30" s="46"/>
      <c r="R30" s="8">
        <v>1</v>
      </c>
      <c r="S30" s="8">
        <v>1</v>
      </c>
      <c r="T30" s="8">
        <v>1</v>
      </c>
      <c r="U30" s="8">
        <v>0</v>
      </c>
      <c r="V30" s="8">
        <v>0</v>
      </c>
      <c r="W30" s="46"/>
      <c r="X30" s="46"/>
      <c r="Y30" s="8">
        <v>0</v>
      </c>
      <c r="Z30" s="8">
        <v>0</v>
      </c>
      <c r="AA30" s="8"/>
      <c r="AB30" s="8">
        <v>0</v>
      </c>
      <c r="AC30" s="8">
        <v>0</v>
      </c>
      <c r="AD30" s="46"/>
      <c r="AE30" s="46"/>
      <c r="AF30" s="8">
        <v>0</v>
      </c>
      <c r="AG30" s="8">
        <v>0</v>
      </c>
      <c r="AH30" s="38"/>
      <c r="AI30" s="8">
        <v>0</v>
      </c>
      <c r="AJ30" s="8">
        <v>0</v>
      </c>
      <c r="AK30" s="8"/>
      <c r="AL30" s="8"/>
      <c r="AM30" s="109">
        <v>1</v>
      </c>
      <c r="AN30" s="109">
        <v>1</v>
      </c>
      <c r="AO30" s="8">
        <v>1</v>
      </c>
      <c r="AP30" s="8">
        <v>1</v>
      </c>
      <c r="AQ30" s="8">
        <v>1</v>
      </c>
      <c r="AR30" s="39"/>
      <c r="AS30" s="39"/>
      <c r="AT30" s="8">
        <v>1</v>
      </c>
      <c r="AU30" s="8">
        <v>1</v>
      </c>
      <c r="AV30" s="8">
        <v>1</v>
      </c>
      <c r="AW30" s="8">
        <v>1</v>
      </c>
      <c r="AX30" s="8">
        <v>1</v>
      </c>
      <c r="AY30" s="39"/>
      <c r="AZ30" s="39"/>
      <c r="BA30" s="39">
        <v>1</v>
      </c>
      <c r="BB30" s="39">
        <v>1</v>
      </c>
      <c r="BC30" s="39">
        <v>1</v>
      </c>
      <c r="BD30" s="39">
        <v>1</v>
      </c>
      <c r="BE30" s="39">
        <v>1</v>
      </c>
      <c r="BF30" s="39"/>
      <c r="BG30" s="39"/>
      <c r="BH30" s="39">
        <v>1</v>
      </c>
      <c r="BI30" s="39">
        <v>1</v>
      </c>
      <c r="BJ30" s="39">
        <v>1</v>
      </c>
      <c r="BK30" s="39">
        <v>1</v>
      </c>
      <c r="BL30" s="39">
        <v>1</v>
      </c>
      <c r="BM30" s="40"/>
      <c r="BN30" s="40"/>
      <c r="BO30" s="8">
        <v>1</v>
      </c>
      <c r="BP30" s="8">
        <v>1</v>
      </c>
      <c r="BQ30" s="8">
        <v>1</v>
      </c>
      <c r="BR30" s="8">
        <v>1</v>
      </c>
      <c r="BS30" s="8">
        <v>1</v>
      </c>
      <c r="BT30" s="40"/>
      <c r="BU30" s="40"/>
      <c r="BV30" s="8">
        <v>1</v>
      </c>
      <c r="BW30" s="8">
        <v>1</v>
      </c>
      <c r="BX30" s="8">
        <v>1</v>
      </c>
      <c r="BY30" s="8">
        <v>1</v>
      </c>
      <c r="BZ30" s="8">
        <v>1</v>
      </c>
      <c r="CA30" s="40"/>
      <c r="CB30" s="40"/>
      <c r="CC30" s="8">
        <v>1</v>
      </c>
      <c r="CD30" s="8">
        <v>1</v>
      </c>
      <c r="CE30" s="8">
        <v>1</v>
      </c>
      <c r="CF30" s="8">
        <v>1</v>
      </c>
      <c r="CG30" s="8">
        <v>1</v>
      </c>
      <c r="CH30" s="40"/>
      <c r="CI30" s="40"/>
      <c r="CJ30" s="8">
        <v>1</v>
      </c>
      <c r="CK30" s="8">
        <v>1</v>
      </c>
      <c r="CL30" s="8">
        <v>1</v>
      </c>
      <c r="CM30" s="8">
        <v>1</v>
      </c>
      <c r="CN30" s="8">
        <v>1</v>
      </c>
      <c r="CO30" s="40"/>
      <c r="CP30" s="40"/>
      <c r="CQ30" s="8">
        <v>1</v>
      </c>
      <c r="CR30" s="8">
        <v>1</v>
      </c>
      <c r="CS30" s="8">
        <v>1</v>
      </c>
      <c r="CT30" s="8">
        <v>1</v>
      </c>
      <c r="CU30" s="8">
        <v>0</v>
      </c>
      <c r="CV30" s="40"/>
      <c r="CW30" s="40"/>
      <c r="CX30" s="8">
        <v>0</v>
      </c>
      <c r="CY30" s="8">
        <v>0</v>
      </c>
      <c r="CZ30" s="8">
        <v>1</v>
      </c>
      <c r="DA30" s="8">
        <v>1</v>
      </c>
      <c r="DB30" s="8">
        <v>1</v>
      </c>
      <c r="DC30" s="40"/>
      <c r="DD30" s="40"/>
      <c r="DE30" s="8">
        <v>1</v>
      </c>
      <c r="DF30" s="8">
        <v>1</v>
      </c>
      <c r="DG30" s="8">
        <v>1</v>
      </c>
      <c r="DH30" s="8">
        <v>1</v>
      </c>
      <c r="DI30" s="8">
        <v>1</v>
      </c>
      <c r="DJ30" s="40"/>
      <c r="DK30" s="40"/>
      <c r="DL30" s="8">
        <v>1</v>
      </c>
      <c r="DM30" s="8">
        <v>1</v>
      </c>
      <c r="DN30" s="8">
        <v>1</v>
      </c>
      <c r="DO30" s="8">
        <v>1</v>
      </c>
      <c r="DP30" s="8">
        <v>1</v>
      </c>
      <c r="DQ30" s="41"/>
      <c r="DR30" s="41"/>
      <c r="DS30" s="8">
        <v>1</v>
      </c>
      <c r="DT30" s="8">
        <v>1</v>
      </c>
      <c r="DU30" s="8">
        <v>1</v>
      </c>
      <c r="DV30" s="8">
        <v>1</v>
      </c>
      <c r="DW30" s="8">
        <v>1</v>
      </c>
      <c r="DX30" s="41"/>
      <c r="DY30" s="41"/>
      <c r="DZ30" s="8">
        <v>1</v>
      </c>
      <c r="EA30" s="8">
        <v>1</v>
      </c>
      <c r="EB30" s="8">
        <v>1</v>
      </c>
      <c r="EC30" s="8">
        <v>1</v>
      </c>
      <c r="ED30" s="8">
        <v>1</v>
      </c>
      <c r="EE30" s="41"/>
      <c r="EF30" s="41"/>
      <c r="EG30" s="8">
        <v>1</v>
      </c>
      <c r="EH30" s="8">
        <v>1</v>
      </c>
      <c r="EI30" s="8">
        <v>1</v>
      </c>
      <c r="EJ30" s="8">
        <v>1</v>
      </c>
      <c r="EK30" s="8">
        <v>1</v>
      </c>
      <c r="EL30" s="41"/>
      <c r="EM30" s="41"/>
      <c r="EN30" s="38"/>
      <c r="EO30" s="8">
        <v>1</v>
      </c>
      <c r="EP30" s="8">
        <v>1</v>
      </c>
      <c r="EQ30" s="8">
        <v>1</v>
      </c>
      <c r="ER30" s="8">
        <v>1</v>
      </c>
      <c r="ES30" s="41"/>
      <c r="ET30" s="41"/>
      <c r="EU30" s="8">
        <v>1</v>
      </c>
      <c r="EV30" s="8">
        <v>1</v>
      </c>
      <c r="EW30" s="8">
        <v>1</v>
      </c>
      <c r="EX30" s="38"/>
      <c r="EY30" s="8">
        <v>1</v>
      </c>
      <c r="EZ30" s="41"/>
      <c r="FA30" s="41"/>
      <c r="FB30" s="8">
        <v>1</v>
      </c>
      <c r="FC30" s="8">
        <v>1</v>
      </c>
      <c r="FD30" s="8">
        <v>1</v>
      </c>
      <c r="FE30" s="38"/>
      <c r="FF30" s="8">
        <v>1</v>
      </c>
      <c r="FG30" s="41"/>
      <c r="FH30" s="41"/>
      <c r="FI30" s="8">
        <v>1</v>
      </c>
      <c r="FJ30" s="8">
        <v>1</v>
      </c>
      <c r="FK30" s="8">
        <v>1</v>
      </c>
      <c r="FL30" s="8">
        <v>1</v>
      </c>
      <c r="FM30" s="8">
        <v>1</v>
      </c>
      <c r="FN30" s="41"/>
      <c r="FO30" s="41"/>
      <c r="FP30" s="8">
        <v>1</v>
      </c>
      <c r="FQ30" s="8">
        <v>1</v>
      </c>
      <c r="FR30" s="8">
        <v>1</v>
      </c>
      <c r="FS30" s="8">
        <v>1</v>
      </c>
      <c r="FT30" s="8">
        <v>1</v>
      </c>
      <c r="FU30" s="41"/>
      <c r="FV30" s="41"/>
      <c r="FW30" s="8">
        <v>1</v>
      </c>
      <c r="FX30" s="8">
        <v>1</v>
      </c>
      <c r="FY30" s="8">
        <v>1</v>
      </c>
      <c r="FZ30" s="38"/>
      <c r="GA30" s="8">
        <v>1</v>
      </c>
      <c r="GB30" s="41"/>
      <c r="GC30" s="41"/>
      <c r="GD30" s="8">
        <v>1</v>
      </c>
      <c r="GE30" s="8">
        <v>1</v>
      </c>
      <c r="GF30" s="8">
        <v>1</v>
      </c>
      <c r="GG30" s="8">
        <v>1</v>
      </c>
      <c r="GH30" s="8">
        <v>1</v>
      </c>
      <c r="GI30" s="41"/>
      <c r="GJ30" s="41"/>
      <c r="GK30" s="38"/>
      <c r="GL30" s="8">
        <v>1</v>
      </c>
      <c r="GM30" s="8">
        <v>1</v>
      </c>
      <c r="GN30" s="8">
        <v>1</v>
      </c>
      <c r="GO30" s="8">
        <v>1</v>
      </c>
      <c r="GP30" s="41"/>
      <c r="GQ30" s="41"/>
      <c r="GR30" s="8">
        <v>1</v>
      </c>
      <c r="GS30" s="8">
        <v>1</v>
      </c>
      <c r="GT30" s="8">
        <v>1</v>
      </c>
      <c r="GU30" s="8">
        <v>1</v>
      </c>
      <c r="GV30" s="8">
        <v>1</v>
      </c>
      <c r="GW30" s="41"/>
      <c r="GX30" s="41"/>
      <c r="GY30" s="8">
        <v>1</v>
      </c>
      <c r="GZ30" s="8">
        <v>1</v>
      </c>
      <c r="HA30" s="8">
        <v>1</v>
      </c>
      <c r="HB30" s="8">
        <v>1</v>
      </c>
      <c r="HC30" s="8">
        <v>1</v>
      </c>
      <c r="HD30" s="41"/>
      <c r="HE30" s="41"/>
      <c r="HF30" s="8">
        <v>1</v>
      </c>
      <c r="HG30" s="8">
        <v>1</v>
      </c>
      <c r="HH30" s="8">
        <v>1</v>
      </c>
      <c r="HI30" s="8">
        <v>1</v>
      </c>
      <c r="HJ30" s="8">
        <v>1</v>
      </c>
      <c r="HK30" s="41"/>
      <c r="HL30" s="41"/>
      <c r="HM30" s="8">
        <v>1</v>
      </c>
      <c r="HN30" s="8">
        <v>1</v>
      </c>
      <c r="HO30" s="8">
        <v>1</v>
      </c>
      <c r="HP30" s="8">
        <v>1</v>
      </c>
      <c r="HQ30" s="8">
        <v>1</v>
      </c>
      <c r="HR30" s="41"/>
      <c r="HS30" s="41"/>
      <c r="HT30" s="38"/>
      <c r="HU30" s="8">
        <v>1</v>
      </c>
      <c r="HV30" s="8">
        <v>1</v>
      </c>
      <c r="HW30" s="8">
        <v>1</v>
      </c>
      <c r="HX30" s="8">
        <v>1</v>
      </c>
      <c r="HY30" s="41"/>
      <c r="HZ30" s="41"/>
      <c r="IA30" s="8">
        <v>1</v>
      </c>
      <c r="IB30" s="8">
        <v>1</v>
      </c>
      <c r="IC30" s="8">
        <v>1</v>
      </c>
      <c r="ID30" s="8">
        <v>1</v>
      </c>
      <c r="IE30" s="8">
        <v>1</v>
      </c>
      <c r="IF30" s="41"/>
      <c r="IG30" s="41"/>
      <c r="IH30" s="8">
        <v>1</v>
      </c>
      <c r="II30" s="8">
        <v>1</v>
      </c>
      <c r="IJ30" s="8">
        <v>1</v>
      </c>
      <c r="IK30" s="8">
        <v>1</v>
      </c>
      <c r="IL30" s="8">
        <v>1</v>
      </c>
      <c r="IM30" s="41"/>
      <c r="IN30" s="41"/>
      <c r="IO30" s="8">
        <v>1</v>
      </c>
      <c r="IP30" s="8">
        <v>1</v>
      </c>
      <c r="IQ30" s="8">
        <v>1</v>
      </c>
      <c r="IR30" s="8">
        <v>1</v>
      </c>
      <c r="IS30" s="8">
        <v>1</v>
      </c>
      <c r="IT30" s="41"/>
      <c r="IU30" s="41"/>
      <c r="IV30" s="8">
        <v>1</v>
      </c>
      <c r="IW30" s="8">
        <v>1</v>
      </c>
      <c r="IX30" s="8">
        <v>1</v>
      </c>
      <c r="IY30" s="8">
        <v>1</v>
      </c>
      <c r="IZ30" s="38"/>
      <c r="JA30" s="41"/>
      <c r="JB30" s="41"/>
      <c r="JC30" s="8">
        <v>1</v>
      </c>
      <c r="JD30" s="8">
        <v>1</v>
      </c>
      <c r="JE30" s="8">
        <v>1</v>
      </c>
      <c r="JF30" s="8">
        <v>1</v>
      </c>
      <c r="JG30" s="8">
        <v>1</v>
      </c>
      <c r="JH30" s="41"/>
      <c r="JI30" s="41"/>
      <c r="JJ30" s="8">
        <v>1</v>
      </c>
      <c r="JK30" s="8">
        <v>1</v>
      </c>
      <c r="JL30" s="8">
        <v>1</v>
      </c>
      <c r="JM30" s="8">
        <v>1</v>
      </c>
      <c r="JN30" s="8">
        <v>1</v>
      </c>
      <c r="JO30" s="41"/>
      <c r="JP30" s="41"/>
      <c r="JQ30" s="8">
        <v>1</v>
      </c>
      <c r="JR30" s="8">
        <v>1</v>
      </c>
      <c r="JS30" s="8">
        <v>1</v>
      </c>
      <c r="JT30" s="8">
        <v>1</v>
      </c>
      <c r="JU30" s="8">
        <v>1</v>
      </c>
      <c r="JV30" s="41"/>
      <c r="JW30" s="41"/>
      <c r="JX30" s="8">
        <v>1</v>
      </c>
      <c r="JY30" s="8">
        <v>1</v>
      </c>
      <c r="JZ30" s="8">
        <v>1</v>
      </c>
      <c r="KA30" s="8">
        <v>1</v>
      </c>
      <c r="KB30" s="8">
        <v>1</v>
      </c>
      <c r="KC30" s="41"/>
      <c r="KD30" s="41"/>
      <c r="KE30" s="8">
        <v>1</v>
      </c>
      <c r="KF30" s="8">
        <v>1</v>
      </c>
      <c r="KG30" s="8">
        <v>1</v>
      </c>
      <c r="KH30" s="8">
        <v>1</v>
      </c>
      <c r="KI30" s="8">
        <v>1</v>
      </c>
      <c r="KJ30" s="41"/>
      <c r="KK30" s="41"/>
      <c r="KL30" s="8">
        <v>1</v>
      </c>
      <c r="KM30" s="8">
        <v>1</v>
      </c>
      <c r="KN30" s="8">
        <v>1</v>
      </c>
      <c r="KO30" s="8">
        <v>1</v>
      </c>
      <c r="KP30" s="8">
        <v>1</v>
      </c>
      <c r="KQ30" s="41"/>
      <c r="KR30" s="41"/>
      <c r="KS30" s="8">
        <v>1</v>
      </c>
      <c r="KT30" s="8">
        <v>1</v>
      </c>
      <c r="KU30" s="8">
        <v>1</v>
      </c>
      <c r="KV30" s="8">
        <v>1</v>
      </c>
      <c r="KW30" s="8">
        <v>1</v>
      </c>
      <c r="KX30" s="41"/>
      <c r="KY30" s="41"/>
      <c r="KZ30" s="8">
        <v>1</v>
      </c>
      <c r="LA30" s="8">
        <v>1</v>
      </c>
      <c r="LB30" s="8">
        <v>1</v>
      </c>
      <c r="LC30" s="8">
        <v>1</v>
      </c>
      <c r="LD30" s="8">
        <v>1</v>
      </c>
      <c r="LE30" s="41"/>
      <c r="LF30" s="41"/>
      <c r="LG30" s="8">
        <v>1</v>
      </c>
      <c r="LH30" s="8">
        <v>1</v>
      </c>
      <c r="LI30" s="8">
        <v>1</v>
      </c>
      <c r="LJ30" s="8">
        <v>1</v>
      </c>
      <c r="LK30" s="8">
        <v>1</v>
      </c>
      <c r="LL30" s="41"/>
      <c r="LM30" s="41"/>
      <c r="LN30" s="8">
        <v>1</v>
      </c>
      <c r="LO30" s="8">
        <v>1</v>
      </c>
      <c r="LP30" s="8">
        <v>1</v>
      </c>
      <c r="LQ30" s="8">
        <v>1</v>
      </c>
      <c r="LR30" s="8">
        <v>1</v>
      </c>
      <c r="LS30" s="41"/>
      <c r="LT30" s="41"/>
      <c r="LU30" s="8">
        <v>1</v>
      </c>
      <c r="LV30" s="8">
        <v>1</v>
      </c>
      <c r="LW30" s="8">
        <v>1</v>
      </c>
      <c r="LX30" s="8">
        <v>1</v>
      </c>
      <c r="LY30" s="8">
        <v>1</v>
      </c>
      <c r="LZ30" s="41"/>
      <c r="MA30" s="41"/>
      <c r="MB30" s="8">
        <v>1</v>
      </c>
      <c r="MC30" s="8">
        <v>1</v>
      </c>
      <c r="MD30" s="8">
        <v>1</v>
      </c>
      <c r="ME30" s="8">
        <v>1</v>
      </c>
      <c r="MF30" s="8">
        <v>1</v>
      </c>
      <c r="MG30" s="41"/>
      <c r="MH30" s="41"/>
      <c r="MI30" s="8">
        <v>1</v>
      </c>
      <c r="MJ30" s="8">
        <v>1</v>
      </c>
      <c r="MK30" s="8">
        <v>1</v>
      </c>
      <c r="ML30" s="8">
        <v>1</v>
      </c>
      <c r="MM30" s="8">
        <v>1</v>
      </c>
      <c r="MN30" s="41"/>
      <c r="MO30" s="41"/>
      <c r="MP30" s="8">
        <v>1</v>
      </c>
      <c r="MQ30" s="8">
        <v>1</v>
      </c>
      <c r="MR30" s="8">
        <v>1</v>
      </c>
      <c r="MS30" s="8">
        <v>1</v>
      </c>
      <c r="MT30" s="8">
        <v>1</v>
      </c>
      <c r="MU30" s="41"/>
      <c r="MV30" s="41"/>
      <c r="MW30" s="8">
        <v>1</v>
      </c>
      <c r="MX30" s="8">
        <v>1</v>
      </c>
      <c r="MY30" s="8">
        <v>1</v>
      </c>
      <c r="MZ30" s="8">
        <v>1</v>
      </c>
      <c r="NA30" s="8">
        <v>1</v>
      </c>
      <c r="NB30" s="41"/>
      <c r="NC30" s="41"/>
      <c r="ND30" s="8">
        <v>1</v>
      </c>
      <c r="NE30" s="8">
        <v>1</v>
      </c>
      <c r="NF30" s="8">
        <v>1</v>
      </c>
      <c r="NG30" s="8">
        <v>1</v>
      </c>
      <c r="NH30" s="8">
        <v>1</v>
      </c>
      <c r="NI30" s="41"/>
      <c r="NJ30" s="41"/>
      <c r="NK30" s="8">
        <v>1</v>
      </c>
      <c r="NL30" s="8">
        <v>1</v>
      </c>
      <c r="NM30" s="8">
        <v>1</v>
      </c>
      <c r="NN30" s="8">
        <v>1</v>
      </c>
      <c r="NO30" s="8">
        <v>1</v>
      </c>
      <c r="NP30" s="40"/>
      <c r="NQ30" s="40"/>
      <c r="NR30" s="8">
        <v>1</v>
      </c>
      <c r="NS30" s="8">
        <v>1</v>
      </c>
      <c r="NT30" s="8">
        <v>1</v>
      </c>
      <c r="NU30" s="8">
        <v>1</v>
      </c>
      <c r="NV30" s="8">
        <v>1</v>
      </c>
      <c r="NW30" s="40"/>
      <c r="NX30" s="40"/>
      <c r="NY30" s="8">
        <v>1</v>
      </c>
      <c r="NZ30" s="8">
        <v>1</v>
      </c>
      <c r="OA30" s="8">
        <v>1</v>
      </c>
      <c r="OB30" s="8"/>
      <c r="OC30" s="8">
        <v>1</v>
      </c>
      <c r="OD30" s="41"/>
      <c r="OE30" s="41"/>
      <c r="OF30" s="8">
        <v>1</v>
      </c>
      <c r="OG30" s="8">
        <v>1</v>
      </c>
      <c r="OH30" s="8">
        <v>1</v>
      </c>
      <c r="OI30" s="32"/>
    </row>
    <row r="31" spans="1:451" s="31" customFormat="1" ht="21" x14ac:dyDescent="0.3">
      <c r="A31" s="61" t="s">
        <v>524</v>
      </c>
      <c r="B31" s="62" t="s">
        <v>433</v>
      </c>
      <c r="C31" s="45"/>
      <c r="D31" s="8">
        <v>1</v>
      </c>
      <c r="E31" s="8">
        <v>1</v>
      </c>
      <c r="F31" s="8">
        <v>1</v>
      </c>
      <c r="G31" s="8">
        <v>1</v>
      </c>
      <c r="H31" s="8">
        <v>1</v>
      </c>
      <c r="I31" s="46"/>
      <c r="J31" s="46"/>
      <c r="K31" s="8">
        <v>1</v>
      </c>
      <c r="L31" s="8">
        <v>1</v>
      </c>
      <c r="M31" s="8">
        <v>1</v>
      </c>
      <c r="N31" s="8">
        <v>1</v>
      </c>
      <c r="O31" s="8">
        <v>1</v>
      </c>
      <c r="P31" s="46"/>
      <c r="Q31" s="46"/>
      <c r="R31" s="8">
        <v>1</v>
      </c>
      <c r="S31" s="8">
        <v>1</v>
      </c>
      <c r="T31" s="8">
        <v>1</v>
      </c>
      <c r="U31" s="8">
        <v>1</v>
      </c>
      <c r="V31" s="8">
        <v>1</v>
      </c>
      <c r="W31" s="46"/>
      <c r="X31" s="46"/>
      <c r="Y31" s="8">
        <v>0</v>
      </c>
      <c r="Z31" s="8">
        <v>0</v>
      </c>
      <c r="AA31" s="8"/>
      <c r="AB31" s="8">
        <v>0</v>
      </c>
      <c r="AC31" s="8">
        <v>0</v>
      </c>
      <c r="AD31" s="46"/>
      <c r="AE31" s="46"/>
      <c r="AF31" s="8">
        <v>0</v>
      </c>
      <c r="AG31" s="8">
        <v>0</v>
      </c>
      <c r="AH31" s="38"/>
      <c r="AI31" s="8">
        <v>0</v>
      </c>
      <c r="AJ31" s="8">
        <v>0</v>
      </c>
      <c r="AK31" s="8"/>
      <c r="AL31" s="8"/>
      <c r="AM31" s="109">
        <v>1</v>
      </c>
      <c r="AN31" s="109">
        <v>1</v>
      </c>
      <c r="AO31" s="8">
        <v>1</v>
      </c>
      <c r="AP31" s="8">
        <v>1</v>
      </c>
      <c r="AQ31" s="8">
        <v>1</v>
      </c>
      <c r="AR31" s="39"/>
      <c r="AS31" s="39"/>
      <c r="AT31" s="8">
        <v>1</v>
      </c>
      <c r="AU31" s="8">
        <v>1</v>
      </c>
      <c r="AV31" s="8">
        <v>1</v>
      </c>
      <c r="AW31" s="8">
        <v>1</v>
      </c>
      <c r="AX31" s="8">
        <v>1</v>
      </c>
      <c r="AY31" s="39"/>
      <c r="AZ31" s="39"/>
      <c r="BA31" s="39">
        <v>1</v>
      </c>
      <c r="BB31" s="39">
        <v>1</v>
      </c>
      <c r="BC31" s="39">
        <v>1</v>
      </c>
      <c r="BD31" s="39">
        <v>1</v>
      </c>
      <c r="BE31" s="39">
        <v>1</v>
      </c>
      <c r="BF31" s="39"/>
      <c r="BG31" s="39"/>
      <c r="BH31" s="39">
        <v>0</v>
      </c>
      <c r="BI31" s="39">
        <v>0</v>
      </c>
      <c r="BJ31" s="39">
        <v>0</v>
      </c>
      <c r="BK31" s="39">
        <v>0</v>
      </c>
      <c r="BL31" s="39">
        <v>0</v>
      </c>
      <c r="BM31" s="40"/>
      <c r="BN31" s="40"/>
      <c r="BO31" s="8">
        <v>1</v>
      </c>
      <c r="BP31" s="8">
        <v>1</v>
      </c>
      <c r="BQ31" s="8">
        <v>1</v>
      </c>
      <c r="BR31" s="8">
        <v>1</v>
      </c>
      <c r="BS31" s="8">
        <v>1</v>
      </c>
      <c r="BT31" s="40"/>
      <c r="BU31" s="40"/>
      <c r="BV31" s="8">
        <v>1</v>
      </c>
      <c r="BW31" s="8">
        <v>1</v>
      </c>
      <c r="BX31" s="8">
        <v>1</v>
      </c>
      <c r="BY31" s="8">
        <v>1</v>
      </c>
      <c r="BZ31" s="8">
        <v>1</v>
      </c>
      <c r="CA31" s="40"/>
      <c r="CB31" s="40"/>
      <c r="CC31" s="8">
        <v>1</v>
      </c>
      <c r="CD31" s="8">
        <v>1</v>
      </c>
      <c r="CE31" s="8">
        <v>1</v>
      </c>
      <c r="CF31" s="8">
        <v>1</v>
      </c>
      <c r="CG31" s="8">
        <v>1</v>
      </c>
      <c r="CH31" s="40"/>
      <c r="CI31" s="40"/>
      <c r="CJ31" s="8">
        <v>1</v>
      </c>
      <c r="CK31" s="8">
        <v>1</v>
      </c>
      <c r="CL31" s="8">
        <v>1</v>
      </c>
      <c r="CM31" s="8">
        <v>1</v>
      </c>
      <c r="CN31" s="8">
        <v>1</v>
      </c>
      <c r="CO31" s="40"/>
      <c r="CP31" s="40"/>
      <c r="CQ31" s="8">
        <v>1</v>
      </c>
      <c r="CR31" s="8">
        <v>1</v>
      </c>
      <c r="CS31" s="8">
        <v>1</v>
      </c>
      <c r="CT31" s="8">
        <v>1</v>
      </c>
      <c r="CU31" s="8">
        <v>1</v>
      </c>
      <c r="CV31" s="40"/>
      <c r="CW31" s="40"/>
      <c r="CX31" s="8">
        <v>1</v>
      </c>
      <c r="CY31" s="8">
        <v>1</v>
      </c>
      <c r="CZ31" s="8">
        <v>1</v>
      </c>
      <c r="DA31" s="8">
        <v>1</v>
      </c>
      <c r="DB31" s="8">
        <v>1</v>
      </c>
      <c r="DC31" s="40"/>
      <c r="DD31" s="40"/>
      <c r="DE31" s="8">
        <v>1</v>
      </c>
      <c r="DF31" s="8">
        <v>1</v>
      </c>
      <c r="DG31" s="8">
        <v>1</v>
      </c>
      <c r="DH31" s="8">
        <v>1</v>
      </c>
      <c r="DI31" s="8">
        <v>1</v>
      </c>
      <c r="DJ31" s="40"/>
      <c r="DK31" s="40"/>
      <c r="DL31" s="8">
        <v>1</v>
      </c>
      <c r="DM31" s="8">
        <v>1</v>
      </c>
      <c r="DN31" s="8">
        <v>1</v>
      </c>
      <c r="DO31" s="8">
        <v>1</v>
      </c>
      <c r="DP31" s="8">
        <v>1</v>
      </c>
      <c r="DQ31" s="41"/>
      <c r="DR31" s="41"/>
      <c r="DS31" s="8">
        <v>1</v>
      </c>
      <c r="DT31" s="8">
        <v>1</v>
      </c>
      <c r="DU31" s="8">
        <v>1</v>
      </c>
      <c r="DV31" s="8">
        <v>1</v>
      </c>
      <c r="DW31" s="8">
        <v>1</v>
      </c>
      <c r="DX31" s="41"/>
      <c r="DY31" s="41"/>
      <c r="DZ31" s="8">
        <v>1</v>
      </c>
      <c r="EA31" s="8">
        <v>1</v>
      </c>
      <c r="EB31" s="8">
        <v>1</v>
      </c>
      <c r="EC31" s="8">
        <v>1</v>
      </c>
      <c r="ED31" s="8">
        <v>1</v>
      </c>
      <c r="EE31" s="41"/>
      <c r="EF31" s="41"/>
      <c r="EG31" s="8">
        <v>1</v>
      </c>
      <c r="EH31" s="8">
        <v>1</v>
      </c>
      <c r="EI31" s="8">
        <v>1</v>
      </c>
      <c r="EJ31" s="8">
        <v>1</v>
      </c>
      <c r="EK31" s="8">
        <v>1</v>
      </c>
      <c r="EL31" s="41"/>
      <c r="EM31" s="41"/>
      <c r="EN31" s="38"/>
      <c r="EO31" s="8">
        <v>1</v>
      </c>
      <c r="EP31" s="8">
        <v>1</v>
      </c>
      <c r="EQ31" s="8">
        <v>1</v>
      </c>
      <c r="ER31" s="8">
        <v>1</v>
      </c>
      <c r="ES31" s="41"/>
      <c r="ET31" s="41"/>
      <c r="EU31" s="8">
        <v>1</v>
      </c>
      <c r="EV31" s="8">
        <v>1</v>
      </c>
      <c r="EW31" s="8">
        <v>1</v>
      </c>
      <c r="EX31" s="38"/>
      <c r="EY31" s="8">
        <v>1</v>
      </c>
      <c r="EZ31" s="41"/>
      <c r="FA31" s="41"/>
      <c r="FB31" s="8">
        <v>1</v>
      </c>
      <c r="FC31" s="8">
        <v>1</v>
      </c>
      <c r="FD31" s="8">
        <v>1</v>
      </c>
      <c r="FE31" s="38"/>
      <c r="FF31" s="8">
        <v>1</v>
      </c>
      <c r="FG31" s="41"/>
      <c r="FH31" s="41"/>
      <c r="FI31" s="8">
        <v>1</v>
      </c>
      <c r="FJ31" s="8">
        <v>1</v>
      </c>
      <c r="FK31" s="8">
        <v>1</v>
      </c>
      <c r="FL31" s="8">
        <v>1</v>
      </c>
      <c r="FM31" s="8">
        <v>1</v>
      </c>
      <c r="FN31" s="41"/>
      <c r="FO31" s="41"/>
      <c r="FP31" s="8">
        <v>1</v>
      </c>
      <c r="FQ31" s="8">
        <v>1</v>
      </c>
      <c r="FR31" s="8">
        <v>1</v>
      </c>
      <c r="FS31" s="8">
        <v>1</v>
      </c>
      <c r="FT31" s="8">
        <v>1</v>
      </c>
      <c r="FU31" s="41"/>
      <c r="FV31" s="41"/>
      <c r="FW31" s="8">
        <v>1</v>
      </c>
      <c r="FX31" s="8">
        <v>1</v>
      </c>
      <c r="FY31" s="8">
        <v>1</v>
      </c>
      <c r="FZ31" s="38"/>
      <c r="GA31" s="8">
        <v>1</v>
      </c>
      <c r="GB31" s="41"/>
      <c r="GC31" s="41"/>
      <c r="GD31" s="8">
        <v>1</v>
      </c>
      <c r="GE31" s="8">
        <v>1</v>
      </c>
      <c r="GF31" s="8">
        <v>1</v>
      </c>
      <c r="GG31" s="8">
        <v>1</v>
      </c>
      <c r="GH31" s="8">
        <v>1</v>
      </c>
      <c r="GI31" s="41"/>
      <c r="GJ31" s="41"/>
      <c r="GK31" s="38"/>
      <c r="GL31" s="8">
        <v>1</v>
      </c>
      <c r="GM31" s="8">
        <v>1</v>
      </c>
      <c r="GN31" s="8">
        <v>1</v>
      </c>
      <c r="GO31" s="8">
        <v>1</v>
      </c>
      <c r="GP31" s="41"/>
      <c r="GQ31" s="41"/>
      <c r="GR31" s="8">
        <v>1</v>
      </c>
      <c r="GS31" s="8">
        <v>1</v>
      </c>
      <c r="GT31" s="8">
        <v>1</v>
      </c>
      <c r="GU31" s="8">
        <v>1</v>
      </c>
      <c r="GV31" s="8">
        <v>1</v>
      </c>
      <c r="GW31" s="41"/>
      <c r="GX31" s="41"/>
      <c r="GY31" s="8">
        <v>1</v>
      </c>
      <c r="GZ31" s="8">
        <v>1</v>
      </c>
      <c r="HA31" s="8">
        <v>1</v>
      </c>
      <c r="HB31" s="8">
        <v>1</v>
      </c>
      <c r="HC31" s="8">
        <v>1</v>
      </c>
      <c r="HD31" s="41"/>
      <c r="HE31" s="41"/>
      <c r="HF31" s="8">
        <v>1</v>
      </c>
      <c r="HG31" s="8">
        <v>1</v>
      </c>
      <c r="HH31" s="8">
        <v>1</v>
      </c>
      <c r="HI31" s="8">
        <v>1</v>
      </c>
      <c r="HJ31" s="8">
        <v>1</v>
      </c>
      <c r="HK31" s="41"/>
      <c r="HL31" s="41"/>
      <c r="HM31" s="8">
        <v>1</v>
      </c>
      <c r="HN31" s="8">
        <v>1</v>
      </c>
      <c r="HO31" s="8">
        <v>1</v>
      </c>
      <c r="HP31" s="8">
        <v>1</v>
      </c>
      <c r="HQ31" s="8">
        <v>1</v>
      </c>
      <c r="HR31" s="41"/>
      <c r="HS31" s="41"/>
      <c r="HT31" s="38"/>
      <c r="HU31" s="8">
        <v>1</v>
      </c>
      <c r="HV31" s="8">
        <v>1</v>
      </c>
      <c r="HW31" s="8">
        <v>1</v>
      </c>
      <c r="HX31" s="8">
        <v>1</v>
      </c>
      <c r="HY31" s="41"/>
      <c r="HZ31" s="41"/>
      <c r="IA31" s="8">
        <v>1</v>
      </c>
      <c r="IB31" s="8">
        <v>1</v>
      </c>
      <c r="IC31" s="8">
        <v>1</v>
      </c>
      <c r="ID31" s="8">
        <v>1</v>
      </c>
      <c r="IE31" s="8">
        <v>1</v>
      </c>
      <c r="IF31" s="41"/>
      <c r="IG31" s="41"/>
      <c r="IH31" s="8">
        <v>1</v>
      </c>
      <c r="II31" s="8">
        <v>1</v>
      </c>
      <c r="IJ31" s="8">
        <v>1</v>
      </c>
      <c r="IK31" s="8">
        <v>1</v>
      </c>
      <c r="IL31" s="8">
        <v>1</v>
      </c>
      <c r="IM31" s="41"/>
      <c r="IN31" s="41"/>
      <c r="IO31" s="8">
        <v>1</v>
      </c>
      <c r="IP31" s="8">
        <v>1</v>
      </c>
      <c r="IQ31" s="8">
        <v>1</v>
      </c>
      <c r="IR31" s="8">
        <v>1</v>
      </c>
      <c r="IS31" s="8">
        <v>1</v>
      </c>
      <c r="IT31" s="41"/>
      <c r="IU31" s="41"/>
      <c r="IV31" s="8">
        <v>1</v>
      </c>
      <c r="IW31" s="8">
        <v>1</v>
      </c>
      <c r="IX31" s="8">
        <v>1</v>
      </c>
      <c r="IY31" s="8">
        <v>1</v>
      </c>
      <c r="IZ31" s="38"/>
      <c r="JA31" s="41"/>
      <c r="JB31" s="41"/>
      <c r="JC31" s="8">
        <v>1</v>
      </c>
      <c r="JD31" s="8">
        <v>1</v>
      </c>
      <c r="JE31" s="8">
        <v>1</v>
      </c>
      <c r="JF31" s="8">
        <v>1</v>
      </c>
      <c r="JG31" s="8">
        <v>1</v>
      </c>
      <c r="JH31" s="41"/>
      <c r="JI31" s="41"/>
      <c r="JJ31" s="8">
        <v>1</v>
      </c>
      <c r="JK31" s="8">
        <v>1</v>
      </c>
      <c r="JL31" s="8">
        <v>1</v>
      </c>
      <c r="JM31" s="8">
        <v>1</v>
      </c>
      <c r="JN31" s="8">
        <v>1</v>
      </c>
      <c r="JO31" s="41"/>
      <c r="JP31" s="41"/>
      <c r="JQ31" s="8">
        <v>1</v>
      </c>
      <c r="JR31" s="8">
        <v>1</v>
      </c>
      <c r="JS31" s="8">
        <v>1</v>
      </c>
      <c r="JT31" s="8">
        <v>1</v>
      </c>
      <c r="JU31" s="8">
        <v>1</v>
      </c>
      <c r="JV31" s="41"/>
      <c r="JW31" s="41"/>
      <c r="JX31" s="8">
        <v>1</v>
      </c>
      <c r="JY31" s="8">
        <v>1</v>
      </c>
      <c r="JZ31" s="8">
        <v>1</v>
      </c>
      <c r="KA31" s="8">
        <v>1</v>
      </c>
      <c r="KB31" s="8">
        <v>1</v>
      </c>
      <c r="KC31" s="41"/>
      <c r="KD31" s="41"/>
      <c r="KE31" s="8">
        <v>1</v>
      </c>
      <c r="KF31" s="8">
        <v>1</v>
      </c>
      <c r="KG31" s="8">
        <v>1</v>
      </c>
      <c r="KH31" s="8">
        <v>1</v>
      </c>
      <c r="KI31" s="8">
        <v>1</v>
      </c>
      <c r="KJ31" s="41"/>
      <c r="KK31" s="41"/>
      <c r="KL31" s="8">
        <v>1</v>
      </c>
      <c r="KM31" s="8">
        <v>1</v>
      </c>
      <c r="KN31" s="8">
        <v>1</v>
      </c>
      <c r="KO31" s="8">
        <v>1</v>
      </c>
      <c r="KP31" s="8">
        <v>1</v>
      </c>
      <c r="KQ31" s="41"/>
      <c r="KR31" s="41"/>
      <c r="KS31" s="8">
        <v>1</v>
      </c>
      <c r="KT31" s="8">
        <v>1</v>
      </c>
      <c r="KU31" s="8">
        <v>1</v>
      </c>
      <c r="KV31" s="8">
        <v>1</v>
      </c>
      <c r="KW31" s="8">
        <v>1</v>
      </c>
      <c r="KX31" s="41"/>
      <c r="KY31" s="41"/>
      <c r="KZ31" s="8">
        <v>1</v>
      </c>
      <c r="LA31" s="8">
        <v>1</v>
      </c>
      <c r="LB31" s="8">
        <v>1</v>
      </c>
      <c r="LC31" s="8">
        <v>1</v>
      </c>
      <c r="LD31" s="8">
        <v>1</v>
      </c>
      <c r="LE31" s="41"/>
      <c r="LF31" s="41"/>
      <c r="LG31" s="8">
        <v>1</v>
      </c>
      <c r="LH31" s="8">
        <v>1</v>
      </c>
      <c r="LI31" s="8">
        <v>1</v>
      </c>
      <c r="LJ31" s="8">
        <v>1</v>
      </c>
      <c r="LK31" s="8">
        <v>1</v>
      </c>
      <c r="LL31" s="41"/>
      <c r="LM31" s="41"/>
      <c r="LN31" s="8">
        <v>1</v>
      </c>
      <c r="LO31" s="8">
        <v>1</v>
      </c>
      <c r="LP31" s="8">
        <v>1</v>
      </c>
      <c r="LQ31" s="8">
        <v>1</v>
      </c>
      <c r="LR31" s="8">
        <v>1</v>
      </c>
      <c r="LS31" s="41"/>
      <c r="LT31" s="41"/>
      <c r="LU31" s="8">
        <v>1</v>
      </c>
      <c r="LV31" s="8">
        <v>1</v>
      </c>
      <c r="LW31" s="8">
        <v>1</v>
      </c>
      <c r="LX31" s="8">
        <v>1</v>
      </c>
      <c r="LY31" s="8">
        <v>1</v>
      </c>
      <c r="LZ31" s="41"/>
      <c r="MA31" s="41"/>
      <c r="MB31" s="8">
        <v>1</v>
      </c>
      <c r="MC31" s="8">
        <v>1</v>
      </c>
      <c r="MD31" s="8">
        <v>1</v>
      </c>
      <c r="ME31" s="8">
        <v>1</v>
      </c>
      <c r="MF31" s="8">
        <v>1</v>
      </c>
      <c r="MG31" s="41"/>
      <c r="MH31" s="41"/>
      <c r="MI31" s="8">
        <v>1</v>
      </c>
      <c r="MJ31" s="8">
        <v>1</v>
      </c>
      <c r="MK31" s="8">
        <v>1</v>
      </c>
      <c r="ML31" s="8">
        <v>1</v>
      </c>
      <c r="MM31" s="8">
        <v>1</v>
      </c>
      <c r="MN31" s="41"/>
      <c r="MO31" s="41"/>
      <c r="MP31" s="8">
        <v>1</v>
      </c>
      <c r="MQ31" s="8">
        <v>1</v>
      </c>
      <c r="MR31" s="8">
        <v>1</v>
      </c>
      <c r="MS31" s="8">
        <v>1</v>
      </c>
      <c r="MT31" s="8">
        <v>1</v>
      </c>
      <c r="MU31" s="41"/>
      <c r="MV31" s="41"/>
      <c r="MW31" s="8">
        <v>1</v>
      </c>
      <c r="MX31" s="8">
        <v>1</v>
      </c>
      <c r="MY31" s="8">
        <v>1</v>
      </c>
      <c r="MZ31" s="8">
        <v>1</v>
      </c>
      <c r="NA31" s="8">
        <v>1</v>
      </c>
      <c r="NB31" s="41"/>
      <c r="NC31" s="41"/>
      <c r="ND31" s="8">
        <v>1</v>
      </c>
      <c r="NE31" s="8">
        <v>1</v>
      </c>
      <c r="NF31" s="8">
        <v>1</v>
      </c>
      <c r="NG31" s="8">
        <v>1</v>
      </c>
      <c r="NH31" s="8">
        <v>1</v>
      </c>
      <c r="NI31" s="41"/>
      <c r="NJ31" s="41"/>
      <c r="NK31" s="8">
        <v>1</v>
      </c>
      <c r="NL31" s="8">
        <v>1</v>
      </c>
      <c r="NM31" s="8">
        <v>1</v>
      </c>
      <c r="NN31" s="8">
        <v>1</v>
      </c>
      <c r="NO31" s="8">
        <v>1</v>
      </c>
      <c r="NP31" s="40"/>
      <c r="NQ31" s="40"/>
      <c r="NR31" s="8">
        <v>1</v>
      </c>
      <c r="NS31" s="8">
        <v>1</v>
      </c>
      <c r="NT31" s="8">
        <v>1</v>
      </c>
      <c r="NU31" s="8">
        <v>1</v>
      </c>
      <c r="NV31" s="8">
        <v>1</v>
      </c>
      <c r="NW31" s="40"/>
      <c r="NX31" s="40"/>
      <c r="NY31" s="8">
        <v>0</v>
      </c>
      <c r="NZ31" s="8">
        <v>0</v>
      </c>
      <c r="OA31" s="8">
        <v>0</v>
      </c>
      <c r="OB31" s="8"/>
      <c r="OC31" s="8">
        <v>0</v>
      </c>
      <c r="OD31" s="41"/>
      <c r="OE31" s="41"/>
      <c r="OF31" s="8">
        <v>0</v>
      </c>
      <c r="OG31" s="8">
        <v>0</v>
      </c>
      <c r="OH31" s="8">
        <v>0</v>
      </c>
      <c r="OI31" s="32"/>
    </row>
    <row r="32" spans="1:451" s="31" customFormat="1" ht="21" x14ac:dyDescent="0.3">
      <c r="A32" s="61" t="s">
        <v>525</v>
      </c>
      <c r="B32" s="62" t="s">
        <v>433</v>
      </c>
      <c r="C32" s="45"/>
      <c r="D32" s="8">
        <v>1</v>
      </c>
      <c r="E32" s="8">
        <v>1</v>
      </c>
      <c r="F32" s="8">
        <v>1</v>
      </c>
      <c r="G32" s="8">
        <v>1</v>
      </c>
      <c r="H32" s="8">
        <v>1</v>
      </c>
      <c r="I32" s="46"/>
      <c r="J32" s="46"/>
      <c r="K32" s="8">
        <v>1</v>
      </c>
      <c r="L32" s="8">
        <v>1</v>
      </c>
      <c r="M32" s="8">
        <v>1</v>
      </c>
      <c r="N32" s="8">
        <v>1</v>
      </c>
      <c r="O32" s="8">
        <v>1</v>
      </c>
      <c r="P32" s="46"/>
      <c r="Q32" s="46"/>
      <c r="R32" s="8">
        <v>1</v>
      </c>
      <c r="S32" s="8">
        <v>1</v>
      </c>
      <c r="T32" s="8">
        <v>1</v>
      </c>
      <c r="U32" s="8">
        <v>1</v>
      </c>
      <c r="V32" s="8">
        <v>1</v>
      </c>
      <c r="W32" s="46"/>
      <c r="X32" s="46"/>
      <c r="Y32" s="8">
        <v>0</v>
      </c>
      <c r="Z32" s="8">
        <v>0</v>
      </c>
      <c r="AA32" s="8"/>
      <c r="AB32" s="8">
        <v>0</v>
      </c>
      <c r="AC32" s="8">
        <v>0</v>
      </c>
      <c r="AD32" s="46"/>
      <c r="AE32" s="46"/>
      <c r="AF32" s="8">
        <v>0</v>
      </c>
      <c r="AG32" s="8">
        <v>0</v>
      </c>
      <c r="AH32" s="38"/>
      <c r="AI32" s="8">
        <v>1</v>
      </c>
      <c r="AJ32" s="8">
        <v>1</v>
      </c>
      <c r="AK32" s="8"/>
      <c r="AL32" s="8"/>
      <c r="AM32" s="109">
        <v>1</v>
      </c>
      <c r="AN32" s="109">
        <v>1</v>
      </c>
      <c r="AO32" s="8">
        <v>1</v>
      </c>
      <c r="AP32" s="8">
        <v>1</v>
      </c>
      <c r="AQ32" s="8">
        <v>1</v>
      </c>
      <c r="AR32" s="39"/>
      <c r="AS32" s="39"/>
      <c r="AT32" s="8">
        <v>1</v>
      </c>
      <c r="AU32" s="8">
        <v>1</v>
      </c>
      <c r="AV32" s="8">
        <v>1</v>
      </c>
      <c r="AW32" s="8">
        <v>1</v>
      </c>
      <c r="AX32" s="8">
        <v>1</v>
      </c>
      <c r="AY32" s="39"/>
      <c r="AZ32" s="39"/>
      <c r="BA32" s="39">
        <v>1</v>
      </c>
      <c r="BB32" s="39">
        <v>1</v>
      </c>
      <c r="BC32" s="39">
        <v>1</v>
      </c>
      <c r="BD32" s="39">
        <v>1</v>
      </c>
      <c r="BE32" s="39">
        <v>1</v>
      </c>
      <c r="BF32" s="39"/>
      <c r="BG32" s="39"/>
      <c r="BH32" s="39">
        <v>1</v>
      </c>
      <c r="BI32" s="39">
        <v>1</v>
      </c>
      <c r="BJ32" s="39">
        <v>1</v>
      </c>
      <c r="BK32" s="39">
        <v>1</v>
      </c>
      <c r="BL32" s="39">
        <v>1</v>
      </c>
      <c r="BM32" s="40"/>
      <c r="BN32" s="40"/>
      <c r="BO32" s="8">
        <v>1</v>
      </c>
      <c r="BP32" s="8">
        <v>1</v>
      </c>
      <c r="BQ32" s="8">
        <v>1</v>
      </c>
      <c r="BR32" s="8">
        <v>1</v>
      </c>
      <c r="BS32" s="8">
        <v>1</v>
      </c>
      <c r="BT32" s="40"/>
      <c r="BU32" s="40"/>
      <c r="BV32" s="8">
        <v>1</v>
      </c>
      <c r="BW32" s="8">
        <v>1</v>
      </c>
      <c r="BX32" s="8">
        <v>1</v>
      </c>
      <c r="BY32" s="8">
        <v>1</v>
      </c>
      <c r="BZ32" s="8">
        <v>1</v>
      </c>
      <c r="CA32" s="40"/>
      <c r="CB32" s="40"/>
      <c r="CC32" s="8">
        <v>1</v>
      </c>
      <c r="CD32" s="8">
        <v>1</v>
      </c>
      <c r="CE32" s="8">
        <v>1</v>
      </c>
      <c r="CF32" s="8">
        <v>1</v>
      </c>
      <c r="CG32" s="8">
        <v>1</v>
      </c>
      <c r="CH32" s="40"/>
      <c r="CI32" s="40"/>
      <c r="CJ32" s="8">
        <v>1</v>
      </c>
      <c r="CK32" s="8">
        <v>1</v>
      </c>
      <c r="CL32" s="8">
        <v>1</v>
      </c>
      <c r="CM32" s="8">
        <v>1</v>
      </c>
      <c r="CN32" s="8">
        <v>1</v>
      </c>
      <c r="CO32" s="40"/>
      <c r="CP32" s="40"/>
      <c r="CQ32" s="8">
        <v>1</v>
      </c>
      <c r="CR32" s="8">
        <v>1</v>
      </c>
      <c r="CS32" s="8">
        <v>1</v>
      </c>
      <c r="CT32" s="8">
        <v>1</v>
      </c>
      <c r="CU32" s="8">
        <v>1</v>
      </c>
      <c r="CV32" s="40"/>
      <c r="CW32" s="40"/>
      <c r="CX32" s="8">
        <v>1</v>
      </c>
      <c r="CY32" s="8">
        <v>1</v>
      </c>
      <c r="CZ32" s="8">
        <v>1</v>
      </c>
      <c r="DA32" s="8">
        <v>1</v>
      </c>
      <c r="DB32" s="8">
        <v>1</v>
      </c>
      <c r="DC32" s="40"/>
      <c r="DD32" s="40"/>
      <c r="DE32" s="8">
        <v>1</v>
      </c>
      <c r="DF32" s="8">
        <v>1</v>
      </c>
      <c r="DG32" s="8">
        <v>1</v>
      </c>
      <c r="DH32" s="8">
        <v>1</v>
      </c>
      <c r="DI32" s="8">
        <v>1</v>
      </c>
      <c r="DJ32" s="40"/>
      <c r="DK32" s="40"/>
      <c r="DL32" s="8">
        <v>1</v>
      </c>
      <c r="DM32" s="8">
        <v>1</v>
      </c>
      <c r="DN32" s="8">
        <v>1</v>
      </c>
      <c r="DO32" s="8">
        <v>1</v>
      </c>
      <c r="DP32" s="8">
        <v>1</v>
      </c>
      <c r="DQ32" s="41"/>
      <c r="DR32" s="41"/>
      <c r="DS32" s="8">
        <v>1</v>
      </c>
      <c r="DT32" s="8">
        <v>1</v>
      </c>
      <c r="DU32" s="8">
        <v>1</v>
      </c>
      <c r="DV32" s="8">
        <v>1</v>
      </c>
      <c r="DW32" s="8">
        <v>1</v>
      </c>
      <c r="DX32" s="41"/>
      <c r="DY32" s="41"/>
      <c r="DZ32" s="8">
        <v>1</v>
      </c>
      <c r="EA32" s="8">
        <v>1</v>
      </c>
      <c r="EB32" s="8">
        <v>1</v>
      </c>
      <c r="EC32" s="8">
        <v>1</v>
      </c>
      <c r="ED32" s="8">
        <v>1</v>
      </c>
      <c r="EE32" s="41"/>
      <c r="EF32" s="41"/>
      <c r="EG32" s="8">
        <v>1</v>
      </c>
      <c r="EH32" s="8">
        <v>1</v>
      </c>
      <c r="EI32" s="8">
        <v>1</v>
      </c>
      <c r="EJ32" s="8">
        <v>1</v>
      </c>
      <c r="EK32" s="8">
        <v>1</v>
      </c>
      <c r="EL32" s="41"/>
      <c r="EM32" s="41"/>
      <c r="EN32" s="38"/>
      <c r="EO32" s="8">
        <v>1</v>
      </c>
      <c r="EP32" s="8">
        <v>1</v>
      </c>
      <c r="EQ32" s="8">
        <v>1</v>
      </c>
      <c r="ER32" s="8">
        <v>1</v>
      </c>
      <c r="ES32" s="41"/>
      <c r="ET32" s="41"/>
      <c r="EU32" s="8">
        <v>1</v>
      </c>
      <c r="EV32" s="8">
        <v>1</v>
      </c>
      <c r="EW32" s="8">
        <v>1</v>
      </c>
      <c r="EX32" s="38"/>
      <c r="EY32" s="8">
        <v>1</v>
      </c>
      <c r="EZ32" s="41"/>
      <c r="FA32" s="41"/>
      <c r="FB32" s="8">
        <v>1</v>
      </c>
      <c r="FC32" s="8">
        <v>1</v>
      </c>
      <c r="FD32" s="8">
        <v>1</v>
      </c>
      <c r="FE32" s="38"/>
      <c r="FF32" s="8">
        <v>1</v>
      </c>
      <c r="FG32" s="41"/>
      <c r="FH32" s="41"/>
      <c r="FI32" s="8">
        <v>1</v>
      </c>
      <c r="FJ32" s="8">
        <v>1</v>
      </c>
      <c r="FK32" s="8">
        <v>1</v>
      </c>
      <c r="FL32" s="8">
        <v>1</v>
      </c>
      <c r="FM32" s="8">
        <v>1</v>
      </c>
      <c r="FN32" s="41"/>
      <c r="FO32" s="41"/>
      <c r="FP32" s="8">
        <v>1</v>
      </c>
      <c r="FQ32" s="8">
        <v>1</v>
      </c>
      <c r="FR32" s="8">
        <v>1</v>
      </c>
      <c r="FS32" s="8">
        <v>1</v>
      </c>
      <c r="FT32" s="8">
        <v>1</v>
      </c>
      <c r="FU32" s="41"/>
      <c r="FV32" s="41"/>
      <c r="FW32" s="8">
        <v>1</v>
      </c>
      <c r="FX32" s="8">
        <v>1</v>
      </c>
      <c r="FY32" s="8">
        <v>1</v>
      </c>
      <c r="FZ32" s="38"/>
      <c r="GA32" s="8">
        <v>1</v>
      </c>
      <c r="GB32" s="41"/>
      <c r="GC32" s="41"/>
      <c r="GD32" s="8">
        <v>1</v>
      </c>
      <c r="GE32" s="8">
        <v>1</v>
      </c>
      <c r="GF32" s="8">
        <v>1</v>
      </c>
      <c r="GG32" s="8">
        <v>1</v>
      </c>
      <c r="GH32" s="8">
        <v>1</v>
      </c>
      <c r="GI32" s="41"/>
      <c r="GJ32" s="41"/>
      <c r="GK32" s="38"/>
      <c r="GL32" s="8">
        <v>1</v>
      </c>
      <c r="GM32" s="8">
        <v>1</v>
      </c>
      <c r="GN32" s="8">
        <v>1</v>
      </c>
      <c r="GO32" s="8">
        <v>1</v>
      </c>
      <c r="GP32" s="41"/>
      <c r="GQ32" s="41"/>
      <c r="GR32" s="8">
        <v>1</v>
      </c>
      <c r="GS32" s="8">
        <v>1</v>
      </c>
      <c r="GT32" s="8">
        <v>1</v>
      </c>
      <c r="GU32" s="8">
        <v>1</v>
      </c>
      <c r="GV32" s="8">
        <v>1</v>
      </c>
      <c r="GW32" s="41"/>
      <c r="GX32" s="41"/>
      <c r="GY32" s="8">
        <v>1</v>
      </c>
      <c r="GZ32" s="8">
        <v>1</v>
      </c>
      <c r="HA32" s="8">
        <v>1</v>
      </c>
      <c r="HB32" s="8">
        <v>1</v>
      </c>
      <c r="HC32" s="8">
        <v>1</v>
      </c>
      <c r="HD32" s="41"/>
      <c r="HE32" s="41"/>
      <c r="HF32" s="8">
        <v>1</v>
      </c>
      <c r="HG32" s="8">
        <v>1</v>
      </c>
      <c r="HH32" s="8">
        <v>1</v>
      </c>
      <c r="HI32" s="8">
        <v>1</v>
      </c>
      <c r="HJ32" s="8">
        <v>1</v>
      </c>
      <c r="HK32" s="41"/>
      <c r="HL32" s="41"/>
      <c r="HM32" s="8">
        <v>1</v>
      </c>
      <c r="HN32" s="8">
        <v>1</v>
      </c>
      <c r="HO32" s="8">
        <v>1</v>
      </c>
      <c r="HP32" s="8">
        <v>1</v>
      </c>
      <c r="HQ32" s="8">
        <v>1</v>
      </c>
      <c r="HR32" s="41"/>
      <c r="HS32" s="41"/>
      <c r="HT32" s="38"/>
      <c r="HU32" s="8">
        <v>1</v>
      </c>
      <c r="HV32" s="8">
        <v>1</v>
      </c>
      <c r="HW32" s="8">
        <v>1</v>
      </c>
      <c r="HX32" s="8">
        <v>1</v>
      </c>
      <c r="HY32" s="41"/>
      <c r="HZ32" s="41"/>
      <c r="IA32" s="8">
        <v>1</v>
      </c>
      <c r="IB32" s="8">
        <v>1</v>
      </c>
      <c r="IC32" s="8">
        <v>1</v>
      </c>
      <c r="ID32" s="8">
        <v>1</v>
      </c>
      <c r="IE32" s="8">
        <v>1</v>
      </c>
      <c r="IF32" s="41"/>
      <c r="IG32" s="41"/>
      <c r="IH32" s="8">
        <v>1</v>
      </c>
      <c r="II32" s="8">
        <v>1</v>
      </c>
      <c r="IJ32" s="8">
        <v>1</v>
      </c>
      <c r="IK32" s="8">
        <v>1</v>
      </c>
      <c r="IL32" s="8">
        <v>1</v>
      </c>
      <c r="IM32" s="41"/>
      <c r="IN32" s="41"/>
      <c r="IO32" s="8">
        <v>1</v>
      </c>
      <c r="IP32" s="8">
        <v>1</v>
      </c>
      <c r="IQ32" s="8">
        <v>1</v>
      </c>
      <c r="IR32" s="8">
        <v>1</v>
      </c>
      <c r="IS32" s="8">
        <v>1</v>
      </c>
      <c r="IT32" s="41"/>
      <c r="IU32" s="41"/>
      <c r="IV32" s="8">
        <v>1</v>
      </c>
      <c r="IW32" s="8">
        <v>1</v>
      </c>
      <c r="IX32" s="8">
        <v>1</v>
      </c>
      <c r="IY32" s="8">
        <v>1</v>
      </c>
      <c r="IZ32" s="38"/>
      <c r="JA32" s="41"/>
      <c r="JB32" s="41"/>
      <c r="JC32" s="8">
        <v>1</v>
      </c>
      <c r="JD32" s="8">
        <v>1</v>
      </c>
      <c r="JE32" s="8">
        <v>1</v>
      </c>
      <c r="JF32" s="8">
        <v>1</v>
      </c>
      <c r="JG32" s="8">
        <v>1</v>
      </c>
      <c r="JH32" s="41"/>
      <c r="JI32" s="41"/>
      <c r="JJ32" s="8">
        <v>1</v>
      </c>
      <c r="JK32" s="8">
        <v>1</v>
      </c>
      <c r="JL32" s="8">
        <v>1</v>
      </c>
      <c r="JM32" s="8">
        <v>1</v>
      </c>
      <c r="JN32" s="8">
        <v>1</v>
      </c>
      <c r="JO32" s="41"/>
      <c r="JP32" s="41"/>
      <c r="JQ32" s="8">
        <v>1</v>
      </c>
      <c r="JR32" s="8">
        <v>1</v>
      </c>
      <c r="JS32" s="8">
        <v>1</v>
      </c>
      <c r="JT32" s="8">
        <v>1</v>
      </c>
      <c r="JU32" s="8">
        <v>1</v>
      </c>
      <c r="JV32" s="41"/>
      <c r="JW32" s="41"/>
      <c r="JX32" s="8">
        <v>1</v>
      </c>
      <c r="JY32" s="8">
        <v>1</v>
      </c>
      <c r="JZ32" s="8">
        <v>1</v>
      </c>
      <c r="KA32" s="8">
        <v>1</v>
      </c>
      <c r="KB32" s="8">
        <v>1</v>
      </c>
      <c r="KC32" s="41"/>
      <c r="KD32" s="41"/>
      <c r="KE32" s="8">
        <v>1</v>
      </c>
      <c r="KF32" s="8">
        <v>1</v>
      </c>
      <c r="KG32" s="8">
        <v>1</v>
      </c>
      <c r="KH32" s="8">
        <v>1</v>
      </c>
      <c r="KI32" s="8">
        <v>1</v>
      </c>
      <c r="KJ32" s="41"/>
      <c r="KK32" s="41"/>
      <c r="KL32" s="8">
        <v>1</v>
      </c>
      <c r="KM32" s="8">
        <v>1</v>
      </c>
      <c r="KN32" s="8">
        <v>1</v>
      </c>
      <c r="KO32" s="8">
        <v>1</v>
      </c>
      <c r="KP32" s="8">
        <v>1</v>
      </c>
      <c r="KQ32" s="41"/>
      <c r="KR32" s="41"/>
      <c r="KS32" s="8">
        <v>1</v>
      </c>
      <c r="KT32" s="8">
        <v>1</v>
      </c>
      <c r="KU32" s="8">
        <v>1</v>
      </c>
      <c r="KV32" s="8">
        <v>1</v>
      </c>
      <c r="KW32" s="8">
        <v>1</v>
      </c>
      <c r="KX32" s="41"/>
      <c r="KY32" s="41"/>
      <c r="KZ32" s="8">
        <v>1</v>
      </c>
      <c r="LA32" s="8">
        <v>1</v>
      </c>
      <c r="LB32" s="8">
        <v>1</v>
      </c>
      <c r="LC32" s="8">
        <v>1</v>
      </c>
      <c r="LD32" s="8">
        <v>1</v>
      </c>
      <c r="LE32" s="41"/>
      <c r="LF32" s="41"/>
      <c r="LG32" s="8">
        <v>1</v>
      </c>
      <c r="LH32" s="8">
        <v>1</v>
      </c>
      <c r="LI32" s="8">
        <v>1</v>
      </c>
      <c r="LJ32" s="8">
        <v>1</v>
      </c>
      <c r="LK32" s="8">
        <v>1</v>
      </c>
      <c r="LL32" s="41"/>
      <c r="LM32" s="41"/>
      <c r="LN32" s="8">
        <v>1</v>
      </c>
      <c r="LO32" s="8">
        <v>1</v>
      </c>
      <c r="LP32" s="8">
        <v>1</v>
      </c>
      <c r="LQ32" s="8">
        <v>1</v>
      </c>
      <c r="LR32" s="8">
        <v>1</v>
      </c>
      <c r="LS32" s="41"/>
      <c r="LT32" s="41"/>
      <c r="LU32" s="8">
        <v>1</v>
      </c>
      <c r="LV32" s="8">
        <v>1</v>
      </c>
      <c r="LW32" s="8">
        <v>1</v>
      </c>
      <c r="LX32" s="8">
        <v>1</v>
      </c>
      <c r="LY32" s="8">
        <v>1</v>
      </c>
      <c r="LZ32" s="41"/>
      <c r="MA32" s="41"/>
      <c r="MB32" s="8">
        <v>1</v>
      </c>
      <c r="MC32" s="8">
        <v>1</v>
      </c>
      <c r="MD32" s="8">
        <v>1</v>
      </c>
      <c r="ME32" s="8">
        <v>1</v>
      </c>
      <c r="MF32" s="8">
        <v>1</v>
      </c>
      <c r="MG32" s="41"/>
      <c r="MH32" s="41"/>
      <c r="MI32" s="8">
        <v>1</v>
      </c>
      <c r="MJ32" s="8">
        <v>1</v>
      </c>
      <c r="MK32" s="8">
        <v>1</v>
      </c>
      <c r="ML32" s="8">
        <v>1</v>
      </c>
      <c r="MM32" s="8">
        <v>1</v>
      </c>
      <c r="MN32" s="41"/>
      <c r="MO32" s="41"/>
      <c r="MP32" s="8">
        <v>1</v>
      </c>
      <c r="MQ32" s="8">
        <v>1</v>
      </c>
      <c r="MR32" s="8">
        <v>1</v>
      </c>
      <c r="MS32" s="8">
        <v>1</v>
      </c>
      <c r="MT32" s="8">
        <v>1</v>
      </c>
      <c r="MU32" s="41"/>
      <c r="MV32" s="41"/>
      <c r="MW32" s="8">
        <v>1</v>
      </c>
      <c r="MX32" s="8">
        <v>1</v>
      </c>
      <c r="MY32" s="8">
        <v>1</v>
      </c>
      <c r="MZ32" s="8">
        <v>1</v>
      </c>
      <c r="NA32" s="8">
        <v>1</v>
      </c>
      <c r="NB32" s="41"/>
      <c r="NC32" s="41"/>
      <c r="ND32" s="8">
        <v>1</v>
      </c>
      <c r="NE32" s="8">
        <v>1</v>
      </c>
      <c r="NF32" s="8">
        <v>1</v>
      </c>
      <c r="NG32" s="8">
        <v>1</v>
      </c>
      <c r="NH32" s="8">
        <v>1</v>
      </c>
      <c r="NI32" s="41"/>
      <c r="NJ32" s="41"/>
      <c r="NK32" s="8">
        <v>1</v>
      </c>
      <c r="NL32" s="8">
        <v>1</v>
      </c>
      <c r="NM32" s="8">
        <v>1</v>
      </c>
      <c r="NN32" s="8">
        <v>1</v>
      </c>
      <c r="NO32" s="8">
        <v>1</v>
      </c>
      <c r="NP32" s="40"/>
      <c r="NQ32" s="40"/>
      <c r="NR32" s="8">
        <v>1</v>
      </c>
      <c r="NS32" s="8">
        <v>1</v>
      </c>
      <c r="NT32" s="8">
        <v>1</v>
      </c>
      <c r="NU32" s="8">
        <v>1</v>
      </c>
      <c r="NV32" s="8">
        <v>1</v>
      </c>
      <c r="NW32" s="40"/>
      <c r="NX32" s="40"/>
      <c r="NY32" s="8">
        <v>0</v>
      </c>
      <c r="NZ32" s="8">
        <v>0</v>
      </c>
      <c r="OA32" s="8">
        <v>0</v>
      </c>
      <c r="OB32" s="8"/>
      <c r="OC32" s="8">
        <v>0</v>
      </c>
      <c r="OD32" s="41"/>
      <c r="OE32" s="41"/>
      <c r="OF32" s="8">
        <v>0</v>
      </c>
      <c r="OG32" s="8">
        <v>0</v>
      </c>
      <c r="OH32" s="8">
        <v>0</v>
      </c>
      <c r="OI32" s="47"/>
    </row>
    <row r="33" spans="1:451" s="31" customFormat="1" ht="21" x14ac:dyDescent="0.3">
      <c r="A33" s="61" t="s">
        <v>526</v>
      </c>
      <c r="B33" s="62" t="s">
        <v>433</v>
      </c>
      <c r="C33" s="45"/>
      <c r="D33" s="8">
        <v>1</v>
      </c>
      <c r="E33" s="8">
        <v>1</v>
      </c>
      <c r="F33" s="8">
        <v>1</v>
      </c>
      <c r="G33" s="8">
        <v>1</v>
      </c>
      <c r="H33" s="8">
        <v>1</v>
      </c>
      <c r="I33" s="46"/>
      <c r="J33" s="46"/>
      <c r="K33" s="8">
        <v>1</v>
      </c>
      <c r="L33" s="8">
        <v>1</v>
      </c>
      <c r="M33" s="8">
        <v>1</v>
      </c>
      <c r="N33" s="8">
        <v>1</v>
      </c>
      <c r="O33" s="8">
        <v>1</v>
      </c>
      <c r="P33" s="46"/>
      <c r="Q33" s="46"/>
      <c r="R33" s="8">
        <v>1</v>
      </c>
      <c r="S33" s="8">
        <v>1</v>
      </c>
      <c r="T33" s="8">
        <v>1</v>
      </c>
      <c r="U33" s="8">
        <v>1</v>
      </c>
      <c r="V33" s="8">
        <v>1</v>
      </c>
      <c r="W33" s="46"/>
      <c r="X33" s="46"/>
      <c r="Y33" s="8">
        <v>0</v>
      </c>
      <c r="Z33" s="8">
        <v>0</v>
      </c>
      <c r="AA33" s="8"/>
      <c r="AB33" s="8">
        <v>1</v>
      </c>
      <c r="AC33" s="8">
        <v>1</v>
      </c>
      <c r="AD33" s="46"/>
      <c r="AE33" s="46"/>
      <c r="AF33" s="8">
        <v>1</v>
      </c>
      <c r="AG33" s="8">
        <v>1</v>
      </c>
      <c r="AH33" s="38"/>
      <c r="AI33" s="8">
        <v>1</v>
      </c>
      <c r="AJ33" s="8">
        <v>1</v>
      </c>
      <c r="AK33" s="8"/>
      <c r="AL33" s="8"/>
      <c r="AM33" s="109">
        <v>1</v>
      </c>
      <c r="AN33" s="109">
        <v>1</v>
      </c>
      <c r="AO33" s="8">
        <v>1</v>
      </c>
      <c r="AP33" s="8">
        <v>1</v>
      </c>
      <c r="AQ33" s="8">
        <v>1</v>
      </c>
      <c r="AR33" s="39"/>
      <c r="AS33" s="39"/>
      <c r="AT33" s="8">
        <v>1</v>
      </c>
      <c r="AU33" s="8">
        <v>1</v>
      </c>
      <c r="AV33" s="8">
        <v>0</v>
      </c>
      <c r="AW33" s="8">
        <v>0</v>
      </c>
      <c r="AX33" s="8">
        <v>0</v>
      </c>
      <c r="AY33" s="39"/>
      <c r="AZ33" s="39"/>
      <c r="BA33" s="39">
        <v>0</v>
      </c>
      <c r="BB33" s="39">
        <v>0</v>
      </c>
      <c r="BC33" s="39">
        <v>0</v>
      </c>
      <c r="BD33" s="39">
        <v>0</v>
      </c>
      <c r="BE33" s="39">
        <v>0</v>
      </c>
      <c r="BF33" s="39"/>
      <c r="BG33" s="39"/>
      <c r="BH33" s="39">
        <v>1</v>
      </c>
      <c r="BI33" s="39">
        <v>1</v>
      </c>
      <c r="BJ33" s="39">
        <v>1</v>
      </c>
      <c r="BK33" s="39">
        <v>1</v>
      </c>
      <c r="BL33" s="39">
        <v>1</v>
      </c>
      <c r="BM33" s="40"/>
      <c r="BN33" s="40"/>
      <c r="BO33" s="8">
        <v>1</v>
      </c>
      <c r="BP33" s="8">
        <v>1</v>
      </c>
      <c r="BQ33" s="8">
        <v>1</v>
      </c>
      <c r="BR33" s="8">
        <v>1</v>
      </c>
      <c r="BS33" s="8">
        <v>1</v>
      </c>
      <c r="BT33" s="40"/>
      <c r="BU33" s="40"/>
      <c r="BV33" s="8">
        <v>1</v>
      </c>
      <c r="BW33" s="8">
        <v>1</v>
      </c>
      <c r="BX33" s="8">
        <v>1</v>
      </c>
      <c r="BY33" s="8">
        <v>1</v>
      </c>
      <c r="BZ33" s="8">
        <v>1</v>
      </c>
      <c r="CA33" s="40"/>
      <c r="CB33" s="40"/>
      <c r="CC33" s="8">
        <v>1</v>
      </c>
      <c r="CD33" s="8">
        <v>1</v>
      </c>
      <c r="CE33" s="8">
        <v>1</v>
      </c>
      <c r="CF33" s="8">
        <v>1</v>
      </c>
      <c r="CG33" s="8">
        <v>1</v>
      </c>
      <c r="CH33" s="40"/>
      <c r="CI33" s="40"/>
      <c r="CJ33" s="8">
        <v>1</v>
      </c>
      <c r="CK33" s="8">
        <v>1</v>
      </c>
      <c r="CL33" s="8">
        <v>1</v>
      </c>
      <c r="CM33" s="8">
        <v>1</v>
      </c>
      <c r="CN33" s="8">
        <v>1</v>
      </c>
      <c r="CO33" s="40"/>
      <c r="CP33" s="40"/>
      <c r="CQ33" s="8">
        <v>1</v>
      </c>
      <c r="CR33" s="8">
        <v>1</v>
      </c>
      <c r="CS33" s="8">
        <v>1</v>
      </c>
      <c r="CT33" s="8">
        <v>1</v>
      </c>
      <c r="CU33" s="8">
        <v>1</v>
      </c>
      <c r="CV33" s="40"/>
      <c r="CW33" s="40"/>
      <c r="CX33" s="8">
        <v>1</v>
      </c>
      <c r="CY33" s="8">
        <v>1</v>
      </c>
      <c r="CZ33" s="8">
        <v>1</v>
      </c>
      <c r="DA33" s="8">
        <v>1</v>
      </c>
      <c r="DB33" s="8">
        <v>1</v>
      </c>
      <c r="DC33" s="40"/>
      <c r="DD33" s="40"/>
      <c r="DE33" s="8">
        <v>1</v>
      </c>
      <c r="DF33" s="8">
        <v>1</v>
      </c>
      <c r="DG33" s="8">
        <v>1</v>
      </c>
      <c r="DH33" s="8">
        <v>1</v>
      </c>
      <c r="DI33" s="8">
        <v>1</v>
      </c>
      <c r="DJ33" s="40"/>
      <c r="DK33" s="40"/>
      <c r="DL33" s="8">
        <v>1</v>
      </c>
      <c r="DM33" s="8">
        <v>1</v>
      </c>
      <c r="DN33" s="8">
        <v>1</v>
      </c>
      <c r="DO33" s="8">
        <v>1</v>
      </c>
      <c r="DP33" s="8">
        <v>1</v>
      </c>
      <c r="DQ33" s="41"/>
      <c r="DR33" s="41"/>
      <c r="DS33" s="8">
        <v>1</v>
      </c>
      <c r="DT33" s="8">
        <v>1</v>
      </c>
      <c r="DU33" s="8">
        <v>1</v>
      </c>
      <c r="DV33" s="8">
        <v>1</v>
      </c>
      <c r="DW33" s="8">
        <v>1</v>
      </c>
      <c r="DX33" s="41"/>
      <c r="DY33" s="41"/>
      <c r="DZ33" s="8">
        <v>1</v>
      </c>
      <c r="EA33" s="8">
        <v>1</v>
      </c>
      <c r="EB33" s="8">
        <v>1</v>
      </c>
      <c r="EC33" s="8">
        <v>1</v>
      </c>
      <c r="ED33" s="8">
        <v>1</v>
      </c>
      <c r="EE33" s="41"/>
      <c r="EF33" s="41"/>
      <c r="EG33" s="8">
        <v>1</v>
      </c>
      <c r="EH33" s="8">
        <v>1</v>
      </c>
      <c r="EI33" s="8">
        <v>1</v>
      </c>
      <c r="EJ33" s="8">
        <v>1</v>
      </c>
      <c r="EK33" s="8">
        <v>1</v>
      </c>
      <c r="EL33" s="41"/>
      <c r="EM33" s="41"/>
      <c r="EN33" s="38"/>
      <c r="EO33" s="8">
        <v>1</v>
      </c>
      <c r="EP33" s="8">
        <v>1</v>
      </c>
      <c r="EQ33" s="8">
        <v>1</v>
      </c>
      <c r="ER33" s="8">
        <v>1</v>
      </c>
      <c r="ES33" s="41"/>
      <c r="ET33" s="41"/>
      <c r="EU33" s="8">
        <v>1</v>
      </c>
      <c r="EV33" s="8">
        <v>1</v>
      </c>
      <c r="EW33" s="8">
        <v>1</v>
      </c>
      <c r="EX33" s="38"/>
      <c r="EY33" s="8">
        <v>1</v>
      </c>
      <c r="EZ33" s="41"/>
      <c r="FA33" s="41"/>
      <c r="FB33" s="8">
        <v>1</v>
      </c>
      <c r="FC33" s="8">
        <v>1</v>
      </c>
      <c r="FD33" s="8">
        <v>1</v>
      </c>
      <c r="FE33" s="38"/>
      <c r="FF33" s="8">
        <v>1</v>
      </c>
      <c r="FG33" s="41"/>
      <c r="FH33" s="41"/>
      <c r="FI33" s="8">
        <v>1</v>
      </c>
      <c r="FJ33" s="8">
        <v>1</v>
      </c>
      <c r="FK33" s="8">
        <v>1</v>
      </c>
      <c r="FL33" s="8">
        <v>1</v>
      </c>
      <c r="FM33" s="8">
        <v>1</v>
      </c>
      <c r="FN33" s="41"/>
      <c r="FO33" s="41"/>
      <c r="FP33" s="8">
        <v>1</v>
      </c>
      <c r="FQ33" s="8">
        <v>1</v>
      </c>
      <c r="FR33" s="8">
        <v>1</v>
      </c>
      <c r="FS33" s="8">
        <v>1</v>
      </c>
      <c r="FT33" s="8">
        <v>1</v>
      </c>
      <c r="FU33" s="41"/>
      <c r="FV33" s="41"/>
      <c r="FW33" s="8">
        <v>1</v>
      </c>
      <c r="FX33" s="8">
        <v>1</v>
      </c>
      <c r="FY33" s="8">
        <v>1</v>
      </c>
      <c r="FZ33" s="38"/>
      <c r="GA33" s="8">
        <v>1</v>
      </c>
      <c r="GB33" s="41"/>
      <c r="GC33" s="41"/>
      <c r="GD33" s="8">
        <v>1</v>
      </c>
      <c r="GE33" s="8">
        <v>1</v>
      </c>
      <c r="GF33" s="8">
        <v>1</v>
      </c>
      <c r="GG33" s="8">
        <v>1</v>
      </c>
      <c r="GH33" s="8">
        <v>1</v>
      </c>
      <c r="GI33" s="41"/>
      <c r="GJ33" s="41"/>
      <c r="GK33" s="38"/>
      <c r="GL33" s="8">
        <v>1</v>
      </c>
      <c r="GM33" s="8">
        <v>1</v>
      </c>
      <c r="GN33" s="8">
        <v>1</v>
      </c>
      <c r="GO33" s="8">
        <v>1</v>
      </c>
      <c r="GP33" s="41"/>
      <c r="GQ33" s="41"/>
      <c r="GR33" s="8">
        <v>1</v>
      </c>
      <c r="GS33" s="8">
        <v>1</v>
      </c>
      <c r="GT33" s="8">
        <v>1</v>
      </c>
      <c r="GU33" s="8">
        <v>1</v>
      </c>
      <c r="GV33" s="8">
        <v>1</v>
      </c>
      <c r="GW33" s="41"/>
      <c r="GX33" s="41"/>
      <c r="GY33" s="8">
        <v>1</v>
      </c>
      <c r="GZ33" s="8">
        <v>1</v>
      </c>
      <c r="HA33" s="8">
        <v>1</v>
      </c>
      <c r="HB33" s="8">
        <v>1</v>
      </c>
      <c r="HC33" s="8">
        <v>1</v>
      </c>
      <c r="HD33" s="41"/>
      <c r="HE33" s="41"/>
      <c r="HF33" s="8">
        <v>1</v>
      </c>
      <c r="HG33" s="8">
        <v>1</v>
      </c>
      <c r="HH33" s="8">
        <v>1</v>
      </c>
      <c r="HI33" s="8">
        <v>1</v>
      </c>
      <c r="HJ33" s="8">
        <v>1</v>
      </c>
      <c r="HK33" s="41"/>
      <c r="HL33" s="41"/>
      <c r="HM33" s="8">
        <v>1</v>
      </c>
      <c r="HN33" s="8">
        <v>1</v>
      </c>
      <c r="HO33" s="8">
        <v>1</v>
      </c>
      <c r="HP33" s="8">
        <v>1</v>
      </c>
      <c r="HQ33" s="8">
        <v>1</v>
      </c>
      <c r="HR33" s="41"/>
      <c r="HS33" s="41"/>
      <c r="HT33" s="38"/>
      <c r="HU33" s="8">
        <v>1</v>
      </c>
      <c r="HV33" s="8">
        <v>1</v>
      </c>
      <c r="HW33" s="8">
        <v>1</v>
      </c>
      <c r="HX33" s="8">
        <v>1</v>
      </c>
      <c r="HY33" s="41"/>
      <c r="HZ33" s="41"/>
      <c r="IA33" s="8">
        <v>1</v>
      </c>
      <c r="IB33" s="8">
        <v>1</v>
      </c>
      <c r="IC33" s="8">
        <v>1</v>
      </c>
      <c r="ID33" s="8">
        <v>1</v>
      </c>
      <c r="IE33" s="8">
        <v>1</v>
      </c>
      <c r="IF33" s="41"/>
      <c r="IG33" s="41"/>
      <c r="IH33" s="8">
        <v>1</v>
      </c>
      <c r="II33" s="8">
        <v>1</v>
      </c>
      <c r="IJ33" s="8">
        <v>1</v>
      </c>
      <c r="IK33" s="8">
        <v>1</v>
      </c>
      <c r="IL33" s="8">
        <v>1</v>
      </c>
      <c r="IM33" s="41"/>
      <c r="IN33" s="41"/>
      <c r="IO33" s="8">
        <v>1</v>
      </c>
      <c r="IP33" s="8">
        <v>1</v>
      </c>
      <c r="IQ33" s="8">
        <v>1</v>
      </c>
      <c r="IR33" s="8">
        <v>1</v>
      </c>
      <c r="IS33" s="8">
        <v>1</v>
      </c>
      <c r="IT33" s="41"/>
      <c r="IU33" s="41"/>
      <c r="IV33" s="8">
        <v>1</v>
      </c>
      <c r="IW33" s="8">
        <v>1</v>
      </c>
      <c r="IX33" s="8">
        <v>1</v>
      </c>
      <c r="IY33" s="8">
        <v>1</v>
      </c>
      <c r="IZ33" s="38"/>
      <c r="JA33" s="41"/>
      <c r="JB33" s="41"/>
      <c r="JC33" s="8">
        <v>1</v>
      </c>
      <c r="JD33" s="8">
        <v>1</v>
      </c>
      <c r="JE33" s="8">
        <v>1</v>
      </c>
      <c r="JF33" s="8">
        <v>1</v>
      </c>
      <c r="JG33" s="8">
        <v>1</v>
      </c>
      <c r="JH33" s="41"/>
      <c r="JI33" s="41"/>
      <c r="JJ33" s="8">
        <v>1</v>
      </c>
      <c r="JK33" s="8">
        <v>1</v>
      </c>
      <c r="JL33" s="8">
        <v>1</v>
      </c>
      <c r="JM33" s="8">
        <v>1</v>
      </c>
      <c r="JN33" s="8">
        <v>1</v>
      </c>
      <c r="JO33" s="41"/>
      <c r="JP33" s="41"/>
      <c r="JQ33" s="8">
        <v>1</v>
      </c>
      <c r="JR33" s="8">
        <v>1</v>
      </c>
      <c r="JS33" s="8">
        <v>1</v>
      </c>
      <c r="JT33" s="8">
        <v>1</v>
      </c>
      <c r="JU33" s="8">
        <v>1</v>
      </c>
      <c r="JV33" s="41"/>
      <c r="JW33" s="41"/>
      <c r="JX33" s="8">
        <v>1</v>
      </c>
      <c r="JY33" s="8">
        <v>1</v>
      </c>
      <c r="JZ33" s="8">
        <v>1</v>
      </c>
      <c r="KA33" s="8">
        <v>1</v>
      </c>
      <c r="KB33" s="8">
        <v>1</v>
      </c>
      <c r="KC33" s="41"/>
      <c r="KD33" s="41"/>
      <c r="KE33" s="8">
        <v>1</v>
      </c>
      <c r="KF33" s="8">
        <v>1</v>
      </c>
      <c r="KG33" s="8">
        <v>1</v>
      </c>
      <c r="KH33" s="8">
        <v>1</v>
      </c>
      <c r="KI33" s="8">
        <v>1</v>
      </c>
      <c r="KJ33" s="41"/>
      <c r="KK33" s="41"/>
      <c r="KL33" s="8">
        <v>1</v>
      </c>
      <c r="KM33" s="8">
        <v>1</v>
      </c>
      <c r="KN33" s="8">
        <v>1</v>
      </c>
      <c r="KO33" s="8">
        <v>1</v>
      </c>
      <c r="KP33" s="8">
        <v>1</v>
      </c>
      <c r="KQ33" s="41"/>
      <c r="KR33" s="41"/>
      <c r="KS33" s="8">
        <v>1</v>
      </c>
      <c r="KT33" s="8">
        <v>1</v>
      </c>
      <c r="KU33" s="8">
        <v>1</v>
      </c>
      <c r="KV33" s="8">
        <v>1</v>
      </c>
      <c r="KW33" s="8">
        <v>1</v>
      </c>
      <c r="KX33" s="41"/>
      <c r="KY33" s="41"/>
      <c r="KZ33" s="8">
        <v>1</v>
      </c>
      <c r="LA33" s="8">
        <v>1</v>
      </c>
      <c r="LB33" s="8">
        <v>1</v>
      </c>
      <c r="LC33" s="8">
        <v>1</v>
      </c>
      <c r="LD33" s="8">
        <v>1</v>
      </c>
      <c r="LE33" s="41"/>
      <c r="LF33" s="41"/>
      <c r="LG33" s="8">
        <v>1</v>
      </c>
      <c r="LH33" s="8">
        <v>1</v>
      </c>
      <c r="LI33" s="8">
        <v>1</v>
      </c>
      <c r="LJ33" s="8">
        <v>1</v>
      </c>
      <c r="LK33" s="8">
        <v>1</v>
      </c>
      <c r="LL33" s="41"/>
      <c r="LM33" s="41"/>
      <c r="LN33" s="8">
        <v>1</v>
      </c>
      <c r="LO33" s="8">
        <v>1</v>
      </c>
      <c r="LP33" s="8">
        <v>1</v>
      </c>
      <c r="LQ33" s="8">
        <v>1</v>
      </c>
      <c r="LR33" s="8">
        <v>1</v>
      </c>
      <c r="LS33" s="41"/>
      <c r="LT33" s="41"/>
      <c r="LU33" s="8">
        <v>1</v>
      </c>
      <c r="LV33" s="8">
        <v>1</v>
      </c>
      <c r="LW33" s="8">
        <v>1</v>
      </c>
      <c r="LX33" s="8">
        <v>1</v>
      </c>
      <c r="LY33" s="8">
        <v>1</v>
      </c>
      <c r="LZ33" s="41"/>
      <c r="MA33" s="41"/>
      <c r="MB33" s="8">
        <v>1</v>
      </c>
      <c r="MC33" s="8">
        <v>1</v>
      </c>
      <c r="MD33" s="8">
        <v>1</v>
      </c>
      <c r="ME33" s="8">
        <v>1</v>
      </c>
      <c r="MF33" s="8">
        <v>1</v>
      </c>
      <c r="MG33" s="41"/>
      <c r="MH33" s="41"/>
      <c r="MI33" s="8">
        <v>1</v>
      </c>
      <c r="MJ33" s="8">
        <v>1</v>
      </c>
      <c r="MK33" s="8">
        <v>1</v>
      </c>
      <c r="ML33" s="8">
        <v>1</v>
      </c>
      <c r="MM33" s="8">
        <v>1</v>
      </c>
      <c r="MN33" s="41"/>
      <c r="MO33" s="41"/>
      <c r="MP33" s="8">
        <v>1</v>
      </c>
      <c r="MQ33" s="8">
        <v>1</v>
      </c>
      <c r="MR33" s="8">
        <v>1</v>
      </c>
      <c r="MS33" s="8">
        <v>1</v>
      </c>
      <c r="MT33" s="8">
        <v>1</v>
      </c>
      <c r="MU33" s="41"/>
      <c r="MV33" s="41"/>
      <c r="MW33" s="8">
        <v>1</v>
      </c>
      <c r="MX33" s="8">
        <v>1</v>
      </c>
      <c r="MY33" s="8">
        <v>1</v>
      </c>
      <c r="MZ33" s="8">
        <v>1</v>
      </c>
      <c r="NA33" s="8">
        <v>1</v>
      </c>
      <c r="NB33" s="41"/>
      <c r="NC33" s="41"/>
      <c r="ND33" s="8">
        <v>1</v>
      </c>
      <c r="NE33" s="8">
        <v>1</v>
      </c>
      <c r="NF33" s="8">
        <v>1</v>
      </c>
      <c r="NG33" s="8">
        <v>1</v>
      </c>
      <c r="NH33" s="8">
        <v>1</v>
      </c>
      <c r="NI33" s="41"/>
      <c r="NJ33" s="41"/>
      <c r="NK33" s="8">
        <v>1</v>
      </c>
      <c r="NL33" s="8">
        <v>1</v>
      </c>
      <c r="NM33" s="8">
        <v>1</v>
      </c>
      <c r="NN33" s="8">
        <v>1</v>
      </c>
      <c r="NO33" s="8">
        <v>1</v>
      </c>
      <c r="NP33" s="40"/>
      <c r="NQ33" s="40"/>
      <c r="NR33" s="8">
        <v>1</v>
      </c>
      <c r="NS33" s="8">
        <v>1</v>
      </c>
      <c r="NT33" s="8">
        <v>1</v>
      </c>
      <c r="NU33" s="8">
        <v>1</v>
      </c>
      <c r="NV33" s="8">
        <v>1</v>
      </c>
      <c r="NW33" s="40"/>
      <c r="NX33" s="40"/>
      <c r="NY33" s="8">
        <v>1</v>
      </c>
      <c r="NZ33" s="8">
        <v>0</v>
      </c>
      <c r="OA33" s="8">
        <v>0</v>
      </c>
      <c r="OB33" s="8"/>
      <c r="OC33" s="8">
        <v>1</v>
      </c>
      <c r="OD33" s="41"/>
      <c r="OE33" s="41"/>
      <c r="OF33" s="8">
        <v>1</v>
      </c>
      <c r="OG33" s="8">
        <v>1</v>
      </c>
      <c r="OH33" s="8">
        <v>1</v>
      </c>
      <c r="OI33" s="47"/>
    </row>
    <row r="34" spans="1:451" s="31" customFormat="1" ht="21" x14ac:dyDescent="0.3">
      <c r="A34" s="61" t="s">
        <v>527</v>
      </c>
      <c r="B34" s="62" t="s">
        <v>433</v>
      </c>
      <c r="C34" s="45"/>
      <c r="D34" s="8">
        <v>1</v>
      </c>
      <c r="E34" s="8">
        <v>1</v>
      </c>
      <c r="F34" s="8">
        <v>1</v>
      </c>
      <c r="G34" s="8">
        <v>1</v>
      </c>
      <c r="H34" s="8">
        <v>1</v>
      </c>
      <c r="I34" s="46"/>
      <c r="J34" s="46"/>
      <c r="K34" s="8">
        <v>1</v>
      </c>
      <c r="L34" s="8">
        <v>1</v>
      </c>
      <c r="M34" s="8">
        <v>1</v>
      </c>
      <c r="N34" s="8">
        <v>1</v>
      </c>
      <c r="O34" s="8">
        <v>1</v>
      </c>
      <c r="P34" s="46"/>
      <c r="Q34" s="46"/>
      <c r="R34" s="8">
        <v>1</v>
      </c>
      <c r="S34" s="8">
        <v>1</v>
      </c>
      <c r="T34" s="8">
        <v>1</v>
      </c>
      <c r="U34" s="8">
        <v>0</v>
      </c>
      <c r="V34" s="8">
        <v>0</v>
      </c>
      <c r="W34" s="46"/>
      <c r="X34" s="46"/>
      <c r="Y34" s="8">
        <v>0</v>
      </c>
      <c r="Z34" s="8">
        <v>0</v>
      </c>
      <c r="AA34" s="8"/>
      <c r="AB34" s="8">
        <v>0</v>
      </c>
      <c r="AC34" s="8">
        <v>0</v>
      </c>
      <c r="AD34" s="46"/>
      <c r="AE34" s="46"/>
      <c r="AF34" s="8">
        <v>1</v>
      </c>
      <c r="AG34" s="8">
        <v>1</v>
      </c>
      <c r="AH34" s="38"/>
      <c r="AI34" s="8">
        <v>1</v>
      </c>
      <c r="AJ34" s="8">
        <v>1</v>
      </c>
      <c r="AK34" s="8"/>
      <c r="AL34" s="8"/>
      <c r="AM34" s="109">
        <v>1</v>
      </c>
      <c r="AN34" s="109">
        <v>1</v>
      </c>
      <c r="AO34" s="8">
        <v>1</v>
      </c>
      <c r="AP34" s="8">
        <v>1</v>
      </c>
      <c r="AQ34" s="8">
        <v>1</v>
      </c>
      <c r="AR34" s="39"/>
      <c r="AS34" s="39"/>
      <c r="AT34" s="8">
        <v>1</v>
      </c>
      <c r="AU34" s="8">
        <v>1</v>
      </c>
      <c r="AV34" s="8">
        <v>1</v>
      </c>
      <c r="AW34" s="8">
        <v>1</v>
      </c>
      <c r="AX34" s="8">
        <v>1</v>
      </c>
      <c r="AY34" s="39"/>
      <c r="AZ34" s="39"/>
      <c r="BA34" s="39">
        <v>1</v>
      </c>
      <c r="BB34" s="39">
        <v>1</v>
      </c>
      <c r="BC34" s="39">
        <v>1</v>
      </c>
      <c r="BD34" s="39">
        <v>1</v>
      </c>
      <c r="BE34" s="39">
        <v>1</v>
      </c>
      <c r="BF34" s="39"/>
      <c r="BG34" s="39"/>
      <c r="BH34" s="39">
        <v>1</v>
      </c>
      <c r="BI34" s="39">
        <v>1</v>
      </c>
      <c r="BJ34" s="39">
        <v>1</v>
      </c>
      <c r="BK34" s="39">
        <v>1</v>
      </c>
      <c r="BL34" s="39">
        <v>1</v>
      </c>
      <c r="BM34" s="40"/>
      <c r="BN34" s="40"/>
      <c r="BO34" s="8">
        <v>0</v>
      </c>
      <c r="BP34" s="8">
        <v>0</v>
      </c>
      <c r="BQ34" s="8">
        <v>0</v>
      </c>
      <c r="BR34" s="8">
        <v>0</v>
      </c>
      <c r="BS34" s="8">
        <v>0</v>
      </c>
      <c r="BT34" s="40"/>
      <c r="BU34" s="40"/>
      <c r="BV34" s="8">
        <v>1</v>
      </c>
      <c r="BW34" s="8">
        <v>1</v>
      </c>
      <c r="BX34" s="8">
        <v>1</v>
      </c>
      <c r="BY34" s="8">
        <v>1</v>
      </c>
      <c r="BZ34" s="8">
        <v>1</v>
      </c>
      <c r="CA34" s="40"/>
      <c r="CB34" s="40"/>
      <c r="CC34" s="8">
        <v>1</v>
      </c>
      <c r="CD34" s="8">
        <v>1</v>
      </c>
      <c r="CE34" s="8">
        <v>1</v>
      </c>
      <c r="CF34" s="8">
        <v>1</v>
      </c>
      <c r="CG34" s="8">
        <v>1</v>
      </c>
      <c r="CH34" s="40"/>
      <c r="CI34" s="40"/>
      <c r="CJ34" s="8">
        <v>1</v>
      </c>
      <c r="CK34" s="8">
        <v>1</v>
      </c>
      <c r="CL34" s="8">
        <v>1</v>
      </c>
      <c r="CM34" s="8">
        <v>1</v>
      </c>
      <c r="CN34" s="8">
        <v>1</v>
      </c>
      <c r="CO34" s="40"/>
      <c r="CP34" s="40"/>
      <c r="CQ34" s="8">
        <v>1</v>
      </c>
      <c r="CR34" s="8">
        <v>1</v>
      </c>
      <c r="CS34" s="8">
        <v>1</v>
      </c>
      <c r="CT34" s="8">
        <v>1</v>
      </c>
      <c r="CU34" s="8">
        <v>1</v>
      </c>
      <c r="CV34" s="40"/>
      <c r="CW34" s="40"/>
      <c r="CX34" s="8">
        <v>1</v>
      </c>
      <c r="CY34" s="8">
        <v>1</v>
      </c>
      <c r="CZ34" s="8">
        <v>1</v>
      </c>
      <c r="DA34" s="8">
        <v>1</v>
      </c>
      <c r="DB34" s="8">
        <v>1</v>
      </c>
      <c r="DC34" s="40"/>
      <c r="DD34" s="40"/>
      <c r="DE34" s="8">
        <v>1</v>
      </c>
      <c r="DF34" s="8">
        <v>1</v>
      </c>
      <c r="DG34" s="8">
        <v>1</v>
      </c>
      <c r="DH34" s="8">
        <v>1</v>
      </c>
      <c r="DI34" s="8">
        <v>1</v>
      </c>
      <c r="DJ34" s="40"/>
      <c r="DK34" s="40"/>
      <c r="DL34" s="8">
        <v>1</v>
      </c>
      <c r="DM34" s="8">
        <v>1</v>
      </c>
      <c r="DN34" s="8">
        <v>1</v>
      </c>
      <c r="DO34" s="8">
        <v>1</v>
      </c>
      <c r="DP34" s="8">
        <v>1</v>
      </c>
      <c r="DQ34" s="41"/>
      <c r="DR34" s="41"/>
      <c r="DS34" s="8">
        <v>1</v>
      </c>
      <c r="DT34" s="8">
        <v>1</v>
      </c>
      <c r="DU34" s="8">
        <v>1</v>
      </c>
      <c r="DV34" s="8">
        <v>1</v>
      </c>
      <c r="DW34" s="8">
        <v>1</v>
      </c>
      <c r="DX34" s="41"/>
      <c r="DY34" s="41"/>
      <c r="DZ34" s="8">
        <v>1</v>
      </c>
      <c r="EA34" s="8">
        <v>1</v>
      </c>
      <c r="EB34" s="8">
        <v>1</v>
      </c>
      <c r="EC34" s="8">
        <v>1</v>
      </c>
      <c r="ED34" s="8">
        <v>1</v>
      </c>
      <c r="EE34" s="41"/>
      <c r="EF34" s="41"/>
      <c r="EG34" s="8">
        <v>1</v>
      </c>
      <c r="EH34" s="8">
        <v>1</v>
      </c>
      <c r="EI34" s="8">
        <v>1</v>
      </c>
      <c r="EJ34" s="8">
        <v>1</v>
      </c>
      <c r="EK34" s="8">
        <v>1</v>
      </c>
      <c r="EL34" s="41"/>
      <c r="EM34" s="41"/>
      <c r="EN34" s="38"/>
      <c r="EO34" s="8">
        <v>1</v>
      </c>
      <c r="EP34" s="8">
        <v>1</v>
      </c>
      <c r="EQ34" s="8">
        <v>1</v>
      </c>
      <c r="ER34" s="8">
        <v>1</v>
      </c>
      <c r="ES34" s="41"/>
      <c r="ET34" s="41"/>
      <c r="EU34" s="8">
        <v>1</v>
      </c>
      <c r="EV34" s="8">
        <v>1</v>
      </c>
      <c r="EW34" s="8">
        <v>1</v>
      </c>
      <c r="EX34" s="38"/>
      <c r="EY34" s="8">
        <v>1</v>
      </c>
      <c r="EZ34" s="41"/>
      <c r="FA34" s="41"/>
      <c r="FB34" s="8">
        <v>1</v>
      </c>
      <c r="FC34" s="8">
        <v>1</v>
      </c>
      <c r="FD34" s="8">
        <v>1</v>
      </c>
      <c r="FE34" s="38"/>
      <c r="FF34" s="8">
        <v>1</v>
      </c>
      <c r="FG34" s="41"/>
      <c r="FH34" s="41"/>
      <c r="FI34" s="8">
        <v>1</v>
      </c>
      <c r="FJ34" s="8">
        <v>1</v>
      </c>
      <c r="FK34" s="8">
        <v>1</v>
      </c>
      <c r="FL34" s="8">
        <v>1</v>
      </c>
      <c r="FM34" s="8">
        <v>1</v>
      </c>
      <c r="FN34" s="41"/>
      <c r="FO34" s="41"/>
      <c r="FP34" s="8">
        <v>1</v>
      </c>
      <c r="FQ34" s="8">
        <v>1</v>
      </c>
      <c r="FR34" s="8">
        <v>1</v>
      </c>
      <c r="FS34" s="8">
        <v>1</v>
      </c>
      <c r="FT34" s="8">
        <v>1</v>
      </c>
      <c r="FU34" s="41"/>
      <c r="FV34" s="41"/>
      <c r="FW34" s="8">
        <v>1</v>
      </c>
      <c r="FX34" s="8">
        <v>1</v>
      </c>
      <c r="FY34" s="8">
        <v>1</v>
      </c>
      <c r="FZ34" s="38"/>
      <c r="GA34" s="8">
        <v>1</v>
      </c>
      <c r="GB34" s="41"/>
      <c r="GC34" s="41"/>
      <c r="GD34" s="8">
        <v>1</v>
      </c>
      <c r="GE34" s="8">
        <v>1</v>
      </c>
      <c r="GF34" s="8">
        <v>1</v>
      </c>
      <c r="GG34" s="8">
        <v>1</v>
      </c>
      <c r="GH34" s="8">
        <v>1</v>
      </c>
      <c r="GI34" s="41"/>
      <c r="GJ34" s="41"/>
      <c r="GK34" s="38"/>
      <c r="GL34" s="8">
        <v>1</v>
      </c>
      <c r="GM34" s="8">
        <v>1</v>
      </c>
      <c r="GN34" s="8">
        <v>1</v>
      </c>
      <c r="GO34" s="8">
        <v>1</v>
      </c>
      <c r="GP34" s="41"/>
      <c r="GQ34" s="41"/>
      <c r="GR34" s="8">
        <v>1</v>
      </c>
      <c r="GS34" s="8">
        <v>1</v>
      </c>
      <c r="GT34" s="8">
        <v>1</v>
      </c>
      <c r="GU34" s="8">
        <v>1</v>
      </c>
      <c r="GV34" s="8">
        <v>1</v>
      </c>
      <c r="GW34" s="41"/>
      <c r="GX34" s="41"/>
      <c r="GY34" s="8">
        <v>1</v>
      </c>
      <c r="GZ34" s="8">
        <v>1</v>
      </c>
      <c r="HA34" s="8">
        <v>1</v>
      </c>
      <c r="HB34" s="8">
        <v>1</v>
      </c>
      <c r="HC34" s="8">
        <v>1</v>
      </c>
      <c r="HD34" s="41"/>
      <c r="HE34" s="41"/>
      <c r="HF34" s="8">
        <v>1</v>
      </c>
      <c r="HG34" s="8">
        <v>1</v>
      </c>
      <c r="HH34" s="8">
        <v>1</v>
      </c>
      <c r="HI34" s="8">
        <v>1</v>
      </c>
      <c r="HJ34" s="8">
        <v>1</v>
      </c>
      <c r="HK34" s="41"/>
      <c r="HL34" s="41"/>
      <c r="HM34" s="8">
        <v>1</v>
      </c>
      <c r="HN34" s="8">
        <v>1</v>
      </c>
      <c r="HO34" s="8">
        <v>1</v>
      </c>
      <c r="HP34" s="8">
        <v>1</v>
      </c>
      <c r="HQ34" s="8">
        <v>1</v>
      </c>
      <c r="HR34" s="41"/>
      <c r="HS34" s="41"/>
      <c r="HT34" s="38"/>
      <c r="HU34" s="8">
        <v>1</v>
      </c>
      <c r="HV34" s="8">
        <v>1</v>
      </c>
      <c r="HW34" s="8">
        <v>1</v>
      </c>
      <c r="HX34" s="8">
        <v>1</v>
      </c>
      <c r="HY34" s="41"/>
      <c r="HZ34" s="41"/>
      <c r="IA34" s="8">
        <v>1</v>
      </c>
      <c r="IB34" s="8">
        <v>1</v>
      </c>
      <c r="IC34" s="8">
        <v>1</v>
      </c>
      <c r="ID34" s="8">
        <v>1</v>
      </c>
      <c r="IE34" s="8">
        <v>1</v>
      </c>
      <c r="IF34" s="41"/>
      <c r="IG34" s="41"/>
      <c r="IH34" s="8">
        <v>1</v>
      </c>
      <c r="II34" s="8">
        <v>1</v>
      </c>
      <c r="IJ34" s="8">
        <v>1</v>
      </c>
      <c r="IK34" s="8">
        <v>1</v>
      </c>
      <c r="IL34" s="8">
        <v>1</v>
      </c>
      <c r="IM34" s="41"/>
      <c r="IN34" s="41"/>
      <c r="IO34" s="8">
        <v>1</v>
      </c>
      <c r="IP34" s="8">
        <v>1</v>
      </c>
      <c r="IQ34" s="8">
        <v>1</v>
      </c>
      <c r="IR34" s="8">
        <v>1</v>
      </c>
      <c r="IS34" s="8">
        <v>1</v>
      </c>
      <c r="IT34" s="41"/>
      <c r="IU34" s="41"/>
      <c r="IV34" s="8">
        <v>1</v>
      </c>
      <c r="IW34" s="8">
        <v>1</v>
      </c>
      <c r="IX34" s="8">
        <v>1</v>
      </c>
      <c r="IY34" s="8">
        <v>1</v>
      </c>
      <c r="IZ34" s="38"/>
      <c r="JA34" s="41"/>
      <c r="JB34" s="41"/>
      <c r="JC34" s="8">
        <v>1</v>
      </c>
      <c r="JD34" s="8">
        <v>1</v>
      </c>
      <c r="JE34" s="8">
        <v>1</v>
      </c>
      <c r="JF34" s="8">
        <v>1</v>
      </c>
      <c r="JG34" s="8">
        <v>1</v>
      </c>
      <c r="JH34" s="41"/>
      <c r="JI34" s="41"/>
      <c r="JJ34" s="8">
        <v>1</v>
      </c>
      <c r="JK34" s="8">
        <v>1</v>
      </c>
      <c r="JL34" s="8">
        <v>1</v>
      </c>
      <c r="JM34" s="8">
        <v>1</v>
      </c>
      <c r="JN34" s="8">
        <v>1</v>
      </c>
      <c r="JO34" s="41"/>
      <c r="JP34" s="41"/>
      <c r="JQ34" s="8">
        <v>1</v>
      </c>
      <c r="JR34" s="8">
        <v>1</v>
      </c>
      <c r="JS34" s="8">
        <v>1</v>
      </c>
      <c r="JT34" s="8">
        <v>1</v>
      </c>
      <c r="JU34" s="8">
        <v>1</v>
      </c>
      <c r="JV34" s="41"/>
      <c r="JW34" s="41"/>
      <c r="JX34" s="8">
        <v>1</v>
      </c>
      <c r="JY34" s="8">
        <v>1</v>
      </c>
      <c r="JZ34" s="8">
        <v>1</v>
      </c>
      <c r="KA34" s="8">
        <v>1</v>
      </c>
      <c r="KB34" s="8">
        <v>1</v>
      </c>
      <c r="KC34" s="41"/>
      <c r="KD34" s="41"/>
      <c r="KE34" s="8">
        <v>1</v>
      </c>
      <c r="KF34" s="8">
        <v>1</v>
      </c>
      <c r="KG34" s="8">
        <v>1</v>
      </c>
      <c r="KH34" s="8">
        <v>1</v>
      </c>
      <c r="KI34" s="8">
        <v>1</v>
      </c>
      <c r="KJ34" s="41"/>
      <c r="KK34" s="41"/>
      <c r="KL34" s="8">
        <v>1</v>
      </c>
      <c r="KM34" s="8">
        <v>1</v>
      </c>
      <c r="KN34" s="8">
        <v>1</v>
      </c>
      <c r="KO34" s="8">
        <v>1</v>
      </c>
      <c r="KP34" s="8">
        <v>1</v>
      </c>
      <c r="KQ34" s="41"/>
      <c r="KR34" s="41"/>
      <c r="KS34" s="8">
        <v>1</v>
      </c>
      <c r="KT34" s="8">
        <v>1</v>
      </c>
      <c r="KU34" s="8">
        <v>1</v>
      </c>
      <c r="KV34" s="8">
        <v>1</v>
      </c>
      <c r="KW34" s="8">
        <v>1</v>
      </c>
      <c r="KX34" s="41"/>
      <c r="KY34" s="41"/>
      <c r="KZ34" s="8">
        <v>1</v>
      </c>
      <c r="LA34" s="8">
        <v>1</v>
      </c>
      <c r="LB34" s="8">
        <v>1</v>
      </c>
      <c r="LC34" s="8">
        <v>1</v>
      </c>
      <c r="LD34" s="8">
        <v>1</v>
      </c>
      <c r="LE34" s="41"/>
      <c r="LF34" s="41"/>
      <c r="LG34" s="8">
        <v>1</v>
      </c>
      <c r="LH34" s="8">
        <v>1</v>
      </c>
      <c r="LI34" s="8">
        <v>1</v>
      </c>
      <c r="LJ34" s="8">
        <v>1</v>
      </c>
      <c r="LK34" s="8">
        <v>1</v>
      </c>
      <c r="LL34" s="41"/>
      <c r="LM34" s="41"/>
      <c r="LN34" s="8">
        <v>1</v>
      </c>
      <c r="LO34" s="8">
        <v>1</v>
      </c>
      <c r="LP34" s="8">
        <v>1</v>
      </c>
      <c r="LQ34" s="8">
        <v>1</v>
      </c>
      <c r="LR34" s="8">
        <v>1</v>
      </c>
      <c r="LS34" s="41"/>
      <c r="LT34" s="41"/>
      <c r="LU34" s="8">
        <v>1</v>
      </c>
      <c r="LV34" s="8">
        <v>1</v>
      </c>
      <c r="LW34" s="8">
        <v>1</v>
      </c>
      <c r="LX34" s="8">
        <v>1</v>
      </c>
      <c r="LY34" s="8">
        <v>1</v>
      </c>
      <c r="LZ34" s="41"/>
      <c r="MA34" s="41"/>
      <c r="MB34" s="8">
        <v>1</v>
      </c>
      <c r="MC34" s="8">
        <v>1</v>
      </c>
      <c r="MD34" s="8">
        <v>1</v>
      </c>
      <c r="ME34" s="8">
        <v>1</v>
      </c>
      <c r="MF34" s="8">
        <v>1</v>
      </c>
      <c r="MG34" s="41"/>
      <c r="MH34" s="41"/>
      <c r="MI34" s="8">
        <v>1</v>
      </c>
      <c r="MJ34" s="8">
        <v>1</v>
      </c>
      <c r="MK34" s="8">
        <v>1</v>
      </c>
      <c r="ML34" s="8">
        <v>1</v>
      </c>
      <c r="MM34" s="8">
        <v>1</v>
      </c>
      <c r="MN34" s="41"/>
      <c r="MO34" s="41"/>
      <c r="MP34" s="8">
        <v>1</v>
      </c>
      <c r="MQ34" s="8">
        <v>1</v>
      </c>
      <c r="MR34" s="8">
        <v>1</v>
      </c>
      <c r="MS34" s="8">
        <v>1</v>
      </c>
      <c r="MT34" s="8">
        <v>1</v>
      </c>
      <c r="MU34" s="41"/>
      <c r="MV34" s="41"/>
      <c r="MW34" s="8">
        <v>1</v>
      </c>
      <c r="MX34" s="8">
        <v>1</v>
      </c>
      <c r="MY34" s="8">
        <v>1</v>
      </c>
      <c r="MZ34" s="8">
        <v>1</v>
      </c>
      <c r="NA34" s="8">
        <v>1</v>
      </c>
      <c r="NB34" s="41"/>
      <c r="NC34" s="41"/>
      <c r="ND34" s="8">
        <v>1</v>
      </c>
      <c r="NE34" s="8">
        <v>1</v>
      </c>
      <c r="NF34" s="8">
        <v>1</v>
      </c>
      <c r="NG34" s="8">
        <v>1</v>
      </c>
      <c r="NH34" s="8">
        <v>1</v>
      </c>
      <c r="NI34" s="41"/>
      <c r="NJ34" s="41"/>
      <c r="NK34" s="8">
        <v>1</v>
      </c>
      <c r="NL34" s="8">
        <v>1</v>
      </c>
      <c r="NM34" s="8">
        <v>1</v>
      </c>
      <c r="NN34" s="8">
        <v>1</v>
      </c>
      <c r="NO34" s="8">
        <v>1</v>
      </c>
      <c r="NP34" s="40"/>
      <c r="NQ34" s="40"/>
      <c r="NR34" s="8">
        <v>1</v>
      </c>
      <c r="NS34" s="8">
        <v>1</v>
      </c>
      <c r="NT34" s="8">
        <v>1</v>
      </c>
      <c r="NU34" s="8">
        <v>1</v>
      </c>
      <c r="NV34" s="8">
        <v>0.5</v>
      </c>
      <c r="NW34" s="40"/>
      <c r="NX34" s="40"/>
      <c r="NY34" s="8">
        <v>0</v>
      </c>
      <c r="NZ34" s="8">
        <v>0</v>
      </c>
      <c r="OA34" s="8">
        <v>0</v>
      </c>
      <c r="OB34" s="8"/>
      <c r="OC34" s="8">
        <v>0</v>
      </c>
      <c r="OD34" s="41"/>
      <c r="OE34" s="41"/>
      <c r="OF34" s="8">
        <v>0</v>
      </c>
      <c r="OG34" s="8">
        <v>0</v>
      </c>
      <c r="OH34" s="8">
        <v>1</v>
      </c>
      <c r="OI34" s="47"/>
    </row>
    <row r="35" spans="1:451" s="31" customFormat="1" ht="21" x14ac:dyDescent="0.3">
      <c r="A35" s="61" t="s">
        <v>528</v>
      </c>
      <c r="B35" s="62" t="s">
        <v>434</v>
      </c>
      <c r="C35" s="45"/>
      <c r="D35" s="8">
        <v>1</v>
      </c>
      <c r="E35" s="8">
        <v>1</v>
      </c>
      <c r="F35" s="8">
        <v>1</v>
      </c>
      <c r="G35" s="8">
        <v>1</v>
      </c>
      <c r="H35" s="8">
        <v>1</v>
      </c>
      <c r="I35" s="46"/>
      <c r="J35" s="46"/>
      <c r="K35" s="8">
        <v>1</v>
      </c>
      <c r="L35" s="8">
        <v>1</v>
      </c>
      <c r="M35" s="8">
        <v>1</v>
      </c>
      <c r="N35" s="8">
        <v>1</v>
      </c>
      <c r="O35" s="8">
        <v>1</v>
      </c>
      <c r="P35" s="46"/>
      <c r="Q35" s="46"/>
      <c r="R35" s="8">
        <v>1</v>
      </c>
      <c r="S35" s="8">
        <v>1</v>
      </c>
      <c r="T35" s="8">
        <v>1</v>
      </c>
      <c r="U35" s="8">
        <v>1</v>
      </c>
      <c r="V35" s="8">
        <v>1</v>
      </c>
      <c r="W35" s="46"/>
      <c r="X35" s="46"/>
      <c r="Y35" s="8">
        <v>1</v>
      </c>
      <c r="Z35" s="8">
        <v>1</v>
      </c>
      <c r="AA35" s="8"/>
      <c r="AB35" s="8">
        <v>0</v>
      </c>
      <c r="AC35" s="8">
        <v>0</v>
      </c>
      <c r="AD35" s="46"/>
      <c r="AE35" s="46"/>
      <c r="AF35" s="8">
        <v>0</v>
      </c>
      <c r="AG35" s="8">
        <v>0</v>
      </c>
      <c r="AH35" s="38"/>
      <c r="AI35" s="8">
        <v>0</v>
      </c>
      <c r="AJ35" s="8">
        <v>0</v>
      </c>
      <c r="AK35" s="8"/>
      <c r="AL35" s="8"/>
      <c r="AM35" s="109">
        <v>1</v>
      </c>
      <c r="AN35" s="109">
        <v>1</v>
      </c>
      <c r="AO35" s="8">
        <v>1</v>
      </c>
      <c r="AP35" s="8">
        <v>1</v>
      </c>
      <c r="AQ35" s="8">
        <v>1</v>
      </c>
      <c r="AR35" s="39"/>
      <c r="AS35" s="39"/>
      <c r="AT35" s="8">
        <v>1</v>
      </c>
      <c r="AU35" s="8">
        <v>1</v>
      </c>
      <c r="AV35" s="8">
        <v>1</v>
      </c>
      <c r="AW35" s="8">
        <v>1</v>
      </c>
      <c r="AX35" s="8">
        <v>1</v>
      </c>
      <c r="AY35" s="39"/>
      <c r="AZ35" s="39"/>
      <c r="BA35" s="39">
        <v>1</v>
      </c>
      <c r="BB35" s="39">
        <v>1</v>
      </c>
      <c r="BC35" s="39">
        <v>1</v>
      </c>
      <c r="BD35" s="39">
        <v>1</v>
      </c>
      <c r="BE35" s="39">
        <v>1</v>
      </c>
      <c r="BF35" s="39"/>
      <c r="BG35" s="39"/>
      <c r="BH35" s="39">
        <v>1</v>
      </c>
      <c r="BI35" s="39">
        <v>1</v>
      </c>
      <c r="BJ35" s="39">
        <v>1</v>
      </c>
      <c r="BK35" s="39">
        <v>1</v>
      </c>
      <c r="BL35" s="39">
        <v>1</v>
      </c>
      <c r="BM35" s="40"/>
      <c r="BN35" s="40"/>
      <c r="BO35" s="8">
        <v>1</v>
      </c>
      <c r="BP35" s="8">
        <v>1</v>
      </c>
      <c r="BQ35" s="8">
        <v>1</v>
      </c>
      <c r="BR35" s="8">
        <v>1</v>
      </c>
      <c r="BS35" s="8">
        <v>1</v>
      </c>
      <c r="BT35" s="40"/>
      <c r="BU35" s="40"/>
      <c r="BV35" s="8">
        <v>1</v>
      </c>
      <c r="BW35" s="8">
        <v>1</v>
      </c>
      <c r="BX35" s="8">
        <v>1</v>
      </c>
      <c r="BY35" s="8">
        <v>1</v>
      </c>
      <c r="BZ35" s="8">
        <v>1</v>
      </c>
      <c r="CA35" s="40"/>
      <c r="CB35" s="40"/>
      <c r="CC35" s="8">
        <v>1</v>
      </c>
      <c r="CD35" s="8">
        <v>1</v>
      </c>
      <c r="CE35" s="8">
        <v>1</v>
      </c>
      <c r="CF35" s="8">
        <v>1</v>
      </c>
      <c r="CG35" s="8">
        <v>1</v>
      </c>
      <c r="CH35" s="40"/>
      <c r="CI35" s="40"/>
      <c r="CJ35" s="8">
        <v>0</v>
      </c>
      <c r="CK35" s="8">
        <v>0</v>
      </c>
      <c r="CL35" s="8">
        <v>0</v>
      </c>
      <c r="CM35" s="8">
        <v>0</v>
      </c>
      <c r="CN35" s="8">
        <v>0</v>
      </c>
      <c r="CO35" s="40"/>
      <c r="CP35" s="40"/>
      <c r="CQ35" s="8">
        <v>1</v>
      </c>
      <c r="CR35" s="8">
        <v>1</v>
      </c>
      <c r="CS35" s="8">
        <v>1</v>
      </c>
      <c r="CT35" s="8">
        <v>1</v>
      </c>
      <c r="CU35" s="8">
        <v>1</v>
      </c>
      <c r="CV35" s="40"/>
      <c r="CW35" s="40"/>
      <c r="CX35" s="8">
        <v>1</v>
      </c>
      <c r="CY35" s="8">
        <v>1</v>
      </c>
      <c r="CZ35" s="8">
        <v>1</v>
      </c>
      <c r="DA35" s="8">
        <v>1</v>
      </c>
      <c r="DB35" s="8">
        <v>1</v>
      </c>
      <c r="DC35" s="40"/>
      <c r="DD35" s="40"/>
      <c r="DE35" s="8">
        <v>1</v>
      </c>
      <c r="DF35" s="8">
        <v>1</v>
      </c>
      <c r="DG35" s="8">
        <v>1</v>
      </c>
      <c r="DH35" s="8">
        <v>1</v>
      </c>
      <c r="DI35" s="8">
        <v>1</v>
      </c>
      <c r="DJ35" s="40"/>
      <c r="DK35" s="40"/>
      <c r="DL35" s="8">
        <v>1</v>
      </c>
      <c r="DM35" s="8">
        <v>1</v>
      </c>
      <c r="DN35" s="8">
        <v>1</v>
      </c>
      <c r="DO35" s="8">
        <v>1</v>
      </c>
      <c r="DP35" s="8">
        <v>1</v>
      </c>
      <c r="DQ35" s="41"/>
      <c r="DR35" s="41"/>
      <c r="DS35" s="8">
        <v>1</v>
      </c>
      <c r="DT35" s="8">
        <v>1</v>
      </c>
      <c r="DU35" s="8">
        <v>1</v>
      </c>
      <c r="DV35" s="8">
        <v>1</v>
      </c>
      <c r="DW35" s="8">
        <v>1</v>
      </c>
      <c r="DX35" s="41"/>
      <c r="DY35" s="41"/>
      <c r="DZ35" s="8">
        <v>1</v>
      </c>
      <c r="EA35" s="8">
        <v>1</v>
      </c>
      <c r="EB35" s="8">
        <v>1</v>
      </c>
      <c r="EC35" s="8">
        <v>1</v>
      </c>
      <c r="ED35" s="8">
        <v>1</v>
      </c>
      <c r="EE35" s="41"/>
      <c r="EF35" s="41"/>
      <c r="EG35" s="8">
        <v>1</v>
      </c>
      <c r="EH35" s="8">
        <v>1</v>
      </c>
      <c r="EI35" s="8">
        <v>1</v>
      </c>
      <c r="EJ35" s="8">
        <v>1</v>
      </c>
      <c r="EK35" s="8">
        <v>1</v>
      </c>
      <c r="EL35" s="41"/>
      <c r="EM35" s="41"/>
      <c r="EN35" s="38"/>
      <c r="EO35" s="8">
        <v>1</v>
      </c>
      <c r="EP35" s="8">
        <v>1</v>
      </c>
      <c r="EQ35" s="8">
        <v>1</v>
      </c>
      <c r="ER35" s="8">
        <v>1</v>
      </c>
      <c r="ES35" s="41"/>
      <c r="ET35" s="41"/>
      <c r="EU35" s="8">
        <v>1</v>
      </c>
      <c r="EV35" s="8">
        <v>1</v>
      </c>
      <c r="EW35" s="8">
        <v>1</v>
      </c>
      <c r="EX35" s="38"/>
      <c r="EY35" s="8">
        <v>1</v>
      </c>
      <c r="EZ35" s="41"/>
      <c r="FA35" s="41"/>
      <c r="FB35" s="8">
        <v>1</v>
      </c>
      <c r="FC35" s="8">
        <v>1</v>
      </c>
      <c r="FD35" s="8">
        <v>1</v>
      </c>
      <c r="FE35" s="38"/>
      <c r="FF35" s="8">
        <v>1</v>
      </c>
      <c r="FG35" s="41"/>
      <c r="FH35" s="41"/>
      <c r="FI35" s="8">
        <v>1</v>
      </c>
      <c r="FJ35" s="8">
        <v>1</v>
      </c>
      <c r="FK35" s="8">
        <v>1</v>
      </c>
      <c r="FL35" s="8">
        <v>1</v>
      </c>
      <c r="FM35" s="8">
        <v>1</v>
      </c>
      <c r="FN35" s="41"/>
      <c r="FO35" s="41"/>
      <c r="FP35" s="8">
        <v>1</v>
      </c>
      <c r="FQ35" s="8">
        <v>1</v>
      </c>
      <c r="FR35" s="8">
        <v>1</v>
      </c>
      <c r="FS35" s="8">
        <v>1</v>
      </c>
      <c r="FT35" s="8">
        <v>1</v>
      </c>
      <c r="FU35" s="41"/>
      <c r="FV35" s="41"/>
      <c r="FW35" s="8">
        <v>1</v>
      </c>
      <c r="FX35" s="8">
        <v>1</v>
      </c>
      <c r="FY35" s="8">
        <v>1</v>
      </c>
      <c r="FZ35" s="38"/>
      <c r="GA35" s="8">
        <v>1</v>
      </c>
      <c r="GB35" s="41"/>
      <c r="GC35" s="41"/>
      <c r="GD35" s="8">
        <v>1</v>
      </c>
      <c r="GE35" s="8">
        <v>1</v>
      </c>
      <c r="GF35" s="8">
        <v>1</v>
      </c>
      <c r="GG35" s="8">
        <v>1</v>
      </c>
      <c r="GH35" s="8">
        <v>1</v>
      </c>
      <c r="GI35" s="41"/>
      <c r="GJ35" s="41"/>
      <c r="GK35" s="38"/>
      <c r="GL35" s="8">
        <v>1</v>
      </c>
      <c r="GM35" s="8">
        <v>1</v>
      </c>
      <c r="GN35" s="8">
        <v>1</v>
      </c>
      <c r="GO35" s="8">
        <v>1</v>
      </c>
      <c r="GP35" s="41"/>
      <c r="GQ35" s="41"/>
      <c r="GR35" s="8">
        <v>1</v>
      </c>
      <c r="GS35" s="8">
        <v>1</v>
      </c>
      <c r="GT35" s="8">
        <v>1</v>
      </c>
      <c r="GU35" s="8">
        <v>1</v>
      </c>
      <c r="GV35" s="8">
        <v>1</v>
      </c>
      <c r="GW35" s="41"/>
      <c r="GX35" s="41"/>
      <c r="GY35" s="8">
        <v>1</v>
      </c>
      <c r="GZ35" s="8">
        <v>1</v>
      </c>
      <c r="HA35" s="8">
        <v>1</v>
      </c>
      <c r="HB35" s="8">
        <v>1</v>
      </c>
      <c r="HC35" s="8">
        <v>1</v>
      </c>
      <c r="HD35" s="41"/>
      <c r="HE35" s="41"/>
      <c r="HF35" s="8">
        <v>1</v>
      </c>
      <c r="HG35" s="8">
        <v>1</v>
      </c>
      <c r="HH35" s="8">
        <v>1</v>
      </c>
      <c r="HI35" s="8">
        <v>1</v>
      </c>
      <c r="HJ35" s="8">
        <v>1</v>
      </c>
      <c r="HK35" s="41"/>
      <c r="HL35" s="41"/>
      <c r="HM35" s="8">
        <v>1</v>
      </c>
      <c r="HN35" s="8">
        <v>1</v>
      </c>
      <c r="HO35" s="8">
        <v>1</v>
      </c>
      <c r="HP35" s="8">
        <v>1</v>
      </c>
      <c r="HQ35" s="8">
        <v>1</v>
      </c>
      <c r="HR35" s="41"/>
      <c r="HS35" s="41"/>
      <c r="HT35" s="38"/>
      <c r="HU35" s="8">
        <v>1</v>
      </c>
      <c r="HV35" s="8">
        <v>1</v>
      </c>
      <c r="HW35" s="8">
        <v>1</v>
      </c>
      <c r="HX35" s="8">
        <v>1</v>
      </c>
      <c r="HY35" s="41"/>
      <c r="HZ35" s="41"/>
      <c r="IA35" s="8">
        <v>1</v>
      </c>
      <c r="IB35" s="8">
        <v>1</v>
      </c>
      <c r="IC35" s="8">
        <v>1</v>
      </c>
      <c r="ID35" s="8">
        <v>1</v>
      </c>
      <c r="IE35" s="8">
        <v>1</v>
      </c>
      <c r="IF35" s="41"/>
      <c r="IG35" s="41"/>
      <c r="IH35" s="8">
        <v>1</v>
      </c>
      <c r="II35" s="8">
        <v>1</v>
      </c>
      <c r="IJ35" s="8">
        <v>1</v>
      </c>
      <c r="IK35" s="8">
        <v>1</v>
      </c>
      <c r="IL35" s="8">
        <v>1</v>
      </c>
      <c r="IM35" s="41"/>
      <c r="IN35" s="41"/>
      <c r="IO35" s="8">
        <v>1</v>
      </c>
      <c r="IP35" s="8">
        <v>1</v>
      </c>
      <c r="IQ35" s="8">
        <v>1</v>
      </c>
      <c r="IR35" s="8">
        <v>1</v>
      </c>
      <c r="IS35" s="8">
        <v>1</v>
      </c>
      <c r="IT35" s="41"/>
      <c r="IU35" s="41"/>
      <c r="IV35" s="8">
        <v>1</v>
      </c>
      <c r="IW35" s="8">
        <v>1</v>
      </c>
      <c r="IX35" s="8">
        <v>1</v>
      </c>
      <c r="IY35" s="8">
        <v>1</v>
      </c>
      <c r="IZ35" s="38"/>
      <c r="JA35" s="41"/>
      <c r="JB35" s="41"/>
      <c r="JC35" s="8">
        <v>1</v>
      </c>
      <c r="JD35" s="8">
        <v>1</v>
      </c>
      <c r="JE35" s="8">
        <v>1</v>
      </c>
      <c r="JF35" s="8">
        <v>1</v>
      </c>
      <c r="JG35" s="8">
        <v>1</v>
      </c>
      <c r="JH35" s="41"/>
      <c r="JI35" s="41"/>
      <c r="JJ35" s="8">
        <v>1</v>
      </c>
      <c r="JK35" s="8">
        <v>1</v>
      </c>
      <c r="JL35" s="8">
        <v>1</v>
      </c>
      <c r="JM35" s="8">
        <v>1</v>
      </c>
      <c r="JN35" s="8">
        <v>1</v>
      </c>
      <c r="JO35" s="41"/>
      <c r="JP35" s="41"/>
      <c r="JQ35" s="8">
        <v>1</v>
      </c>
      <c r="JR35" s="8">
        <v>1</v>
      </c>
      <c r="JS35" s="8">
        <v>1</v>
      </c>
      <c r="JT35" s="8">
        <v>1</v>
      </c>
      <c r="JU35" s="8">
        <v>1</v>
      </c>
      <c r="JV35" s="41"/>
      <c r="JW35" s="41"/>
      <c r="JX35" s="8">
        <v>1</v>
      </c>
      <c r="JY35" s="8">
        <v>1</v>
      </c>
      <c r="JZ35" s="8">
        <v>1</v>
      </c>
      <c r="KA35" s="8">
        <v>1</v>
      </c>
      <c r="KB35" s="8">
        <v>1</v>
      </c>
      <c r="KC35" s="41"/>
      <c r="KD35" s="41"/>
      <c r="KE35" s="8">
        <v>1</v>
      </c>
      <c r="KF35" s="8">
        <v>1</v>
      </c>
      <c r="KG35" s="8">
        <v>1</v>
      </c>
      <c r="KH35" s="8">
        <v>1</v>
      </c>
      <c r="KI35" s="8">
        <v>1</v>
      </c>
      <c r="KJ35" s="41"/>
      <c r="KK35" s="41"/>
      <c r="KL35" s="8">
        <v>1</v>
      </c>
      <c r="KM35" s="8">
        <v>1</v>
      </c>
      <c r="KN35" s="8">
        <v>1</v>
      </c>
      <c r="KO35" s="8">
        <v>1</v>
      </c>
      <c r="KP35" s="8">
        <v>1</v>
      </c>
      <c r="KQ35" s="41"/>
      <c r="KR35" s="41"/>
      <c r="KS35" s="8">
        <v>1</v>
      </c>
      <c r="KT35" s="8">
        <v>1</v>
      </c>
      <c r="KU35" s="8">
        <v>1</v>
      </c>
      <c r="KV35" s="8">
        <v>1</v>
      </c>
      <c r="KW35" s="8">
        <v>1</v>
      </c>
      <c r="KX35" s="41"/>
      <c r="KY35" s="41"/>
      <c r="KZ35" s="8">
        <v>1</v>
      </c>
      <c r="LA35" s="8">
        <v>1</v>
      </c>
      <c r="LB35" s="8">
        <v>1</v>
      </c>
      <c r="LC35" s="8">
        <v>1</v>
      </c>
      <c r="LD35" s="8">
        <v>1</v>
      </c>
      <c r="LE35" s="41"/>
      <c r="LF35" s="41"/>
      <c r="LG35" s="8">
        <v>1</v>
      </c>
      <c r="LH35" s="8">
        <v>1</v>
      </c>
      <c r="LI35" s="8">
        <v>1</v>
      </c>
      <c r="LJ35" s="8">
        <v>1</v>
      </c>
      <c r="LK35" s="8">
        <v>1</v>
      </c>
      <c r="LL35" s="41"/>
      <c r="LM35" s="41"/>
      <c r="LN35" s="8">
        <v>1</v>
      </c>
      <c r="LO35" s="8">
        <v>1</v>
      </c>
      <c r="LP35" s="8">
        <v>1</v>
      </c>
      <c r="LQ35" s="8">
        <v>1</v>
      </c>
      <c r="LR35" s="8">
        <v>1</v>
      </c>
      <c r="LS35" s="41"/>
      <c r="LT35" s="41"/>
      <c r="LU35" s="8">
        <v>1</v>
      </c>
      <c r="LV35" s="8">
        <v>1</v>
      </c>
      <c r="LW35" s="8">
        <v>1</v>
      </c>
      <c r="LX35" s="8">
        <v>1</v>
      </c>
      <c r="LY35" s="8">
        <v>1</v>
      </c>
      <c r="LZ35" s="41"/>
      <c r="MA35" s="41"/>
      <c r="MB35" s="8">
        <v>1</v>
      </c>
      <c r="MC35" s="8">
        <v>1</v>
      </c>
      <c r="MD35" s="8">
        <v>1</v>
      </c>
      <c r="ME35" s="8">
        <v>1</v>
      </c>
      <c r="MF35" s="8">
        <v>1</v>
      </c>
      <c r="MG35" s="41"/>
      <c r="MH35" s="41"/>
      <c r="MI35" s="8">
        <v>1</v>
      </c>
      <c r="MJ35" s="8">
        <v>1</v>
      </c>
      <c r="MK35" s="8">
        <v>1</v>
      </c>
      <c r="ML35" s="8">
        <v>1</v>
      </c>
      <c r="MM35" s="8">
        <v>1</v>
      </c>
      <c r="MN35" s="41"/>
      <c r="MO35" s="41"/>
      <c r="MP35" s="8">
        <v>1</v>
      </c>
      <c r="MQ35" s="8">
        <v>1</v>
      </c>
      <c r="MR35" s="8">
        <v>1</v>
      </c>
      <c r="MS35" s="8">
        <v>1</v>
      </c>
      <c r="MT35" s="8">
        <v>1</v>
      </c>
      <c r="MU35" s="41"/>
      <c r="MV35" s="41"/>
      <c r="MW35" s="8">
        <v>1</v>
      </c>
      <c r="MX35" s="8">
        <v>1</v>
      </c>
      <c r="MY35" s="8">
        <v>1</v>
      </c>
      <c r="MZ35" s="8">
        <v>1</v>
      </c>
      <c r="NA35" s="8">
        <v>1</v>
      </c>
      <c r="NB35" s="41"/>
      <c r="NC35" s="41"/>
      <c r="ND35" s="8">
        <v>1</v>
      </c>
      <c r="NE35" s="8">
        <v>1</v>
      </c>
      <c r="NF35" s="8">
        <v>1</v>
      </c>
      <c r="NG35" s="8">
        <v>1</v>
      </c>
      <c r="NH35" s="8">
        <v>1</v>
      </c>
      <c r="NI35" s="41"/>
      <c r="NJ35" s="41"/>
      <c r="NK35" s="8">
        <v>1</v>
      </c>
      <c r="NL35" s="8">
        <v>1</v>
      </c>
      <c r="NM35" s="8">
        <v>1</v>
      </c>
      <c r="NN35" s="8">
        <v>1</v>
      </c>
      <c r="NO35" s="8">
        <v>1</v>
      </c>
      <c r="NP35" s="40"/>
      <c r="NQ35" s="40"/>
      <c r="NR35" s="8">
        <v>1</v>
      </c>
      <c r="NS35" s="8">
        <v>1</v>
      </c>
      <c r="NT35" s="8">
        <v>1</v>
      </c>
      <c r="NU35" s="8">
        <v>1</v>
      </c>
      <c r="NV35" s="8">
        <v>1</v>
      </c>
      <c r="NW35" s="40"/>
      <c r="NX35" s="40"/>
      <c r="NY35" s="8">
        <v>1</v>
      </c>
      <c r="NZ35" s="8">
        <v>1</v>
      </c>
      <c r="OA35" s="8">
        <v>1</v>
      </c>
      <c r="OB35" s="8"/>
      <c r="OC35" s="8">
        <v>1</v>
      </c>
      <c r="OD35" s="41"/>
      <c r="OE35" s="41"/>
      <c r="OF35" s="8">
        <v>1</v>
      </c>
      <c r="OG35" s="8">
        <v>1</v>
      </c>
      <c r="OH35" s="8">
        <v>1</v>
      </c>
      <c r="OI35" s="47"/>
    </row>
    <row r="36" spans="1:451" s="31" customFormat="1" ht="21" x14ac:dyDescent="0.3">
      <c r="A36" s="61" t="s">
        <v>529</v>
      </c>
      <c r="B36" s="62" t="s">
        <v>434</v>
      </c>
      <c r="C36" s="45"/>
      <c r="D36" s="8">
        <v>1</v>
      </c>
      <c r="E36" s="8">
        <v>1</v>
      </c>
      <c r="F36" s="8">
        <v>1</v>
      </c>
      <c r="G36" s="8">
        <v>1</v>
      </c>
      <c r="H36" s="8">
        <v>1</v>
      </c>
      <c r="I36" s="46"/>
      <c r="J36" s="46"/>
      <c r="K36" s="8">
        <v>1</v>
      </c>
      <c r="L36" s="8">
        <v>1</v>
      </c>
      <c r="M36" s="8">
        <v>0</v>
      </c>
      <c r="N36" s="8">
        <v>1</v>
      </c>
      <c r="O36" s="8">
        <v>1</v>
      </c>
      <c r="P36" s="46"/>
      <c r="Q36" s="46"/>
      <c r="R36" s="8">
        <v>1</v>
      </c>
      <c r="S36" s="8">
        <v>1</v>
      </c>
      <c r="T36" s="8">
        <v>0</v>
      </c>
      <c r="U36" s="8">
        <v>0</v>
      </c>
      <c r="V36" s="8">
        <v>1</v>
      </c>
      <c r="W36" s="46"/>
      <c r="X36" s="46"/>
      <c r="Y36" s="8">
        <v>0</v>
      </c>
      <c r="Z36" s="8">
        <v>0</v>
      </c>
      <c r="AA36" s="8"/>
      <c r="AB36" s="8">
        <v>1</v>
      </c>
      <c r="AC36" s="8">
        <v>1</v>
      </c>
      <c r="AD36" s="46"/>
      <c r="AE36" s="46"/>
      <c r="AF36" s="8">
        <v>0</v>
      </c>
      <c r="AG36" s="8">
        <v>0</v>
      </c>
      <c r="AH36" s="38"/>
      <c r="AI36" s="8">
        <v>1</v>
      </c>
      <c r="AJ36" s="8">
        <v>1</v>
      </c>
      <c r="AK36" s="8"/>
      <c r="AL36" s="8"/>
      <c r="AM36" s="109">
        <v>1</v>
      </c>
      <c r="AN36" s="109">
        <v>1</v>
      </c>
      <c r="AO36" s="8">
        <v>1</v>
      </c>
      <c r="AP36" s="8">
        <v>1</v>
      </c>
      <c r="AQ36" s="8">
        <v>1</v>
      </c>
      <c r="AR36" s="39"/>
      <c r="AS36" s="39"/>
      <c r="AT36" s="8">
        <v>1</v>
      </c>
      <c r="AU36" s="8">
        <v>1</v>
      </c>
      <c r="AV36" s="8">
        <v>1</v>
      </c>
      <c r="AW36" s="8">
        <v>1</v>
      </c>
      <c r="AX36" s="8">
        <v>1</v>
      </c>
      <c r="AY36" s="39"/>
      <c r="AZ36" s="39"/>
      <c r="BA36" s="39">
        <v>1</v>
      </c>
      <c r="BB36" s="39">
        <v>1</v>
      </c>
      <c r="BC36" s="39">
        <v>1</v>
      </c>
      <c r="BD36" s="39">
        <v>1</v>
      </c>
      <c r="BE36" s="39">
        <v>1</v>
      </c>
      <c r="BF36" s="39"/>
      <c r="BG36" s="39"/>
      <c r="BH36" s="39">
        <v>1</v>
      </c>
      <c r="BI36" s="39">
        <v>1</v>
      </c>
      <c r="BJ36" s="39">
        <v>1</v>
      </c>
      <c r="BK36" s="39">
        <v>1</v>
      </c>
      <c r="BL36" s="39">
        <v>1</v>
      </c>
      <c r="BM36" s="40"/>
      <c r="BN36" s="40"/>
      <c r="BO36" s="8">
        <v>1</v>
      </c>
      <c r="BP36" s="8">
        <v>1</v>
      </c>
      <c r="BQ36" s="8">
        <v>1</v>
      </c>
      <c r="BR36" s="8">
        <v>1</v>
      </c>
      <c r="BS36" s="8">
        <v>1</v>
      </c>
      <c r="BT36" s="40"/>
      <c r="BU36" s="40"/>
      <c r="BV36" s="8">
        <v>1</v>
      </c>
      <c r="BW36" s="8">
        <v>1</v>
      </c>
      <c r="BX36" s="8">
        <v>1</v>
      </c>
      <c r="BY36" s="8">
        <v>1</v>
      </c>
      <c r="BZ36" s="8">
        <v>1</v>
      </c>
      <c r="CA36" s="40"/>
      <c r="CB36" s="40"/>
      <c r="CC36" s="8">
        <v>1</v>
      </c>
      <c r="CD36" s="8">
        <v>1</v>
      </c>
      <c r="CE36" s="8">
        <v>1</v>
      </c>
      <c r="CF36" s="8">
        <v>1</v>
      </c>
      <c r="CG36" s="8">
        <v>1</v>
      </c>
      <c r="CH36" s="40"/>
      <c r="CI36" s="40"/>
      <c r="CJ36" s="8">
        <v>0</v>
      </c>
      <c r="CK36" s="8">
        <v>0</v>
      </c>
      <c r="CL36" s="8">
        <v>0</v>
      </c>
      <c r="CM36" s="8">
        <v>0</v>
      </c>
      <c r="CN36" s="8">
        <v>0</v>
      </c>
      <c r="CO36" s="40"/>
      <c r="CP36" s="40"/>
      <c r="CQ36" s="8">
        <v>1</v>
      </c>
      <c r="CR36" s="8">
        <v>1</v>
      </c>
      <c r="CS36" s="8">
        <v>1</v>
      </c>
      <c r="CT36" s="8">
        <v>1</v>
      </c>
      <c r="CU36" s="8">
        <v>1</v>
      </c>
      <c r="CV36" s="40"/>
      <c r="CW36" s="40"/>
      <c r="CX36" s="8">
        <v>1</v>
      </c>
      <c r="CY36" s="8">
        <v>1</v>
      </c>
      <c r="CZ36" s="8">
        <v>1</v>
      </c>
      <c r="DA36" s="8">
        <v>1</v>
      </c>
      <c r="DB36" s="8">
        <v>1</v>
      </c>
      <c r="DC36" s="40"/>
      <c r="DD36" s="40"/>
      <c r="DE36" s="8">
        <v>1</v>
      </c>
      <c r="DF36" s="8">
        <v>1</v>
      </c>
      <c r="DG36" s="8">
        <v>1</v>
      </c>
      <c r="DH36" s="8">
        <v>1</v>
      </c>
      <c r="DI36" s="8">
        <v>1</v>
      </c>
      <c r="DJ36" s="40"/>
      <c r="DK36" s="40"/>
      <c r="DL36" s="8">
        <v>1</v>
      </c>
      <c r="DM36" s="8">
        <v>1</v>
      </c>
      <c r="DN36" s="8">
        <v>1</v>
      </c>
      <c r="DO36" s="8">
        <v>1</v>
      </c>
      <c r="DP36" s="8">
        <v>1</v>
      </c>
      <c r="DQ36" s="41"/>
      <c r="DR36" s="41"/>
      <c r="DS36" s="8">
        <v>1</v>
      </c>
      <c r="DT36" s="8">
        <v>1</v>
      </c>
      <c r="DU36" s="8">
        <v>1</v>
      </c>
      <c r="DV36" s="8">
        <v>1</v>
      </c>
      <c r="DW36" s="8">
        <v>1</v>
      </c>
      <c r="DX36" s="41"/>
      <c r="DY36" s="41"/>
      <c r="DZ36" s="8">
        <v>1</v>
      </c>
      <c r="EA36" s="8">
        <v>1</v>
      </c>
      <c r="EB36" s="8">
        <v>1</v>
      </c>
      <c r="EC36" s="8">
        <v>1</v>
      </c>
      <c r="ED36" s="8">
        <v>1</v>
      </c>
      <c r="EE36" s="41"/>
      <c r="EF36" s="41"/>
      <c r="EG36" s="8">
        <v>1</v>
      </c>
      <c r="EH36" s="8">
        <v>1</v>
      </c>
      <c r="EI36" s="8">
        <v>1</v>
      </c>
      <c r="EJ36" s="8">
        <v>1</v>
      </c>
      <c r="EK36" s="8">
        <v>1</v>
      </c>
      <c r="EL36" s="41"/>
      <c r="EM36" s="41"/>
      <c r="EN36" s="38"/>
      <c r="EO36" s="8">
        <v>1</v>
      </c>
      <c r="EP36" s="8">
        <v>1</v>
      </c>
      <c r="EQ36" s="8">
        <v>1</v>
      </c>
      <c r="ER36" s="8">
        <v>1</v>
      </c>
      <c r="ES36" s="41"/>
      <c r="ET36" s="41"/>
      <c r="EU36" s="8">
        <v>1</v>
      </c>
      <c r="EV36" s="8">
        <v>1</v>
      </c>
      <c r="EW36" s="8">
        <v>1</v>
      </c>
      <c r="EX36" s="38"/>
      <c r="EY36" s="8">
        <v>1</v>
      </c>
      <c r="EZ36" s="41"/>
      <c r="FA36" s="41"/>
      <c r="FB36" s="8">
        <v>1</v>
      </c>
      <c r="FC36" s="8">
        <v>1</v>
      </c>
      <c r="FD36" s="8">
        <v>1</v>
      </c>
      <c r="FE36" s="38"/>
      <c r="FF36" s="8">
        <v>1</v>
      </c>
      <c r="FG36" s="41"/>
      <c r="FH36" s="41"/>
      <c r="FI36" s="8">
        <v>1</v>
      </c>
      <c r="FJ36" s="8">
        <v>1</v>
      </c>
      <c r="FK36" s="8">
        <v>1</v>
      </c>
      <c r="FL36" s="8">
        <v>1</v>
      </c>
      <c r="FM36" s="8">
        <v>1</v>
      </c>
      <c r="FN36" s="41"/>
      <c r="FO36" s="41"/>
      <c r="FP36" s="8">
        <v>1</v>
      </c>
      <c r="FQ36" s="8">
        <v>1</v>
      </c>
      <c r="FR36" s="8">
        <v>1</v>
      </c>
      <c r="FS36" s="8">
        <v>1</v>
      </c>
      <c r="FT36" s="8">
        <v>1</v>
      </c>
      <c r="FU36" s="41"/>
      <c r="FV36" s="41"/>
      <c r="FW36" s="8">
        <v>1</v>
      </c>
      <c r="FX36" s="8">
        <v>1</v>
      </c>
      <c r="FY36" s="8">
        <v>1</v>
      </c>
      <c r="FZ36" s="38"/>
      <c r="GA36" s="8">
        <v>1</v>
      </c>
      <c r="GB36" s="41"/>
      <c r="GC36" s="41"/>
      <c r="GD36" s="8">
        <v>1</v>
      </c>
      <c r="GE36" s="8">
        <v>1</v>
      </c>
      <c r="GF36" s="8">
        <v>1</v>
      </c>
      <c r="GG36" s="8">
        <v>1</v>
      </c>
      <c r="GH36" s="8">
        <v>1</v>
      </c>
      <c r="GI36" s="41"/>
      <c r="GJ36" s="41"/>
      <c r="GK36" s="38"/>
      <c r="GL36" s="8">
        <v>1</v>
      </c>
      <c r="GM36" s="8">
        <v>1</v>
      </c>
      <c r="GN36" s="8">
        <v>1</v>
      </c>
      <c r="GO36" s="8">
        <v>1</v>
      </c>
      <c r="GP36" s="41"/>
      <c r="GQ36" s="41"/>
      <c r="GR36" s="8">
        <v>1</v>
      </c>
      <c r="GS36" s="8">
        <v>1</v>
      </c>
      <c r="GT36" s="8">
        <v>1</v>
      </c>
      <c r="GU36" s="8">
        <v>1</v>
      </c>
      <c r="GV36" s="8">
        <v>1</v>
      </c>
      <c r="GW36" s="41"/>
      <c r="GX36" s="41"/>
      <c r="GY36" s="8">
        <v>1</v>
      </c>
      <c r="GZ36" s="8">
        <v>1</v>
      </c>
      <c r="HA36" s="8">
        <v>1</v>
      </c>
      <c r="HB36" s="8">
        <v>1</v>
      </c>
      <c r="HC36" s="8">
        <v>1</v>
      </c>
      <c r="HD36" s="41"/>
      <c r="HE36" s="41"/>
      <c r="HF36" s="8">
        <v>1</v>
      </c>
      <c r="HG36" s="8">
        <v>1</v>
      </c>
      <c r="HH36" s="8">
        <v>1</v>
      </c>
      <c r="HI36" s="8">
        <v>1</v>
      </c>
      <c r="HJ36" s="8">
        <v>1</v>
      </c>
      <c r="HK36" s="41"/>
      <c r="HL36" s="41"/>
      <c r="HM36" s="8">
        <v>1</v>
      </c>
      <c r="HN36" s="8">
        <v>1</v>
      </c>
      <c r="HO36" s="8">
        <v>1</v>
      </c>
      <c r="HP36" s="8">
        <v>1</v>
      </c>
      <c r="HQ36" s="8">
        <v>1</v>
      </c>
      <c r="HR36" s="41"/>
      <c r="HS36" s="41"/>
      <c r="HT36" s="38"/>
      <c r="HU36" s="8">
        <v>1</v>
      </c>
      <c r="HV36" s="8">
        <v>1</v>
      </c>
      <c r="HW36" s="8">
        <v>1</v>
      </c>
      <c r="HX36" s="8">
        <v>1</v>
      </c>
      <c r="HY36" s="41"/>
      <c r="HZ36" s="41"/>
      <c r="IA36" s="8">
        <v>1</v>
      </c>
      <c r="IB36" s="8">
        <v>1</v>
      </c>
      <c r="IC36" s="8">
        <v>1</v>
      </c>
      <c r="ID36" s="8">
        <v>1</v>
      </c>
      <c r="IE36" s="8">
        <v>1</v>
      </c>
      <c r="IF36" s="41"/>
      <c r="IG36" s="41"/>
      <c r="IH36" s="8">
        <v>1</v>
      </c>
      <c r="II36" s="8">
        <v>1</v>
      </c>
      <c r="IJ36" s="8">
        <v>1</v>
      </c>
      <c r="IK36" s="8">
        <v>1</v>
      </c>
      <c r="IL36" s="8">
        <v>1</v>
      </c>
      <c r="IM36" s="41"/>
      <c r="IN36" s="41"/>
      <c r="IO36" s="8">
        <v>1</v>
      </c>
      <c r="IP36" s="8">
        <v>1</v>
      </c>
      <c r="IQ36" s="8">
        <v>1</v>
      </c>
      <c r="IR36" s="8">
        <v>1</v>
      </c>
      <c r="IS36" s="8">
        <v>1</v>
      </c>
      <c r="IT36" s="41"/>
      <c r="IU36" s="41"/>
      <c r="IV36" s="8">
        <v>1</v>
      </c>
      <c r="IW36" s="8">
        <v>1</v>
      </c>
      <c r="IX36" s="8">
        <v>1</v>
      </c>
      <c r="IY36" s="8">
        <v>1</v>
      </c>
      <c r="IZ36" s="38"/>
      <c r="JA36" s="41"/>
      <c r="JB36" s="41"/>
      <c r="JC36" s="8">
        <v>1</v>
      </c>
      <c r="JD36" s="8">
        <v>1</v>
      </c>
      <c r="JE36" s="8">
        <v>1</v>
      </c>
      <c r="JF36" s="8">
        <v>1</v>
      </c>
      <c r="JG36" s="8">
        <v>1</v>
      </c>
      <c r="JH36" s="41"/>
      <c r="JI36" s="41"/>
      <c r="JJ36" s="8">
        <v>1</v>
      </c>
      <c r="JK36" s="8">
        <v>1</v>
      </c>
      <c r="JL36" s="8">
        <v>1</v>
      </c>
      <c r="JM36" s="8">
        <v>1</v>
      </c>
      <c r="JN36" s="8">
        <v>1</v>
      </c>
      <c r="JO36" s="41"/>
      <c r="JP36" s="41"/>
      <c r="JQ36" s="8">
        <v>1</v>
      </c>
      <c r="JR36" s="8">
        <v>1</v>
      </c>
      <c r="JS36" s="8">
        <v>1</v>
      </c>
      <c r="JT36" s="8">
        <v>1</v>
      </c>
      <c r="JU36" s="8">
        <v>1</v>
      </c>
      <c r="JV36" s="41"/>
      <c r="JW36" s="41"/>
      <c r="JX36" s="8">
        <v>1</v>
      </c>
      <c r="JY36" s="8">
        <v>1</v>
      </c>
      <c r="JZ36" s="8">
        <v>1</v>
      </c>
      <c r="KA36" s="8">
        <v>1</v>
      </c>
      <c r="KB36" s="8">
        <v>1</v>
      </c>
      <c r="KC36" s="41"/>
      <c r="KD36" s="41"/>
      <c r="KE36" s="8">
        <v>1</v>
      </c>
      <c r="KF36" s="8">
        <v>1</v>
      </c>
      <c r="KG36" s="8">
        <v>1</v>
      </c>
      <c r="KH36" s="8">
        <v>1</v>
      </c>
      <c r="KI36" s="8">
        <v>1</v>
      </c>
      <c r="KJ36" s="41"/>
      <c r="KK36" s="41"/>
      <c r="KL36" s="8">
        <v>1</v>
      </c>
      <c r="KM36" s="8">
        <v>1</v>
      </c>
      <c r="KN36" s="8">
        <v>1</v>
      </c>
      <c r="KO36" s="8">
        <v>1</v>
      </c>
      <c r="KP36" s="8">
        <v>1</v>
      </c>
      <c r="KQ36" s="41"/>
      <c r="KR36" s="41"/>
      <c r="KS36" s="8">
        <v>1</v>
      </c>
      <c r="KT36" s="8">
        <v>1</v>
      </c>
      <c r="KU36" s="8">
        <v>1</v>
      </c>
      <c r="KV36" s="8">
        <v>1</v>
      </c>
      <c r="KW36" s="8">
        <v>1</v>
      </c>
      <c r="KX36" s="41"/>
      <c r="KY36" s="41"/>
      <c r="KZ36" s="8">
        <v>1</v>
      </c>
      <c r="LA36" s="8">
        <v>1</v>
      </c>
      <c r="LB36" s="8">
        <v>1</v>
      </c>
      <c r="LC36" s="8">
        <v>1</v>
      </c>
      <c r="LD36" s="8">
        <v>1</v>
      </c>
      <c r="LE36" s="41"/>
      <c r="LF36" s="41"/>
      <c r="LG36" s="8">
        <v>1</v>
      </c>
      <c r="LH36" s="8">
        <v>1</v>
      </c>
      <c r="LI36" s="8">
        <v>1</v>
      </c>
      <c r="LJ36" s="8">
        <v>1</v>
      </c>
      <c r="LK36" s="8">
        <v>1</v>
      </c>
      <c r="LL36" s="41"/>
      <c r="LM36" s="41"/>
      <c r="LN36" s="8">
        <v>1</v>
      </c>
      <c r="LO36" s="8">
        <v>1</v>
      </c>
      <c r="LP36" s="8">
        <v>1</v>
      </c>
      <c r="LQ36" s="8">
        <v>1</v>
      </c>
      <c r="LR36" s="8">
        <v>1</v>
      </c>
      <c r="LS36" s="41"/>
      <c r="LT36" s="41"/>
      <c r="LU36" s="8">
        <v>1</v>
      </c>
      <c r="LV36" s="8">
        <v>1</v>
      </c>
      <c r="LW36" s="8">
        <v>1</v>
      </c>
      <c r="LX36" s="8">
        <v>1</v>
      </c>
      <c r="LY36" s="8">
        <v>1</v>
      </c>
      <c r="LZ36" s="41"/>
      <c r="MA36" s="41"/>
      <c r="MB36" s="8">
        <v>1</v>
      </c>
      <c r="MC36" s="8">
        <v>1</v>
      </c>
      <c r="MD36" s="8">
        <v>1</v>
      </c>
      <c r="ME36" s="8">
        <v>1</v>
      </c>
      <c r="MF36" s="8">
        <v>1</v>
      </c>
      <c r="MG36" s="41"/>
      <c r="MH36" s="41"/>
      <c r="MI36" s="8">
        <v>1</v>
      </c>
      <c r="MJ36" s="8">
        <v>1</v>
      </c>
      <c r="MK36" s="8">
        <v>1</v>
      </c>
      <c r="ML36" s="8">
        <v>1</v>
      </c>
      <c r="MM36" s="8">
        <v>1</v>
      </c>
      <c r="MN36" s="41"/>
      <c r="MO36" s="41"/>
      <c r="MP36" s="8">
        <v>1</v>
      </c>
      <c r="MQ36" s="8">
        <v>1</v>
      </c>
      <c r="MR36" s="8">
        <v>1</v>
      </c>
      <c r="MS36" s="8">
        <v>1</v>
      </c>
      <c r="MT36" s="8">
        <v>1</v>
      </c>
      <c r="MU36" s="41"/>
      <c r="MV36" s="41"/>
      <c r="MW36" s="8">
        <v>1</v>
      </c>
      <c r="MX36" s="8">
        <v>1</v>
      </c>
      <c r="MY36" s="8">
        <v>1</v>
      </c>
      <c r="MZ36" s="8">
        <v>1</v>
      </c>
      <c r="NA36" s="8">
        <v>1</v>
      </c>
      <c r="NB36" s="41"/>
      <c r="NC36" s="41"/>
      <c r="ND36" s="8">
        <v>1</v>
      </c>
      <c r="NE36" s="8">
        <v>1</v>
      </c>
      <c r="NF36" s="8">
        <v>1</v>
      </c>
      <c r="NG36" s="8">
        <v>1</v>
      </c>
      <c r="NH36" s="8">
        <v>1</v>
      </c>
      <c r="NI36" s="41"/>
      <c r="NJ36" s="41"/>
      <c r="NK36" s="8">
        <v>1</v>
      </c>
      <c r="NL36" s="8">
        <v>1</v>
      </c>
      <c r="NM36" s="8">
        <v>1</v>
      </c>
      <c r="NN36" s="8">
        <v>1</v>
      </c>
      <c r="NO36" s="8">
        <v>1</v>
      </c>
      <c r="NP36" s="40"/>
      <c r="NQ36" s="40"/>
      <c r="NR36" s="8">
        <v>1</v>
      </c>
      <c r="NS36" s="8">
        <v>1</v>
      </c>
      <c r="NT36" s="8">
        <v>1</v>
      </c>
      <c r="NU36" s="8">
        <v>1</v>
      </c>
      <c r="NV36" s="8">
        <v>1</v>
      </c>
      <c r="NW36" s="40"/>
      <c r="NX36" s="40"/>
      <c r="NY36" s="8">
        <v>1</v>
      </c>
      <c r="NZ36" s="8">
        <v>1</v>
      </c>
      <c r="OA36" s="8">
        <v>1</v>
      </c>
      <c r="OB36" s="8"/>
      <c r="OC36" s="8">
        <v>1</v>
      </c>
      <c r="OD36" s="41"/>
      <c r="OE36" s="41"/>
      <c r="OF36" s="8">
        <v>1</v>
      </c>
      <c r="OG36" s="8">
        <v>1</v>
      </c>
      <c r="OH36" s="8">
        <v>1</v>
      </c>
      <c r="OI36" s="47"/>
    </row>
    <row r="37" spans="1:451" s="31" customFormat="1" ht="21" x14ac:dyDescent="0.3">
      <c r="A37" s="61" t="s">
        <v>530</v>
      </c>
      <c r="B37" s="62" t="s">
        <v>435</v>
      </c>
      <c r="C37" s="45"/>
      <c r="D37" s="8">
        <v>1</v>
      </c>
      <c r="E37" s="8">
        <v>1</v>
      </c>
      <c r="F37" s="8">
        <v>1</v>
      </c>
      <c r="G37" s="8">
        <v>1</v>
      </c>
      <c r="H37" s="8">
        <v>1</v>
      </c>
      <c r="I37" s="46"/>
      <c r="J37" s="46"/>
      <c r="K37" s="8">
        <v>1</v>
      </c>
      <c r="L37" s="8">
        <v>1</v>
      </c>
      <c r="M37" s="8">
        <v>1</v>
      </c>
      <c r="N37" s="8">
        <v>1</v>
      </c>
      <c r="O37" s="8">
        <v>1</v>
      </c>
      <c r="P37" s="46"/>
      <c r="Q37" s="46"/>
      <c r="R37" s="8">
        <v>1</v>
      </c>
      <c r="S37" s="8">
        <v>1</v>
      </c>
      <c r="T37" s="8">
        <v>1</v>
      </c>
      <c r="U37" s="8">
        <v>1</v>
      </c>
      <c r="V37" s="8">
        <v>1</v>
      </c>
      <c r="W37" s="46"/>
      <c r="X37" s="46"/>
      <c r="Y37" s="8">
        <v>1</v>
      </c>
      <c r="Z37" s="8">
        <v>1</v>
      </c>
      <c r="AA37" s="8"/>
      <c r="AB37" s="8">
        <v>1</v>
      </c>
      <c r="AC37" s="8">
        <v>1</v>
      </c>
      <c r="AD37" s="46"/>
      <c r="AE37" s="46"/>
      <c r="AF37" s="8">
        <v>1</v>
      </c>
      <c r="AG37" s="8">
        <v>1</v>
      </c>
      <c r="AH37" s="38"/>
      <c r="AI37" s="8">
        <v>1</v>
      </c>
      <c r="AJ37" s="8">
        <v>1</v>
      </c>
      <c r="AK37" s="8"/>
      <c r="AL37" s="8"/>
      <c r="AM37" s="109">
        <v>1</v>
      </c>
      <c r="AN37" s="109">
        <v>1</v>
      </c>
      <c r="AO37" s="8">
        <v>1</v>
      </c>
      <c r="AP37" s="8">
        <v>1</v>
      </c>
      <c r="AQ37" s="8">
        <v>1</v>
      </c>
      <c r="AR37" s="39"/>
      <c r="AS37" s="39"/>
      <c r="AT37" s="8">
        <v>1</v>
      </c>
      <c r="AU37" s="8">
        <v>1</v>
      </c>
      <c r="AV37" s="8">
        <v>1</v>
      </c>
      <c r="AW37" s="8">
        <v>1</v>
      </c>
      <c r="AX37" s="8">
        <v>1</v>
      </c>
      <c r="AY37" s="39"/>
      <c r="AZ37" s="39"/>
      <c r="BA37" s="39">
        <v>1</v>
      </c>
      <c r="BB37" s="39">
        <v>1</v>
      </c>
      <c r="BC37" s="39">
        <v>1</v>
      </c>
      <c r="BD37" s="39">
        <v>1</v>
      </c>
      <c r="BE37" s="39">
        <v>1</v>
      </c>
      <c r="BF37" s="39"/>
      <c r="BG37" s="39"/>
      <c r="BH37" s="39">
        <v>1</v>
      </c>
      <c r="BI37" s="39">
        <v>1</v>
      </c>
      <c r="BJ37" s="39">
        <v>1</v>
      </c>
      <c r="BK37" s="39">
        <v>1</v>
      </c>
      <c r="BL37" s="39">
        <v>1</v>
      </c>
      <c r="BM37" s="40"/>
      <c r="BN37" s="40"/>
      <c r="BO37" s="8">
        <v>1</v>
      </c>
      <c r="BP37" s="8">
        <v>1</v>
      </c>
      <c r="BQ37" s="8">
        <v>1</v>
      </c>
      <c r="BR37" s="8">
        <v>1</v>
      </c>
      <c r="BS37" s="8">
        <v>1</v>
      </c>
      <c r="BT37" s="40"/>
      <c r="BU37" s="40"/>
      <c r="BV37" s="8">
        <v>1</v>
      </c>
      <c r="BW37" s="8">
        <v>1</v>
      </c>
      <c r="BX37" s="8">
        <v>1</v>
      </c>
      <c r="BY37" s="8">
        <v>1</v>
      </c>
      <c r="BZ37" s="8">
        <v>1</v>
      </c>
      <c r="CA37" s="40"/>
      <c r="CB37" s="40"/>
      <c r="CC37" s="8">
        <v>1</v>
      </c>
      <c r="CD37" s="8">
        <v>1</v>
      </c>
      <c r="CE37" s="8">
        <v>1</v>
      </c>
      <c r="CF37" s="8">
        <v>1</v>
      </c>
      <c r="CG37" s="8">
        <v>1</v>
      </c>
      <c r="CH37" s="40"/>
      <c r="CI37" s="40"/>
      <c r="CJ37" s="8">
        <v>1</v>
      </c>
      <c r="CK37" s="8">
        <v>1</v>
      </c>
      <c r="CL37" s="8">
        <v>1</v>
      </c>
      <c r="CM37" s="8">
        <v>1</v>
      </c>
      <c r="CN37" s="8">
        <v>1</v>
      </c>
      <c r="CO37" s="40"/>
      <c r="CP37" s="40"/>
      <c r="CQ37" s="8">
        <v>1</v>
      </c>
      <c r="CR37" s="8">
        <v>1</v>
      </c>
      <c r="CS37" s="8">
        <v>1</v>
      </c>
      <c r="CT37" s="8">
        <v>1</v>
      </c>
      <c r="CU37" s="8">
        <v>1</v>
      </c>
      <c r="CV37" s="40"/>
      <c r="CW37" s="40"/>
      <c r="CX37" s="8">
        <v>1</v>
      </c>
      <c r="CY37" s="8">
        <v>1</v>
      </c>
      <c r="CZ37" s="8">
        <v>1</v>
      </c>
      <c r="DA37" s="8">
        <v>1</v>
      </c>
      <c r="DB37" s="8">
        <v>1</v>
      </c>
      <c r="DC37" s="40"/>
      <c r="DD37" s="40"/>
      <c r="DE37" s="8">
        <v>1</v>
      </c>
      <c r="DF37" s="8">
        <v>1</v>
      </c>
      <c r="DG37" s="8">
        <v>1</v>
      </c>
      <c r="DH37" s="8">
        <v>1</v>
      </c>
      <c r="DI37" s="8">
        <v>1</v>
      </c>
      <c r="DJ37" s="40"/>
      <c r="DK37" s="40"/>
      <c r="DL37" s="8">
        <v>1</v>
      </c>
      <c r="DM37" s="8">
        <v>1</v>
      </c>
      <c r="DN37" s="8">
        <v>1</v>
      </c>
      <c r="DO37" s="8">
        <v>1</v>
      </c>
      <c r="DP37" s="8">
        <v>1</v>
      </c>
      <c r="DQ37" s="41"/>
      <c r="DR37" s="41"/>
      <c r="DS37" s="8">
        <v>1</v>
      </c>
      <c r="DT37" s="8">
        <v>1</v>
      </c>
      <c r="DU37" s="8">
        <v>1</v>
      </c>
      <c r="DV37" s="8">
        <v>1</v>
      </c>
      <c r="DW37" s="8">
        <v>1</v>
      </c>
      <c r="DX37" s="41"/>
      <c r="DY37" s="41"/>
      <c r="DZ37" s="8">
        <v>1</v>
      </c>
      <c r="EA37" s="8">
        <v>1</v>
      </c>
      <c r="EB37" s="8">
        <v>1</v>
      </c>
      <c r="EC37" s="8">
        <v>1</v>
      </c>
      <c r="ED37" s="8">
        <v>1</v>
      </c>
      <c r="EE37" s="41"/>
      <c r="EF37" s="41"/>
      <c r="EG37" s="8">
        <v>1</v>
      </c>
      <c r="EH37" s="8">
        <v>1</v>
      </c>
      <c r="EI37" s="8">
        <v>1</v>
      </c>
      <c r="EJ37" s="8">
        <v>1</v>
      </c>
      <c r="EK37" s="8">
        <v>1</v>
      </c>
      <c r="EL37" s="41"/>
      <c r="EM37" s="41"/>
      <c r="EN37" s="38"/>
      <c r="EO37" s="8">
        <v>1</v>
      </c>
      <c r="EP37" s="8">
        <v>1</v>
      </c>
      <c r="EQ37" s="8">
        <v>1</v>
      </c>
      <c r="ER37" s="8">
        <v>1</v>
      </c>
      <c r="ES37" s="41"/>
      <c r="ET37" s="41"/>
      <c r="EU37" s="8">
        <v>1</v>
      </c>
      <c r="EV37" s="8">
        <v>1</v>
      </c>
      <c r="EW37" s="8">
        <v>1</v>
      </c>
      <c r="EX37" s="38"/>
      <c r="EY37" s="8">
        <v>1</v>
      </c>
      <c r="EZ37" s="41"/>
      <c r="FA37" s="41"/>
      <c r="FB37" s="8">
        <v>1</v>
      </c>
      <c r="FC37" s="8">
        <v>1</v>
      </c>
      <c r="FD37" s="8">
        <v>1</v>
      </c>
      <c r="FE37" s="38"/>
      <c r="FF37" s="8">
        <v>1</v>
      </c>
      <c r="FG37" s="41"/>
      <c r="FH37" s="41"/>
      <c r="FI37" s="8">
        <v>1</v>
      </c>
      <c r="FJ37" s="8">
        <v>1</v>
      </c>
      <c r="FK37" s="8">
        <v>1</v>
      </c>
      <c r="FL37" s="8">
        <v>1</v>
      </c>
      <c r="FM37" s="8">
        <v>1</v>
      </c>
      <c r="FN37" s="41"/>
      <c r="FO37" s="41"/>
      <c r="FP37" s="8">
        <v>1</v>
      </c>
      <c r="FQ37" s="8">
        <v>1</v>
      </c>
      <c r="FR37" s="8">
        <v>1</v>
      </c>
      <c r="FS37" s="8">
        <v>1</v>
      </c>
      <c r="FT37" s="8">
        <v>1</v>
      </c>
      <c r="FU37" s="41"/>
      <c r="FV37" s="41"/>
      <c r="FW37" s="8">
        <v>1</v>
      </c>
      <c r="FX37" s="8">
        <v>1</v>
      </c>
      <c r="FY37" s="8">
        <v>1</v>
      </c>
      <c r="FZ37" s="38"/>
      <c r="GA37" s="8">
        <v>1</v>
      </c>
      <c r="GB37" s="41"/>
      <c r="GC37" s="41"/>
      <c r="GD37" s="8">
        <v>1</v>
      </c>
      <c r="GE37" s="8">
        <v>1</v>
      </c>
      <c r="GF37" s="8">
        <v>1</v>
      </c>
      <c r="GG37" s="8">
        <v>1</v>
      </c>
      <c r="GH37" s="8">
        <v>1</v>
      </c>
      <c r="GI37" s="41"/>
      <c r="GJ37" s="41"/>
      <c r="GK37" s="38"/>
      <c r="GL37" s="8">
        <v>1</v>
      </c>
      <c r="GM37" s="8">
        <v>1</v>
      </c>
      <c r="GN37" s="8">
        <v>1</v>
      </c>
      <c r="GO37" s="8">
        <v>1</v>
      </c>
      <c r="GP37" s="41"/>
      <c r="GQ37" s="41"/>
      <c r="GR37" s="8">
        <v>1</v>
      </c>
      <c r="GS37" s="8">
        <v>1</v>
      </c>
      <c r="GT37" s="8">
        <v>1</v>
      </c>
      <c r="GU37" s="8">
        <v>1</v>
      </c>
      <c r="GV37" s="8">
        <v>1</v>
      </c>
      <c r="GW37" s="41"/>
      <c r="GX37" s="41"/>
      <c r="GY37" s="8">
        <v>1</v>
      </c>
      <c r="GZ37" s="8">
        <v>1</v>
      </c>
      <c r="HA37" s="8">
        <v>1</v>
      </c>
      <c r="HB37" s="8">
        <v>1</v>
      </c>
      <c r="HC37" s="8">
        <v>1</v>
      </c>
      <c r="HD37" s="41"/>
      <c r="HE37" s="41"/>
      <c r="HF37" s="8">
        <v>1</v>
      </c>
      <c r="HG37" s="8">
        <v>1</v>
      </c>
      <c r="HH37" s="8">
        <v>1</v>
      </c>
      <c r="HI37" s="8">
        <v>1</v>
      </c>
      <c r="HJ37" s="8">
        <v>1</v>
      </c>
      <c r="HK37" s="41"/>
      <c r="HL37" s="41"/>
      <c r="HM37" s="8">
        <v>1</v>
      </c>
      <c r="HN37" s="8">
        <v>1</v>
      </c>
      <c r="HO37" s="8">
        <v>1</v>
      </c>
      <c r="HP37" s="8">
        <v>1</v>
      </c>
      <c r="HQ37" s="8">
        <v>1</v>
      </c>
      <c r="HR37" s="41"/>
      <c r="HS37" s="41"/>
      <c r="HT37" s="38"/>
      <c r="HU37" s="8">
        <v>1</v>
      </c>
      <c r="HV37" s="8">
        <v>1</v>
      </c>
      <c r="HW37" s="8">
        <v>1</v>
      </c>
      <c r="HX37" s="8">
        <v>1</v>
      </c>
      <c r="HY37" s="41"/>
      <c r="HZ37" s="41"/>
      <c r="IA37" s="8">
        <v>1</v>
      </c>
      <c r="IB37" s="8">
        <v>1</v>
      </c>
      <c r="IC37" s="8">
        <v>1</v>
      </c>
      <c r="ID37" s="8">
        <v>1</v>
      </c>
      <c r="IE37" s="8">
        <v>1</v>
      </c>
      <c r="IF37" s="41"/>
      <c r="IG37" s="41"/>
      <c r="IH37" s="8">
        <v>1</v>
      </c>
      <c r="II37" s="8">
        <v>1</v>
      </c>
      <c r="IJ37" s="8">
        <v>1</v>
      </c>
      <c r="IK37" s="8">
        <v>1</v>
      </c>
      <c r="IL37" s="8">
        <v>1</v>
      </c>
      <c r="IM37" s="41"/>
      <c r="IN37" s="41"/>
      <c r="IO37" s="8">
        <v>1</v>
      </c>
      <c r="IP37" s="8">
        <v>1</v>
      </c>
      <c r="IQ37" s="8">
        <v>1</v>
      </c>
      <c r="IR37" s="8">
        <v>1</v>
      </c>
      <c r="IS37" s="8">
        <v>1</v>
      </c>
      <c r="IT37" s="41"/>
      <c r="IU37" s="41"/>
      <c r="IV37" s="8">
        <v>1</v>
      </c>
      <c r="IW37" s="8">
        <v>1</v>
      </c>
      <c r="IX37" s="8">
        <v>1</v>
      </c>
      <c r="IY37" s="8">
        <v>1</v>
      </c>
      <c r="IZ37" s="38"/>
      <c r="JA37" s="41"/>
      <c r="JB37" s="41"/>
      <c r="JC37" s="8">
        <v>1</v>
      </c>
      <c r="JD37" s="8">
        <v>1</v>
      </c>
      <c r="JE37" s="8">
        <v>1</v>
      </c>
      <c r="JF37" s="8">
        <v>1</v>
      </c>
      <c r="JG37" s="8">
        <v>1</v>
      </c>
      <c r="JH37" s="41"/>
      <c r="JI37" s="41"/>
      <c r="JJ37" s="8">
        <v>1</v>
      </c>
      <c r="JK37" s="8">
        <v>1</v>
      </c>
      <c r="JL37" s="8">
        <v>1</v>
      </c>
      <c r="JM37" s="8">
        <v>1</v>
      </c>
      <c r="JN37" s="8">
        <v>1</v>
      </c>
      <c r="JO37" s="41"/>
      <c r="JP37" s="41"/>
      <c r="JQ37" s="8">
        <v>1</v>
      </c>
      <c r="JR37" s="8">
        <v>1</v>
      </c>
      <c r="JS37" s="8">
        <v>1</v>
      </c>
      <c r="JT37" s="8">
        <v>1</v>
      </c>
      <c r="JU37" s="8">
        <v>1</v>
      </c>
      <c r="JV37" s="41"/>
      <c r="JW37" s="41"/>
      <c r="JX37" s="8">
        <v>1</v>
      </c>
      <c r="JY37" s="8">
        <v>1</v>
      </c>
      <c r="JZ37" s="8">
        <v>1</v>
      </c>
      <c r="KA37" s="8">
        <v>1</v>
      </c>
      <c r="KB37" s="8">
        <v>1</v>
      </c>
      <c r="KC37" s="41"/>
      <c r="KD37" s="41"/>
      <c r="KE37" s="8">
        <v>1</v>
      </c>
      <c r="KF37" s="8">
        <v>1</v>
      </c>
      <c r="KG37" s="8">
        <v>1</v>
      </c>
      <c r="KH37" s="8">
        <v>1</v>
      </c>
      <c r="KI37" s="8">
        <v>1</v>
      </c>
      <c r="KJ37" s="41"/>
      <c r="KK37" s="41"/>
      <c r="KL37" s="8">
        <v>1</v>
      </c>
      <c r="KM37" s="8">
        <v>1</v>
      </c>
      <c r="KN37" s="8">
        <v>1</v>
      </c>
      <c r="KO37" s="8">
        <v>1</v>
      </c>
      <c r="KP37" s="8">
        <v>1</v>
      </c>
      <c r="KQ37" s="41"/>
      <c r="KR37" s="41"/>
      <c r="KS37" s="8">
        <v>1</v>
      </c>
      <c r="KT37" s="8">
        <v>1</v>
      </c>
      <c r="KU37" s="8">
        <v>1</v>
      </c>
      <c r="KV37" s="8">
        <v>1</v>
      </c>
      <c r="KW37" s="8">
        <v>1</v>
      </c>
      <c r="KX37" s="41"/>
      <c r="KY37" s="41"/>
      <c r="KZ37" s="8">
        <v>1</v>
      </c>
      <c r="LA37" s="8">
        <v>1</v>
      </c>
      <c r="LB37" s="8">
        <v>1</v>
      </c>
      <c r="LC37" s="8">
        <v>1</v>
      </c>
      <c r="LD37" s="8">
        <v>1</v>
      </c>
      <c r="LE37" s="41"/>
      <c r="LF37" s="41"/>
      <c r="LG37" s="8">
        <v>1</v>
      </c>
      <c r="LH37" s="8">
        <v>1</v>
      </c>
      <c r="LI37" s="8">
        <v>1</v>
      </c>
      <c r="LJ37" s="8">
        <v>1</v>
      </c>
      <c r="LK37" s="8">
        <v>1</v>
      </c>
      <c r="LL37" s="41"/>
      <c r="LM37" s="41"/>
      <c r="LN37" s="8">
        <v>1</v>
      </c>
      <c r="LO37" s="8">
        <v>1</v>
      </c>
      <c r="LP37" s="8">
        <v>1</v>
      </c>
      <c r="LQ37" s="8">
        <v>1</v>
      </c>
      <c r="LR37" s="8">
        <v>1</v>
      </c>
      <c r="LS37" s="41"/>
      <c r="LT37" s="41"/>
      <c r="LU37" s="8">
        <v>1</v>
      </c>
      <c r="LV37" s="8">
        <v>1</v>
      </c>
      <c r="LW37" s="8">
        <v>1</v>
      </c>
      <c r="LX37" s="8">
        <v>1</v>
      </c>
      <c r="LY37" s="8">
        <v>1</v>
      </c>
      <c r="LZ37" s="41"/>
      <c r="MA37" s="41"/>
      <c r="MB37" s="8">
        <v>1</v>
      </c>
      <c r="MC37" s="8">
        <v>1</v>
      </c>
      <c r="MD37" s="8">
        <v>1</v>
      </c>
      <c r="ME37" s="8">
        <v>1</v>
      </c>
      <c r="MF37" s="8">
        <v>1</v>
      </c>
      <c r="MG37" s="41"/>
      <c r="MH37" s="41"/>
      <c r="MI37" s="8">
        <v>1</v>
      </c>
      <c r="MJ37" s="8">
        <v>1</v>
      </c>
      <c r="MK37" s="8">
        <v>1</v>
      </c>
      <c r="ML37" s="8">
        <v>1</v>
      </c>
      <c r="MM37" s="8">
        <v>1</v>
      </c>
      <c r="MN37" s="41"/>
      <c r="MO37" s="41"/>
      <c r="MP37" s="8">
        <v>1</v>
      </c>
      <c r="MQ37" s="8">
        <v>1</v>
      </c>
      <c r="MR37" s="8">
        <v>1</v>
      </c>
      <c r="MS37" s="8">
        <v>1</v>
      </c>
      <c r="MT37" s="8">
        <v>1</v>
      </c>
      <c r="MU37" s="41"/>
      <c r="MV37" s="41"/>
      <c r="MW37" s="8">
        <v>1</v>
      </c>
      <c r="MX37" s="8">
        <v>1</v>
      </c>
      <c r="MY37" s="8">
        <v>1</v>
      </c>
      <c r="MZ37" s="8">
        <v>1</v>
      </c>
      <c r="NA37" s="8">
        <v>1</v>
      </c>
      <c r="NB37" s="41"/>
      <c r="NC37" s="41"/>
      <c r="ND37" s="8">
        <v>1</v>
      </c>
      <c r="NE37" s="8">
        <v>1</v>
      </c>
      <c r="NF37" s="8">
        <v>1</v>
      </c>
      <c r="NG37" s="8">
        <v>1</v>
      </c>
      <c r="NH37" s="8">
        <v>1</v>
      </c>
      <c r="NI37" s="41"/>
      <c r="NJ37" s="41"/>
      <c r="NK37" s="8">
        <v>1</v>
      </c>
      <c r="NL37" s="8">
        <v>1</v>
      </c>
      <c r="NM37" s="8">
        <v>1</v>
      </c>
      <c r="NN37" s="8">
        <v>1</v>
      </c>
      <c r="NO37" s="8">
        <v>1</v>
      </c>
      <c r="NP37" s="40"/>
      <c r="NQ37" s="40"/>
      <c r="NR37" s="8">
        <v>1</v>
      </c>
      <c r="NS37" s="8">
        <v>1</v>
      </c>
      <c r="NT37" s="8">
        <v>1</v>
      </c>
      <c r="NU37" s="8">
        <v>1</v>
      </c>
      <c r="NV37" s="8">
        <v>1</v>
      </c>
      <c r="NW37" s="40"/>
      <c r="NX37" s="40"/>
      <c r="NY37" s="8">
        <v>1</v>
      </c>
      <c r="NZ37" s="8">
        <v>1</v>
      </c>
      <c r="OA37" s="8">
        <v>1</v>
      </c>
      <c r="OB37" s="8"/>
      <c r="OC37" s="8">
        <v>1</v>
      </c>
      <c r="OD37" s="41"/>
      <c r="OE37" s="41"/>
      <c r="OF37" s="8">
        <v>1</v>
      </c>
      <c r="OG37" s="8">
        <v>1</v>
      </c>
      <c r="OH37" s="8">
        <v>1</v>
      </c>
      <c r="OI37" s="47"/>
    </row>
    <row r="38" spans="1:451" s="31" customFormat="1" ht="21" x14ac:dyDescent="0.3">
      <c r="A38" s="61" t="s">
        <v>531</v>
      </c>
      <c r="B38" s="62" t="s">
        <v>435</v>
      </c>
      <c r="C38" s="45"/>
      <c r="D38" s="8">
        <v>1</v>
      </c>
      <c r="E38" s="8">
        <v>1</v>
      </c>
      <c r="F38" s="8">
        <v>1</v>
      </c>
      <c r="G38" s="8">
        <v>1</v>
      </c>
      <c r="H38" s="8">
        <v>1</v>
      </c>
      <c r="I38" s="46"/>
      <c r="J38" s="46"/>
      <c r="K38" s="8">
        <v>1</v>
      </c>
      <c r="L38" s="8">
        <v>1</v>
      </c>
      <c r="M38" s="8">
        <v>1</v>
      </c>
      <c r="N38" s="8">
        <v>1</v>
      </c>
      <c r="O38" s="8">
        <v>1</v>
      </c>
      <c r="P38" s="46"/>
      <c r="Q38" s="46"/>
      <c r="R38" s="8">
        <v>1</v>
      </c>
      <c r="S38" s="8">
        <v>1</v>
      </c>
      <c r="T38" s="8">
        <v>1</v>
      </c>
      <c r="U38" s="8">
        <v>1</v>
      </c>
      <c r="V38" s="8">
        <v>1</v>
      </c>
      <c r="W38" s="46"/>
      <c r="X38" s="46"/>
      <c r="Y38" s="8">
        <v>1</v>
      </c>
      <c r="Z38" s="8">
        <v>1</v>
      </c>
      <c r="AA38" s="8"/>
      <c r="AB38" s="8">
        <v>0</v>
      </c>
      <c r="AC38" s="8">
        <v>0</v>
      </c>
      <c r="AD38" s="46"/>
      <c r="AE38" s="46"/>
      <c r="AF38" s="8">
        <v>0</v>
      </c>
      <c r="AG38" s="8">
        <v>0</v>
      </c>
      <c r="AH38" s="38"/>
      <c r="AI38" s="8">
        <v>0</v>
      </c>
      <c r="AJ38" s="8">
        <v>0</v>
      </c>
      <c r="AK38" s="8"/>
      <c r="AL38" s="8"/>
      <c r="AM38" s="109">
        <v>1</v>
      </c>
      <c r="AN38" s="109">
        <v>1</v>
      </c>
      <c r="AO38" s="8">
        <v>1</v>
      </c>
      <c r="AP38" s="8">
        <v>1</v>
      </c>
      <c r="AQ38" s="8">
        <v>1</v>
      </c>
      <c r="AR38" s="39"/>
      <c r="AS38" s="39"/>
      <c r="AT38" s="8">
        <v>1</v>
      </c>
      <c r="AU38" s="8">
        <v>1</v>
      </c>
      <c r="AV38" s="8">
        <v>1</v>
      </c>
      <c r="AW38" s="8">
        <v>1</v>
      </c>
      <c r="AX38" s="8">
        <v>1</v>
      </c>
      <c r="AY38" s="39"/>
      <c r="AZ38" s="39"/>
      <c r="BA38" s="39">
        <v>1</v>
      </c>
      <c r="BB38" s="39">
        <v>1</v>
      </c>
      <c r="BC38" s="39">
        <v>1</v>
      </c>
      <c r="BD38" s="39">
        <v>1</v>
      </c>
      <c r="BE38" s="39">
        <v>1</v>
      </c>
      <c r="BF38" s="39"/>
      <c r="BG38" s="39"/>
      <c r="BH38" s="39">
        <v>1</v>
      </c>
      <c r="BI38" s="39">
        <v>1</v>
      </c>
      <c r="BJ38" s="39">
        <v>1</v>
      </c>
      <c r="BK38" s="39">
        <v>1</v>
      </c>
      <c r="BL38" s="39">
        <v>1</v>
      </c>
      <c r="BM38" s="40"/>
      <c r="BN38" s="40"/>
      <c r="BO38" s="8">
        <v>1</v>
      </c>
      <c r="BP38" s="8">
        <v>1</v>
      </c>
      <c r="BQ38" s="8">
        <v>1</v>
      </c>
      <c r="BR38" s="8">
        <v>1</v>
      </c>
      <c r="BS38" s="8">
        <v>1</v>
      </c>
      <c r="BT38" s="40"/>
      <c r="BU38" s="40"/>
      <c r="BV38" s="8">
        <v>1</v>
      </c>
      <c r="BW38" s="8">
        <v>1</v>
      </c>
      <c r="BX38" s="8">
        <v>1</v>
      </c>
      <c r="BY38" s="8">
        <v>1</v>
      </c>
      <c r="BZ38" s="8">
        <v>1</v>
      </c>
      <c r="CA38" s="40"/>
      <c r="CB38" s="40"/>
      <c r="CC38" s="8">
        <v>1</v>
      </c>
      <c r="CD38" s="8">
        <v>1</v>
      </c>
      <c r="CE38" s="8">
        <v>1</v>
      </c>
      <c r="CF38" s="8">
        <v>1</v>
      </c>
      <c r="CG38" s="8">
        <v>1</v>
      </c>
      <c r="CH38" s="40"/>
      <c r="CI38" s="40"/>
      <c r="CJ38" s="8">
        <v>0</v>
      </c>
      <c r="CK38" s="8">
        <v>0</v>
      </c>
      <c r="CL38" s="8">
        <v>0</v>
      </c>
      <c r="CM38" s="8">
        <v>0</v>
      </c>
      <c r="CN38" s="8">
        <v>0</v>
      </c>
      <c r="CO38" s="40"/>
      <c r="CP38" s="40"/>
      <c r="CQ38" s="8">
        <v>1</v>
      </c>
      <c r="CR38" s="8">
        <v>1</v>
      </c>
      <c r="CS38" s="8">
        <v>1</v>
      </c>
      <c r="CT38" s="8">
        <v>1</v>
      </c>
      <c r="CU38" s="8">
        <v>1</v>
      </c>
      <c r="CV38" s="40"/>
      <c r="CW38" s="40"/>
      <c r="CX38" s="8">
        <v>1</v>
      </c>
      <c r="CY38" s="8">
        <v>1</v>
      </c>
      <c r="CZ38" s="8">
        <v>1</v>
      </c>
      <c r="DA38" s="8">
        <v>1</v>
      </c>
      <c r="DB38" s="8">
        <v>1</v>
      </c>
      <c r="DC38" s="40"/>
      <c r="DD38" s="40"/>
      <c r="DE38" s="8">
        <v>1</v>
      </c>
      <c r="DF38" s="8">
        <v>1</v>
      </c>
      <c r="DG38" s="8">
        <v>1</v>
      </c>
      <c r="DH38" s="8">
        <v>1</v>
      </c>
      <c r="DI38" s="8">
        <v>1</v>
      </c>
      <c r="DJ38" s="40"/>
      <c r="DK38" s="40"/>
      <c r="DL38" s="8">
        <v>1</v>
      </c>
      <c r="DM38" s="8">
        <v>1</v>
      </c>
      <c r="DN38" s="8">
        <v>1</v>
      </c>
      <c r="DO38" s="8">
        <v>1</v>
      </c>
      <c r="DP38" s="8">
        <v>1</v>
      </c>
      <c r="DQ38" s="41"/>
      <c r="DR38" s="41"/>
      <c r="DS38" s="8">
        <v>1</v>
      </c>
      <c r="DT38" s="8">
        <v>1</v>
      </c>
      <c r="DU38" s="8">
        <v>1</v>
      </c>
      <c r="DV38" s="8">
        <v>1</v>
      </c>
      <c r="DW38" s="8">
        <v>1</v>
      </c>
      <c r="DX38" s="41"/>
      <c r="DY38" s="41"/>
      <c r="DZ38" s="8">
        <v>1</v>
      </c>
      <c r="EA38" s="8">
        <v>1</v>
      </c>
      <c r="EB38" s="8">
        <v>1</v>
      </c>
      <c r="EC38" s="8">
        <v>1</v>
      </c>
      <c r="ED38" s="8">
        <v>1</v>
      </c>
      <c r="EE38" s="41"/>
      <c r="EF38" s="41"/>
      <c r="EG38" s="8">
        <v>1</v>
      </c>
      <c r="EH38" s="8">
        <v>1</v>
      </c>
      <c r="EI38" s="8">
        <v>1</v>
      </c>
      <c r="EJ38" s="8">
        <v>1</v>
      </c>
      <c r="EK38" s="8">
        <v>1</v>
      </c>
      <c r="EL38" s="41"/>
      <c r="EM38" s="41"/>
      <c r="EN38" s="38"/>
      <c r="EO38" s="8">
        <v>0</v>
      </c>
      <c r="EP38" s="8">
        <v>0</v>
      </c>
      <c r="EQ38" s="8">
        <v>0</v>
      </c>
      <c r="ER38" s="8">
        <v>0</v>
      </c>
      <c r="ES38" s="41"/>
      <c r="ET38" s="41"/>
      <c r="EU38" s="8">
        <v>1</v>
      </c>
      <c r="EV38" s="8">
        <v>1</v>
      </c>
      <c r="EW38" s="8">
        <v>1</v>
      </c>
      <c r="EX38" s="38"/>
      <c r="EY38" s="8">
        <v>1</v>
      </c>
      <c r="EZ38" s="41"/>
      <c r="FA38" s="41"/>
      <c r="FB38" s="8">
        <v>1</v>
      </c>
      <c r="FC38" s="8">
        <v>1</v>
      </c>
      <c r="FD38" s="8">
        <v>1</v>
      </c>
      <c r="FE38" s="38"/>
      <c r="FF38" s="8">
        <v>1</v>
      </c>
      <c r="FG38" s="41"/>
      <c r="FH38" s="41"/>
      <c r="FI38" s="8">
        <v>1</v>
      </c>
      <c r="FJ38" s="8">
        <v>1</v>
      </c>
      <c r="FK38" s="8">
        <v>1</v>
      </c>
      <c r="FL38" s="8">
        <v>1</v>
      </c>
      <c r="FM38" s="8">
        <v>1</v>
      </c>
      <c r="FN38" s="41"/>
      <c r="FO38" s="41"/>
      <c r="FP38" s="8">
        <v>1</v>
      </c>
      <c r="FQ38" s="8">
        <v>1</v>
      </c>
      <c r="FR38" s="8">
        <v>1</v>
      </c>
      <c r="FS38" s="8">
        <v>1</v>
      </c>
      <c r="FT38" s="8">
        <v>1</v>
      </c>
      <c r="FU38" s="41"/>
      <c r="FV38" s="41"/>
      <c r="FW38" s="8">
        <v>1</v>
      </c>
      <c r="FX38" s="8">
        <v>1</v>
      </c>
      <c r="FY38" s="8">
        <v>1</v>
      </c>
      <c r="FZ38" s="38"/>
      <c r="GA38" s="8">
        <v>1</v>
      </c>
      <c r="GB38" s="41"/>
      <c r="GC38" s="41"/>
      <c r="GD38" s="8">
        <v>1</v>
      </c>
      <c r="GE38" s="8">
        <v>1</v>
      </c>
      <c r="GF38" s="8">
        <v>1</v>
      </c>
      <c r="GG38" s="8">
        <v>1</v>
      </c>
      <c r="GH38" s="8">
        <v>1</v>
      </c>
      <c r="GI38" s="41"/>
      <c r="GJ38" s="41"/>
      <c r="GK38" s="38"/>
      <c r="GL38" s="8">
        <v>1</v>
      </c>
      <c r="GM38" s="8">
        <v>1</v>
      </c>
      <c r="GN38" s="8">
        <v>1</v>
      </c>
      <c r="GO38" s="8">
        <v>1</v>
      </c>
      <c r="GP38" s="41"/>
      <c r="GQ38" s="41"/>
      <c r="GR38" s="8">
        <v>1</v>
      </c>
      <c r="GS38" s="8">
        <v>1</v>
      </c>
      <c r="GT38" s="8">
        <v>1</v>
      </c>
      <c r="GU38" s="8">
        <v>1</v>
      </c>
      <c r="GV38" s="8">
        <v>1</v>
      </c>
      <c r="GW38" s="41"/>
      <c r="GX38" s="41"/>
      <c r="GY38" s="8">
        <v>1</v>
      </c>
      <c r="GZ38" s="8">
        <v>1</v>
      </c>
      <c r="HA38" s="8">
        <v>1</v>
      </c>
      <c r="HB38" s="8">
        <v>1</v>
      </c>
      <c r="HC38" s="8">
        <v>1</v>
      </c>
      <c r="HD38" s="41"/>
      <c r="HE38" s="41"/>
      <c r="HF38" s="8">
        <v>1</v>
      </c>
      <c r="HG38" s="8">
        <v>1</v>
      </c>
      <c r="HH38" s="8">
        <v>1</v>
      </c>
      <c r="HI38" s="8">
        <v>1</v>
      </c>
      <c r="HJ38" s="8">
        <v>1</v>
      </c>
      <c r="HK38" s="41"/>
      <c r="HL38" s="41"/>
      <c r="HM38" s="8">
        <v>1</v>
      </c>
      <c r="HN38" s="8">
        <v>1</v>
      </c>
      <c r="HO38" s="8">
        <v>1</v>
      </c>
      <c r="HP38" s="8">
        <v>1</v>
      </c>
      <c r="HQ38" s="8">
        <v>1</v>
      </c>
      <c r="HR38" s="41"/>
      <c r="HS38" s="41"/>
      <c r="HT38" s="38"/>
      <c r="HU38" s="8">
        <v>1</v>
      </c>
      <c r="HV38" s="8">
        <v>1</v>
      </c>
      <c r="HW38" s="8">
        <v>1</v>
      </c>
      <c r="HX38" s="8">
        <v>1</v>
      </c>
      <c r="HY38" s="41"/>
      <c r="HZ38" s="41"/>
      <c r="IA38" s="8">
        <v>1</v>
      </c>
      <c r="IB38" s="8">
        <v>1</v>
      </c>
      <c r="IC38" s="8">
        <v>1</v>
      </c>
      <c r="ID38" s="8">
        <v>1</v>
      </c>
      <c r="IE38" s="8">
        <v>1</v>
      </c>
      <c r="IF38" s="41"/>
      <c r="IG38" s="41"/>
      <c r="IH38" s="8">
        <v>1</v>
      </c>
      <c r="II38" s="8">
        <v>1</v>
      </c>
      <c r="IJ38" s="8">
        <v>1</v>
      </c>
      <c r="IK38" s="8">
        <v>1</v>
      </c>
      <c r="IL38" s="8">
        <v>1</v>
      </c>
      <c r="IM38" s="41"/>
      <c r="IN38" s="41"/>
      <c r="IO38" s="8">
        <v>1</v>
      </c>
      <c r="IP38" s="8">
        <v>1</v>
      </c>
      <c r="IQ38" s="8">
        <v>1</v>
      </c>
      <c r="IR38" s="8">
        <v>1</v>
      </c>
      <c r="IS38" s="8">
        <v>1</v>
      </c>
      <c r="IT38" s="41"/>
      <c r="IU38" s="41"/>
      <c r="IV38" s="8">
        <v>1</v>
      </c>
      <c r="IW38" s="8">
        <v>1</v>
      </c>
      <c r="IX38" s="8">
        <v>1</v>
      </c>
      <c r="IY38" s="8">
        <v>1</v>
      </c>
      <c r="IZ38" s="38"/>
      <c r="JA38" s="41"/>
      <c r="JB38" s="41"/>
      <c r="JC38" s="8">
        <v>1</v>
      </c>
      <c r="JD38" s="8">
        <v>1</v>
      </c>
      <c r="JE38" s="8">
        <v>1</v>
      </c>
      <c r="JF38" s="8">
        <v>1</v>
      </c>
      <c r="JG38" s="8">
        <v>1</v>
      </c>
      <c r="JH38" s="41"/>
      <c r="JI38" s="41"/>
      <c r="JJ38" s="8">
        <v>1</v>
      </c>
      <c r="JK38" s="8">
        <v>1</v>
      </c>
      <c r="JL38" s="8">
        <v>1</v>
      </c>
      <c r="JM38" s="8">
        <v>1</v>
      </c>
      <c r="JN38" s="8">
        <v>1</v>
      </c>
      <c r="JO38" s="41"/>
      <c r="JP38" s="41"/>
      <c r="JQ38" s="8">
        <v>1</v>
      </c>
      <c r="JR38" s="8">
        <v>1</v>
      </c>
      <c r="JS38" s="8">
        <v>1</v>
      </c>
      <c r="JT38" s="8">
        <v>1</v>
      </c>
      <c r="JU38" s="8">
        <v>1</v>
      </c>
      <c r="JV38" s="41"/>
      <c r="JW38" s="41"/>
      <c r="JX38" s="8">
        <v>1</v>
      </c>
      <c r="JY38" s="8">
        <v>1</v>
      </c>
      <c r="JZ38" s="8">
        <v>1</v>
      </c>
      <c r="KA38" s="8">
        <v>1</v>
      </c>
      <c r="KB38" s="8">
        <v>1</v>
      </c>
      <c r="KC38" s="41"/>
      <c r="KD38" s="41"/>
      <c r="KE38" s="8">
        <v>1</v>
      </c>
      <c r="KF38" s="8">
        <v>1</v>
      </c>
      <c r="KG38" s="8">
        <v>1</v>
      </c>
      <c r="KH38" s="8">
        <v>1</v>
      </c>
      <c r="KI38" s="8">
        <v>1</v>
      </c>
      <c r="KJ38" s="41"/>
      <c r="KK38" s="41"/>
      <c r="KL38" s="8">
        <v>1</v>
      </c>
      <c r="KM38" s="8">
        <v>1</v>
      </c>
      <c r="KN38" s="8">
        <v>1</v>
      </c>
      <c r="KO38" s="8">
        <v>1</v>
      </c>
      <c r="KP38" s="8">
        <v>1</v>
      </c>
      <c r="KQ38" s="41"/>
      <c r="KR38" s="41"/>
      <c r="KS38" s="8">
        <v>1</v>
      </c>
      <c r="KT38" s="8">
        <v>1</v>
      </c>
      <c r="KU38" s="8">
        <v>1</v>
      </c>
      <c r="KV38" s="8">
        <v>1</v>
      </c>
      <c r="KW38" s="8">
        <v>1</v>
      </c>
      <c r="KX38" s="41"/>
      <c r="KY38" s="41"/>
      <c r="KZ38" s="8">
        <v>1</v>
      </c>
      <c r="LA38" s="8">
        <v>1</v>
      </c>
      <c r="LB38" s="8">
        <v>1</v>
      </c>
      <c r="LC38" s="8">
        <v>1</v>
      </c>
      <c r="LD38" s="8">
        <v>1</v>
      </c>
      <c r="LE38" s="41"/>
      <c r="LF38" s="41"/>
      <c r="LG38" s="8">
        <v>1</v>
      </c>
      <c r="LH38" s="8">
        <v>1</v>
      </c>
      <c r="LI38" s="8">
        <v>1</v>
      </c>
      <c r="LJ38" s="8">
        <v>1</v>
      </c>
      <c r="LK38" s="8">
        <v>1</v>
      </c>
      <c r="LL38" s="41"/>
      <c r="LM38" s="41"/>
      <c r="LN38" s="8">
        <v>1</v>
      </c>
      <c r="LO38" s="8">
        <v>1</v>
      </c>
      <c r="LP38" s="8">
        <v>1</v>
      </c>
      <c r="LQ38" s="8">
        <v>1</v>
      </c>
      <c r="LR38" s="8">
        <v>1</v>
      </c>
      <c r="LS38" s="41"/>
      <c r="LT38" s="41"/>
      <c r="LU38" s="8">
        <v>1</v>
      </c>
      <c r="LV38" s="8">
        <v>1</v>
      </c>
      <c r="LW38" s="8">
        <v>1</v>
      </c>
      <c r="LX38" s="8">
        <v>1</v>
      </c>
      <c r="LY38" s="8">
        <v>1</v>
      </c>
      <c r="LZ38" s="41"/>
      <c r="MA38" s="41"/>
      <c r="MB38" s="8">
        <v>1</v>
      </c>
      <c r="MC38" s="8">
        <v>1</v>
      </c>
      <c r="MD38" s="8">
        <v>1</v>
      </c>
      <c r="ME38" s="8">
        <v>1</v>
      </c>
      <c r="MF38" s="8">
        <v>1</v>
      </c>
      <c r="MG38" s="41"/>
      <c r="MH38" s="41"/>
      <c r="MI38" s="8">
        <v>1</v>
      </c>
      <c r="MJ38" s="8">
        <v>1</v>
      </c>
      <c r="MK38" s="8">
        <v>1</v>
      </c>
      <c r="ML38" s="8">
        <v>1</v>
      </c>
      <c r="MM38" s="8">
        <v>1</v>
      </c>
      <c r="MN38" s="41"/>
      <c r="MO38" s="41"/>
      <c r="MP38" s="8">
        <v>1</v>
      </c>
      <c r="MQ38" s="8">
        <v>1</v>
      </c>
      <c r="MR38" s="8">
        <v>1</v>
      </c>
      <c r="MS38" s="8">
        <v>1</v>
      </c>
      <c r="MT38" s="8">
        <v>1</v>
      </c>
      <c r="MU38" s="41"/>
      <c r="MV38" s="41"/>
      <c r="MW38" s="8">
        <v>1</v>
      </c>
      <c r="MX38" s="8">
        <v>1</v>
      </c>
      <c r="MY38" s="8">
        <v>1</v>
      </c>
      <c r="MZ38" s="8">
        <v>1</v>
      </c>
      <c r="NA38" s="8">
        <v>1</v>
      </c>
      <c r="NB38" s="41"/>
      <c r="NC38" s="41"/>
      <c r="ND38" s="8">
        <v>1</v>
      </c>
      <c r="NE38" s="8">
        <v>1</v>
      </c>
      <c r="NF38" s="8">
        <v>1</v>
      </c>
      <c r="NG38" s="8">
        <v>1</v>
      </c>
      <c r="NH38" s="8">
        <v>1</v>
      </c>
      <c r="NI38" s="41"/>
      <c r="NJ38" s="41"/>
      <c r="NK38" s="8">
        <v>1</v>
      </c>
      <c r="NL38" s="8">
        <v>1</v>
      </c>
      <c r="NM38" s="8">
        <v>1</v>
      </c>
      <c r="NN38" s="8">
        <v>1</v>
      </c>
      <c r="NO38" s="8">
        <v>1</v>
      </c>
      <c r="NP38" s="40"/>
      <c r="NQ38" s="40"/>
      <c r="NR38" s="8">
        <v>1</v>
      </c>
      <c r="NS38" s="8">
        <v>1</v>
      </c>
      <c r="NT38" s="8">
        <v>1</v>
      </c>
      <c r="NU38" s="8">
        <v>1</v>
      </c>
      <c r="NV38" s="8">
        <v>1</v>
      </c>
      <c r="NW38" s="40"/>
      <c r="NX38" s="40"/>
      <c r="NY38" s="8">
        <v>1</v>
      </c>
      <c r="NZ38" s="8">
        <v>1</v>
      </c>
      <c r="OA38" s="8">
        <v>1</v>
      </c>
      <c r="OB38" s="8"/>
      <c r="OC38" s="8">
        <v>1</v>
      </c>
      <c r="OD38" s="41"/>
      <c r="OE38" s="41"/>
      <c r="OF38" s="8">
        <v>1</v>
      </c>
      <c r="OG38" s="8">
        <v>1</v>
      </c>
      <c r="OH38" s="8">
        <v>1</v>
      </c>
      <c r="OI38" s="47"/>
    </row>
    <row r="39" spans="1:451" s="31" customFormat="1" ht="21" x14ac:dyDescent="0.3">
      <c r="A39" s="61" t="s">
        <v>532</v>
      </c>
      <c r="B39" s="62" t="s">
        <v>435</v>
      </c>
      <c r="C39" s="45"/>
      <c r="D39" s="8">
        <v>1</v>
      </c>
      <c r="E39" s="8">
        <v>1</v>
      </c>
      <c r="F39" s="8">
        <v>1</v>
      </c>
      <c r="G39" s="8">
        <v>1</v>
      </c>
      <c r="H39" s="8">
        <v>1</v>
      </c>
      <c r="I39" s="46"/>
      <c r="J39" s="46"/>
      <c r="K39" s="8">
        <v>1</v>
      </c>
      <c r="L39" s="8">
        <v>1</v>
      </c>
      <c r="M39" s="8">
        <v>1</v>
      </c>
      <c r="N39" s="8">
        <v>1</v>
      </c>
      <c r="O39" s="8">
        <v>1</v>
      </c>
      <c r="P39" s="46"/>
      <c r="Q39" s="46"/>
      <c r="R39" s="8">
        <v>1</v>
      </c>
      <c r="S39" s="8">
        <v>1</v>
      </c>
      <c r="T39" s="8">
        <v>1</v>
      </c>
      <c r="U39" s="8">
        <v>1</v>
      </c>
      <c r="V39" s="8">
        <v>1</v>
      </c>
      <c r="W39" s="46"/>
      <c r="X39" s="46"/>
      <c r="Y39" s="8">
        <v>1</v>
      </c>
      <c r="Z39" s="8">
        <v>1</v>
      </c>
      <c r="AA39" s="8"/>
      <c r="AB39" s="8">
        <v>1</v>
      </c>
      <c r="AC39" s="8">
        <v>1</v>
      </c>
      <c r="AD39" s="46"/>
      <c r="AE39" s="46"/>
      <c r="AF39" s="8">
        <v>1</v>
      </c>
      <c r="AG39" s="8">
        <v>1</v>
      </c>
      <c r="AH39" s="38"/>
      <c r="AI39" s="8">
        <v>1</v>
      </c>
      <c r="AJ39" s="8">
        <v>1</v>
      </c>
      <c r="AK39" s="8"/>
      <c r="AL39" s="8"/>
      <c r="AM39" s="109">
        <v>1</v>
      </c>
      <c r="AN39" s="109">
        <v>1</v>
      </c>
      <c r="AO39" s="8">
        <v>1</v>
      </c>
      <c r="AP39" s="8">
        <v>1</v>
      </c>
      <c r="AQ39" s="8">
        <v>1</v>
      </c>
      <c r="AR39" s="39"/>
      <c r="AS39" s="39"/>
      <c r="AT39" s="8">
        <v>1</v>
      </c>
      <c r="AU39" s="8">
        <v>1</v>
      </c>
      <c r="AV39" s="8">
        <v>1</v>
      </c>
      <c r="AW39" s="8">
        <v>1</v>
      </c>
      <c r="AX39" s="8">
        <v>1</v>
      </c>
      <c r="AY39" s="39"/>
      <c r="AZ39" s="39"/>
      <c r="BA39" s="39">
        <v>1</v>
      </c>
      <c r="BB39" s="39">
        <v>1</v>
      </c>
      <c r="BC39" s="39">
        <v>1</v>
      </c>
      <c r="BD39" s="39">
        <v>1</v>
      </c>
      <c r="BE39" s="39">
        <v>1</v>
      </c>
      <c r="BF39" s="39"/>
      <c r="BG39" s="39"/>
      <c r="BH39" s="39">
        <v>1</v>
      </c>
      <c r="BI39" s="39">
        <v>1</v>
      </c>
      <c r="BJ39" s="39">
        <v>1</v>
      </c>
      <c r="BK39" s="39">
        <v>1</v>
      </c>
      <c r="BL39" s="39">
        <v>1</v>
      </c>
      <c r="BM39" s="40"/>
      <c r="BN39" s="40"/>
      <c r="BO39" s="8">
        <v>1</v>
      </c>
      <c r="BP39" s="8">
        <v>1</v>
      </c>
      <c r="BQ39" s="8">
        <v>1</v>
      </c>
      <c r="BR39" s="8">
        <v>1</v>
      </c>
      <c r="BS39" s="8">
        <v>1</v>
      </c>
      <c r="BT39" s="40"/>
      <c r="BU39" s="40"/>
      <c r="BV39" s="8">
        <v>1</v>
      </c>
      <c r="BW39" s="8">
        <v>1</v>
      </c>
      <c r="BX39" s="8">
        <v>1</v>
      </c>
      <c r="BY39" s="8">
        <v>1</v>
      </c>
      <c r="BZ39" s="8">
        <v>1</v>
      </c>
      <c r="CA39" s="40"/>
      <c r="CB39" s="40"/>
      <c r="CC39" s="8">
        <v>1</v>
      </c>
      <c r="CD39" s="8">
        <v>1</v>
      </c>
      <c r="CE39" s="8">
        <v>1</v>
      </c>
      <c r="CF39" s="8">
        <v>1</v>
      </c>
      <c r="CG39" s="8">
        <v>1</v>
      </c>
      <c r="CH39" s="40"/>
      <c r="CI39" s="40"/>
      <c r="CJ39" s="8">
        <v>1</v>
      </c>
      <c r="CK39" s="8">
        <v>1</v>
      </c>
      <c r="CL39" s="8">
        <v>1</v>
      </c>
      <c r="CM39" s="8">
        <v>1</v>
      </c>
      <c r="CN39" s="8">
        <v>1</v>
      </c>
      <c r="CO39" s="40"/>
      <c r="CP39" s="40"/>
      <c r="CQ39" s="8">
        <v>1</v>
      </c>
      <c r="CR39" s="8">
        <v>1</v>
      </c>
      <c r="CS39" s="8">
        <v>1</v>
      </c>
      <c r="CT39" s="8">
        <v>1</v>
      </c>
      <c r="CU39" s="8">
        <v>1</v>
      </c>
      <c r="CV39" s="40"/>
      <c r="CW39" s="40"/>
      <c r="CX39" s="8">
        <v>1</v>
      </c>
      <c r="CY39" s="8">
        <v>1</v>
      </c>
      <c r="CZ39" s="8">
        <v>1</v>
      </c>
      <c r="DA39" s="8">
        <v>1</v>
      </c>
      <c r="DB39" s="8">
        <v>1</v>
      </c>
      <c r="DC39" s="40"/>
      <c r="DD39" s="40"/>
      <c r="DE39" s="8">
        <v>1</v>
      </c>
      <c r="DF39" s="8">
        <v>1</v>
      </c>
      <c r="DG39" s="8">
        <v>1</v>
      </c>
      <c r="DH39" s="8">
        <v>1</v>
      </c>
      <c r="DI39" s="8">
        <v>1</v>
      </c>
      <c r="DJ39" s="40"/>
      <c r="DK39" s="40"/>
      <c r="DL39" s="8">
        <v>1</v>
      </c>
      <c r="DM39" s="8">
        <v>1</v>
      </c>
      <c r="DN39" s="8">
        <v>1</v>
      </c>
      <c r="DO39" s="8">
        <v>1</v>
      </c>
      <c r="DP39" s="8">
        <v>1</v>
      </c>
      <c r="DQ39" s="41"/>
      <c r="DR39" s="41"/>
      <c r="DS39" s="8">
        <v>1</v>
      </c>
      <c r="DT39" s="8">
        <v>1</v>
      </c>
      <c r="DU39" s="8">
        <v>1</v>
      </c>
      <c r="DV39" s="8">
        <v>1</v>
      </c>
      <c r="DW39" s="8">
        <v>1</v>
      </c>
      <c r="DX39" s="41"/>
      <c r="DY39" s="41"/>
      <c r="DZ39" s="8">
        <v>1</v>
      </c>
      <c r="EA39" s="8">
        <v>1</v>
      </c>
      <c r="EB39" s="8">
        <v>1</v>
      </c>
      <c r="EC39" s="8">
        <v>1</v>
      </c>
      <c r="ED39" s="8">
        <v>1</v>
      </c>
      <c r="EE39" s="41"/>
      <c r="EF39" s="41"/>
      <c r="EG39" s="8">
        <v>1</v>
      </c>
      <c r="EH39" s="8">
        <v>1</v>
      </c>
      <c r="EI39" s="8">
        <v>1</v>
      </c>
      <c r="EJ39" s="8">
        <v>1</v>
      </c>
      <c r="EK39" s="8">
        <v>1</v>
      </c>
      <c r="EL39" s="41"/>
      <c r="EM39" s="41"/>
      <c r="EN39" s="38"/>
      <c r="EO39" s="8">
        <v>1</v>
      </c>
      <c r="EP39" s="8">
        <v>1</v>
      </c>
      <c r="EQ39" s="8">
        <v>1</v>
      </c>
      <c r="ER39" s="8">
        <v>1</v>
      </c>
      <c r="ES39" s="41"/>
      <c r="ET39" s="41"/>
      <c r="EU39" s="8">
        <v>1</v>
      </c>
      <c r="EV39" s="8">
        <v>1</v>
      </c>
      <c r="EW39" s="8">
        <v>1</v>
      </c>
      <c r="EX39" s="38"/>
      <c r="EY39" s="8">
        <v>1</v>
      </c>
      <c r="EZ39" s="41"/>
      <c r="FA39" s="41"/>
      <c r="FB39" s="8">
        <v>1</v>
      </c>
      <c r="FC39" s="8">
        <v>1</v>
      </c>
      <c r="FD39" s="8">
        <v>1</v>
      </c>
      <c r="FE39" s="38"/>
      <c r="FF39" s="8">
        <v>1</v>
      </c>
      <c r="FG39" s="41"/>
      <c r="FH39" s="41"/>
      <c r="FI39" s="8">
        <v>1</v>
      </c>
      <c r="FJ39" s="8">
        <v>1</v>
      </c>
      <c r="FK39" s="8">
        <v>1</v>
      </c>
      <c r="FL39" s="8">
        <v>1</v>
      </c>
      <c r="FM39" s="8">
        <v>1</v>
      </c>
      <c r="FN39" s="41"/>
      <c r="FO39" s="41"/>
      <c r="FP39" s="8">
        <v>1</v>
      </c>
      <c r="FQ39" s="8">
        <v>1</v>
      </c>
      <c r="FR39" s="8">
        <v>1</v>
      </c>
      <c r="FS39" s="8">
        <v>1</v>
      </c>
      <c r="FT39" s="8">
        <v>1</v>
      </c>
      <c r="FU39" s="41"/>
      <c r="FV39" s="41"/>
      <c r="FW39" s="8">
        <v>1</v>
      </c>
      <c r="FX39" s="8">
        <v>1</v>
      </c>
      <c r="FY39" s="8">
        <v>1</v>
      </c>
      <c r="FZ39" s="38"/>
      <c r="GA39" s="8">
        <v>1</v>
      </c>
      <c r="GB39" s="41"/>
      <c r="GC39" s="41"/>
      <c r="GD39" s="8">
        <v>1</v>
      </c>
      <c r="GE39" s="8">
        <v>1</v>
      </c>
      <c r="GF39" s="8">
        <v>1</v>
      </c>
      <c r="GG39" s="8">
        <v>1</v>
      </c>
      <c r="GH39" s="8">
        <v>1</v>
      </c>
      <c r="GI39" s="41"/>
      <c r="GJ39" s="41"/>
      <c r="GK39" s="38"/>
      <c r="GL39" s="8">
        <v>1</v>
      </c>
      <c r="GM39" s="8">
        <v>1</v>
      </c>
      <c r="GN39" s="8">
        <v>1</v>
      </c>
      <c r="GO39" s="8">
        <v>1</v>
      </c>
      <c r="GP39" s="41"/>
      <c r="GQ39" s="41"/>
      <c r="GR39" s="8">
        <v>1</v>
      </c>
      <c r="GS39" s="8">
        <v>1</v>
      </c>
      <c r="GT39" s="8">
        <v>1</v>
      </c>
      <c r="GU39" s="8">
        <v>1</v>
      </c>
      <c r="GV39" s="8">
        <v>1</v>
      </c>
      <c r="GW39" s="41"/>
      <c r="GX39" s="41"/>
      <c r="GY39" s="8">
        <v>1</v>
      </c>
      <c r="GZ39" s="8">
        <v>1</v>
      </c>
      <c r="HA39" s="8">
        <v>1</v>
      </c>
      <c r="HB39" s="8">
        <v>1</v>
      </c>
      <c r="HC39" s="8">
        <v>1</v>
      </c>
      <c r="HD39" s="41"/>
      <c r="HE39" s="41"/>
      <c r="HF39" s="8">
        <v>1</v>
      </c>
      <c r="HG39" s="8">
        <v>1</v>
      </c>
      <c r="HH39" s="8">
        <v>1</v>
      </c>
      <c r="HI39" s="8">
        <v>1</v>
      </c>
      <c r="HJ39" s="8">
        <v>1</v>
      </c>
      <c r="HK39" s="41"/>
      <c r="HL39" s="41"/>
      <c r="HM39" s="8">
        <v>1</v>
      </c>
      <c r="HN39" s="8">
        <v>1</v>
      </c>
      <c r="HO39" s="8">
        <v>1</v>
      </c>
      <c r="HP39" s="8">
        <v>1</v>
      </c>
      <c r="HQ39" s="8">
        <v>1</v>
      </c>
      <c r="HR39" s="41"/>
      <c r="HS39" s="41"/>
      <c r="HT39" s="38"/>
      <c r="HU39" s="8">
        <v>1</v>
      </c>
      <c r="HV39" s="8">
        <v>1</v>
      </c>
      <c r="HW39" s="8">
        <v>1</v>
      </c>
      <c r="HX39" s="8">
        <v>1</v>
      </c>
      <c r="HY39" s="41"/>
      <c r="HZ39" s="41"/>
      <c r="IA39" s="8">
        <v>1</v>
      </c>
      <c r="IB39" s="8">
        <v>1</v>
      </c>
      <c r="IC39" s="8">
        <v>1</v>
      </c>
      <c r="ID39" s="8">
        <v>1</v>
      </c>
      <c r="IE39" s="8">
        <v>1</v>
      </c>
      <c r="IF39" s="41"/>
      <c r="IG39" s="41"/>
      <c r="IH39" s="8">
        <v>1</v>
      </c>
      <c r="II39" s="8">
        <v>1</v>
      </c>
      <c r="IJ39" s="8">
        <v>1</v>
      </c>
      <c r="IK39" s="8">
        <v>1</v>
      </c>
      <c r="IL39" s="8">
        <v>1</v>
      </c>
      <c r="IM39" s="41"/>
      <c r="IN39" s="41"/>
      <c r="IO39" s="8">
        <v>1</v>
      </c>
      <c r="IP39" s="8">
        <v>1</v>
      </c>
      <c r="IQ39" s="8">
        <v>1</v>
      </c>
      <c r="IR39" s="8">
        <v>1</v>
      </c>
      <c r="IS39" s="8">
        <v>1</v>
      </c>
      <c r="IT39" s="41"/>
      <c r="IU39" s="41"/>
      <c r="IV39" s="8">
        <v>1</v>
      </c>
      <c r="IW39" s="8">
        <v>1</v>
      </c>
      <c r="IX39" s="8">
        <v>1</v>
      </c>
      <c r="IY39" s="8">
        <v>1</v>
      </c>
      <c r="IZ39" s="38"/>
      <c r="JA39" s="41"/>
      <c r="JB39" s="41"/>
      <c r="JC39" s="8">
        <v>1</v>
      </c>
      <c r="JD39" s="8">
        <v>1</v>
      </c>
      <c r="JE39" s="8">
        <v>1</v>
      </c>
      <c r="JF39" s="8">
        <v>1</v>
      </c>
      <c r="JG39" s="8">
        <v>1</v>
      </c>
      <c r="JH39" s="41"/>
      <c r="JI39" s="41"/>
      <c r="JJ39" s="8">
        <v>1</v>
      </c>
      <c r="JK39" s="8">
        <v>1</v>
      </c>
      <c r="JL39" s="8">
        <v>1</v>
      </c>
      <c r="JM39" s="8">
        <v>1</v>
      </c>
      <c r="JN39" s="8">
        <v>1</v>
      </c>
      <c r="JO39" s="41"/>
      <c r="JP39" s="41"/>
      <c r="JQ39" s="8">
        <v>1</v>
      </c>
      <c r="JR39" s="8">
        <v>1</v>
      </c>
      <c r="JS39" s="8">
        <v>1</v>
      </c>
      <c r="JT39" s="8">
        <v>1</v>
      </c>
      <c r="JU39" s="8">
        <v>1</v>
      </c>
      <c r="JV39" s="41"/>
      <c r="JW39" s="41"/>
      <c r="JX39" s="8">
        <v>1</v>
      </c>
      <c r="JY39" s="8">
        <v>1</v>
      </c>
      <c r="JZ39" s="8">
        <v>1</v>
      </c>
      <c r="KA39" s="8">
        <v>1</v>
      </c>
      <c r="KB39" s="8">
        <v>1</v>
      </c>
      <c r="KC39" s="41"/>
      <c r="KD39" s="41"/>
      <c r="KE39" s="8">
        <v>1</v>
      </c>
      <c r="KF39" s="8">
        <v>1</v>
      </c>
      <c r="KG39" s="8">
        <v>1</v>
      </c>
      <c r="KH39" s="8">
        <v>1</v>
      </c>
      <c r="KI39" s="8">
        <v>1</v>
      </c>
      <c r="KJ39" s="41"/>
      <c r="KK39" s="41"/>
      <c r="KL39" s="8">
        <v>1</v>
      </c>
      <c r="KM39" s="8">
        <v>1</v>
      </c>
      <c r="KN39" s="8">
        <v>1</v>
      </c>
      <c r="KO39" s="8">
        <v>1</v>
      </c>
      <c r="KP39" s="8">
        <v>1</v>
      </c>
      <c r="KQ39" s="41"/>
      <c r="KR39" s="41"/>
      <c r="KS39" s="8">
        <v>1</v>
      </c>
      <c r="KT39" s="8">
        <v>1</v>
      </c>
      <c r="KU39" s="8">
        <v>1</v>
      </c>
      <c r="KV39" s="8">
        <v>1</v>
      </c>
      <c r="KW39" s="8">
        <v>1</v>
      </c>
      <c r="KX39" s="41"/>
      <c r="KY39" s="41"/>
      <c r="KZ39" s="8">
        <v>1</v>
      </c>
      <c r="LA39" s="8">
        <v>1</v>
      </c>
      <c r="LB39" s="8">
        <v>1</v>
      </c>
      <c r="LC39" s="8">
        <v>1</v>
      </c>
      <c r="LD39" s="8">
        <v>1</v>
      </c>
      <c r="LE39" s="41"/>
      <c r="LF39" s="41"/>
      <c r="LG39" s="8">
        <v>1</v>
      </c>
      <c r="LH39" s="8">
        <v>1</v>
      </c>
      <c r="LI39" s="8">
        <v>1</v>
      </c>
      <c r="LJ39" s="8">
        <v>1</v>
      </c>
      <c r="LK39" s="8">
        <v>1</v>
      </c>
      <c r="LL39" s="41"/>
      <c r="LM39" s="41"/>
      <c r="LN39" s="8">
        <v>1</v>
      </c>
      <c r="LO39" s="8">
        <v>1</v>
      </c>
      <c r="LP39" s="8">
        <v>1</v>
      </c>
      <c r="LQ39" s="8">
        <v>1</v>
      </c>
      <c r="LR39" s="8">
        <v>1</v>
      </c>
      <c r="LS39" s="41"/>
      <c r="LT39" s="41"/>
      <c r="LU39" s="8">
        <v>1</v>
      </c>
      <c r="LV39" s="8">
        <v>1</v>
      </c>
      <c r="LW39" s="8">
        <v>1</v>
      </c>
      <c r="LX39" s="8">
        <v>1</v>
      </c>
      <c r="LY39" s="8">
        <v>1</v>
      </c>
      <c r="LZ39" s="41"/>
      <c r="MA39" s="41"/>
      <c r="MB39" s="8">
        <v>1</v>
      </c>
      <c r="MC39" s="8">
        <v>1</v>
      </c>
      <c r="MD39" s="8">
        <v>1</v>
      </c>
      <c r="ME39" s="8">
        <v>1</v>
      </c>
      <c r="MF39" s="8">
        <v>1</v>
      </c>
      <c r="MG39" s="41"/>
      <c r="MH39" s="41"/>
      <c r="MI39" s="8">
        <v>1</v>
      </c>
      <c r="MJ39" s="8">
        <v>1</v>
      </c>
      <c r="MK39" s="8">
        <v>1</v>
      </c>
      <c r="ML39" s="8">
        <v>1</v>
      </c>
      <c r="MM39" s="8">
        <v>1</v>
      </c>
      <c r="MN39" s="41"/>
      <c r="MO39" s="41"/>
      <c r="MP39" s="8">
        <v>1</v>
      </c>
      <c r="MQ39" s="8">
        <v>1</v>
      </c>
      <c r="MR39" s="8">
        <v>1</v>
      </c>
      <c r="MS39" s="8">
        <v>1</v>
      </c>
      <c r="MT39" s="8">
        <v>1</v>
      </c>
      <c r="MU39" s="41"/>
      <c r="MV39" s="41"/>
      <c r="MW39" s="8">
        <v>1</v>
      </c>
      <c r="MX39" s="8">
        <v>1</v>
      </c>
      <c r="MY39" s="8">
        <v>1</v>
      </c>
      <c r="MZ39" s="8">
        <v>1</v>
      </c>
      <c r="NA39" s="8">
        <v>1</v>
      </c>
      <c r="NB39" s="41"/>
      <c r="NC39" s="41"/>
      <c r="ND39" s="8">
        <v>1</v>
      </c>
      <c r="NE39" s="8">
        <v>1</v>
      </c>
      <c r="NF39" s="8">
        <v>1</v>
      </c>
      <c r="NG39" s="8">
        <v>1</v>
      </c>
      <c r="NH39" s="8">
        <v>1</v>
      </c>
      <c r="NI39" s="41"/>
      <c r="NJ39" s="41"/>
      <c r="NK39" s="8">
        <v>1</v>
      </c>
      <c r="NL39" s="8">
        <v>1</v>
      </c>
      <c r="NM39" s="8">
        <v>1</v>
      </c>
      <c r="NN39" s="8">
        <v>1</v>
      </c>
      <c r="NO39" s="8">
        <v>1</v>
      </c>
      <c r="NP39" s="40"/>
      <c r="NQ39" s="40"/>
      <c r="NR39" s="8">
        <v>1</v>
      </c>
      <c r="NS39" s="8">
        <v>1</v>
      </c>
      <c r="NT39" s="8">
        <v>1</v>
      </c>
      <c r="NU39" s="8">
        <v>1</v>
      </c>
      <c r="NV39" s="8">
        <v>1</v>
      </c>
      <c r="NW39" s="40"/>
      <c r="NX39" s="40"/>
      <c r="NY39" s="8">
        <v>1</v>
      </c>
      <c r="NZ39" s="8">
        <v>1</v>
      </c>
      <c r="OA39" s="8">
        <v>1</v>
      </c>
      <c r="OB39" s="8"/>
      <c r="OC39" s="8">
        <v>1</v>
      </c>
      <c r="OD39" s="41"/>
      <c r="OE39" s="41"/>
      <c r="OF39" s="8">
        <v>1</v>
      </c>
      <c r="OG39" s="8">
        <v>1</v>
      </c>
      <c r="OH39" s="8">
        <v>1</v>
      </c>
      <c r="OI39" s="47"/>
    </row>
    <row r="40" spans="1:451" s="43" customFormat="1" ht="21" x14ac:dyDescent="0.3">
      <c r="A40" s="61" t="s">
        <v>533</v>
      </c>
      <c r="B40" s="62" t="s">
        <v>435</v>
      </c>
      <c r="C40" s="45"/>
      <c r="D40" s="8">
        <v>1</v>
      </c>
      <c r="E40" s="8">
        <v>1</v>
      </c>
      <c r="F40" s="8">
        <v>1</v>
      </c>
      <c r="G40" s="8">
        <v>1</v>
      </c>
      <c r="H40" s="8">
        <v>1</v>
      </c>
      <c r="I40" s="46"/>
      <c r="J40" s="46"/>
      <c r="K40" s="8">
        <v>1</v>
      </c>
      <c r="L40" s="8">
        <v>1</v>
      </c>
      <c r="M40" s="8">
        <v>1</v>
      </c>
      <c r="N40" s="8">
        <v>1</v>
      </c>
      <c r="O40" s="8">
        <v>1</v>
      </c>
      <c r="P40" s="46"/>
      <c r="Q40" s="46"/>
      <c r="R40" s="8">
        <v>1</v>
      </c>
      <c r="S40" s="8">
        <v>1</v>
      </c>
      <c r="T40" s="8">
        <v>1</v>
      </c>
      <c r="U40" s="8">
        <v>1</v>
      </c>
      <c r="V40" s="8">
        <v>1</v>
      </c>
      <c r="W40" s="46"/>
      <c r="X40" s="46"/>
      <c r="Y40" s="8">
        <v>0</v>
      </c>
      <c r="Z40" s="8">
        <v>0</v>
      </c>
      <c r="AA40" s="8"/>
      <c r="AB40" s="8">
        <v>0</v>
      </c>
      <c r="AC40" s="8">
        <v>0</v>
      </c>
      <c r="AD40" s="46"/>
      <c r="AE40" s="46"/>
      <c r="AF40" s="8">
        <v>1</v>
      </c>
      <c r="AG40" s="8">
        <v>1</v>
      </c>
      <c r="AH40" s="38"/>
      <c r="AI40" s="8">
        <v>1</v>
      </c>
      <c r="AJ40" s="8">
        <v>1</v>
      </c>
      <c r="AK40" s="8"/>
      <c r="AL40" s="8"/>
      <c r="AM40" s="109">
        <v>1</v>
      </c>
      <c r="AN40" s="109">
        <v>1</v>
      </c>
      <c r="AO40" s="8">
        <v>1</v>
      </c>
      <c r="AP40" s="8">
        <v>1</v>
      </c>
      <c r="AQ40" s="8">
        <v>1</v>
      </c>
      <c r="AR40" s="39"/>
      <c r="AS40" s="39"/>
      <c r="AT40" s="8">
        <v>1</v>
      </c>
      <c r="AU40" s="8">
        <v>1</v>
      </c>
      <c r="AV40" s="8">
        <v>1</v>
      </c>
      <c r="AW40" s="8">
        <v>1</v>
      </c>
      <c r="AX40" s="8">
        <v>1</v>
      </c>
      <c r="AY40" s="39"/>
      <c r="AZ40" s="39"/>
      <c r="BA40" s="39">
        <v>1</v>
      </c>
      <c r="BB40" s="39">
        <v>1</v>
      </c>
      <c r="BC40" s="39">
        <v>1</v>
      </c>
      <c r="BD40" s="39">
        <v>1</v>
      </c>
      <c r="BE40" s="39">
        <v>1</v>
      </c>
      <c r="BF40" s="39"/>
      <c r="BG40" s="39"/>
      <c r="BH40" s="39">
        <v>1</v>
      </c>
      <c r="BI40" s="39">
        <v>1</v>
      </c>
      <c r="BJ40" s="39">
        <v>1</v>
      </c>
      <c r="BK40" s="39">
        <v>1</v>
      </c>
      <c r="BL40" s="39">
        <v>1</v>
      </c>
      <c r="BM40" s="40"/>
      <c r="BN40" s="40"/>
      <c r="BO40" s="8">
        <v>1</v>
      </c>
      <c r="BP40" s="8">
        <v>1</v>
      </c>
      <c r="BQ40" s="8">
        <v>1</v>
      </c>
      <c r="BR40" s="8">
        <v>1</v>
      </c>
      <c r="BS40" s="8">
        <v>1</v>
      </c>
      <c r="BT40" s="40"/>
      <c r="BU40" s="40"/>
      <c r="BV40" s="8">
        <v>1</v>
      </c>
      <c r="BW40" s="8">
        <v>1</v>
      </c>
      <c r="BX40" s="8">
        <v>1</v>
      </c>
      <c r="BY40" s="8">
        <v>1</v>
      </c>
      <c r="BZ40" s="8">
        <v>1</v>
      </c>
      <c r="CA40" s="40"/>
      <c r="CB40" s="40"/>
      <c r="CC40" s="8">
        <v>1</v>
      </c>
      <c r="CD40" s="8">
        <v>1</v>
      </c>
      <c r="CE40" s="8">
        <v>1</v>
      </c>
      <c r="CF40" s="8">
        <v>1</v>
      </c>
      <c r="CG40" s="8">
        <v>1</v>
      </c>
      <c r="CH40" s="40"/>
      <c r="CI40" s="40"/>
      <c r="CJ40" s="8">
        <v>1</v>
      </c>
      <c r="CK40" s="8">
        <v>1</v>
      </c>
      <c r="CL40" s="8">
        <v>1</v>
      </c>
      <c r="CM40" s="8">
        <v>1</v>
      </c>
      <c r="CN40" s="8">
        <v>1</v>
      </c>
      <c r="CO40" s="40"/>
      <c r="CP40" s="40"/>
      <c r="CQ40" s="8">
        <v>0</v>
      </c>
      <c r="CR40" s="8">
        <v>0</v>
      </c>
      <c r="CS40" s="8">
        <v>0</v>
      </c>
      <c r="CT40" s="8">
        <v>0</v>
      </c>
      <c r="CU40" s="8">
        <v>0</v>
      </c>
      <c r="CV40" s="40"/>
      <c r="CW40" s="40"/>
      <c r="CX40" s="8">
        <v>1</v>
      </c>
      <c r="CY40" s="8">
        <v>1</v>
      </c>
      <c r="CZ40" s="8">
        <v>1</v>
      </c>
      <c r="DA40" s="8">
        <v>1</v>
      </c>
      <c r="DB40" s="8">
        <v>1</v>
      </c>
      <c r="DC40" s="40"/>
      <c r="DD40" s="40"/>
      <c r="DE40" s="8">
        <v>1</v>
      </c>
      <c r="DF40" s="8">
        <v>1</v>
      </c>
      <c r="DG40" s="8">
        <v>1</v>
      </c>
      <c r="DH40" s="8">
        <v>1</v>
      </c>
      <c r="DI40" s="8">
        <v>1</v>
      </c>
      <c r="DJ40" s="40"/>
      <c r="DK40" s="40"/>
      <c r="DL40" s="8">
        <v>1</v>
      </c>
      <c r="DM40" s="8">
        <v>1</v>
      </c>
      <c r="DN40" s="8">
        <v>1</v>
      </c>
      <c r="DO40" s="8">
        <v>1</v>
      </c>
      <c r="DP40" s="8">
        <v>1</v>
      </c>
      <c r="DQ40" s="41"/>
      <c r="DR40" s="41"/>
      <c r="DS40" s="8">
        <v>1</v>
      </c>
      <c r="DT40" s="8">
        <v>1</v>
      </c>
      <c r="DU40" s="8">
        <v>1</v>
      </c>
      <c r="DV40" s="8">
        <v>1</v>
      </c>
      <c r="DW40" s="8">
        <v>1</v>
      </c>
      <c r="DX40" s="41"/>
      <c r="DY40" s="41"/>
      <c r="DZ40" s="8">
        <v>1</v>
      </c>
      <c r="EA40" s="8">
        <v>1</v>
      </c>
      <c r="EB40" s="8">
        <v>1</v>
      </c>
      <c r="EC40" s="8">
        <v>1</v>
      </c>
      <c r="ED40" s="8">
        <v>1</v>
      </c>
      <c r="EE40" s="41"/>
      <c r="EF40" s="41"/>
      <c r="EG40" s="8">
        <v>1</v>
      </c>
      <c r="EH40" s="8">
        <v>1</v>
      </c>
      <c r="EI40" s="8">
        <v>1</v>
      </c>
      <c r="EJ40" s="8">
        <v>1</v>
      </c>
      <c r="EK40" s="8">
        <v>1</v>
      </c>
      <c r="EL40" s="41"/>
      <c r="EM40" s="41"/>
      <c r="EN40" s="38"/>
      <c r="EO40" s="8">
        <v>1</v>
      </c>
      <c r="EP40" s="8">
        <v>1</v>
      </c>
      <c r="EQ40" s="8">
        <v>1</v>
      </c>
      <c r="ER40" s="8">
        <v>1</v>
      </c>
      <c r="ES40" s="41"/>
      <c r="ET40" s="41"/>
      <c r="EU40" s="8">
        <v>1</v>
      </c>
      <c r="EV40" s="8">
        <v>1</v>
      </c>
      <c r="EW40" s="8">
        <v>1</v>
      </c>
      <c r="EX40" s="38"/>
      <c r="EY40" s="8">
        <v>1</v>
      </c>
      <c r="EZ40" s="41"/>
      <c r="FA40" s="41"/>
      <c r="FB40" s="8">
        <v>1</v>
      </c>
      <c r="FC40" s="8">
        <v>1</v>
      </c>
      <c r="FD40" s="8">
        <v>1</v>
      </c>
      <c r="FE40" s="38"/>
      <c r="FF40" s="8">
        <v>1</v>
      </c>
      <c r="FG40" s="41"/>
      <c r="FH40" s="41"/>
      <c r="FI40" s="8">
        <v>1</v>
      </c>
      <c r="FJ40" s="8">
        <v>1</v>
      </c>
      <c r="FK40" s="8">
        <v>1</v>
      </c>
      <c r="FL40" s="8">
        <v>1</v>
      </c>
      <c r="FM40" s="8">
        <v>1</v>
      </c>
      <c r="FN40" s="41"/>
      <c r="FO40" s="41"/>
      <c r="FP40" s="8">
        <v>1</v>
      </c>
      <c r="FQ40" s="8">
        <v>1</v>
      </c>
      <c r="FR40" s="8">
        <v>1</v>
      </c>
      <c r="FS40" s="8">
        <v>1</v>
      </c>
      <c r="FT40" s="8">
        <v>1</v>
      </c>
      <c r="FU40" s="41"/>
      <c r="FV40" s="41"/>
      <c r="FW40" s="8">
        <v>1</v>
      </c>
      <c r="FX40" s="8">
        <v>1</v>
      </c>
      <c r="FY40" s="8">
        <v>1</v>
      </c>
      <c r="FZ40" s="38"/>
      <c r="GA40" s="8">
        <v>1</v>
      </c>
      <c r="GB40" s="41"/>
      <c r="GC40" s="41"/>
      <c r="GD40" s="8">
        <v>1</v>
      </c>
      <c r="GE40" s="8">
        <v>1</v>
      </c>
      <c r="GF40" s="8">
        <v>1</v>
      </c>
      <c r="GG40" s="8">
        <v>1</v>
      </c>
      <c r="GH40" s="8">
        <v>1</v>
      </c>
      <c r="GI40" s="41"/>
      <c r="GJ40" s="41"/>
      <c r="GK40" s="38"/>
      <c r="GL40" s="8">
        <v>1</v>
      </c>
      <c r="GM40" s="8">
        <v>1</v>
      </c>
      <c r="GN40" s="8">
        <v>1</v>
      </c>
      <c r="GO40" s="8">
        <v>1</v>
      </c>
      <c r="GP40" s="41"/>
      <c r="GQ40" s="41"/>
      <c r="GR40" s="8">
        <v>1</v>
      </c>
      <c r="GS40" s="8">
        <v>1</v>
      </c>
      <c r="GT40" s="8">
        <v>1</v>
      </c>
      <c r="GU40" s="8">
        <v>1</v>
      </c>
      <c r="GV40" s="8">
        <v>1</v>
      </c>
      <c r="GW40" s="41"/>
      <c r="GX40" s="41"/>
      <c r="GY40" s="8">
        <v>1</v>
      </c>
      <c r="GZ40" s="8">
        <v>1</v>
      </c>
      <c r="HA40" s="8">
        <v>1</v>
      </c>
      <c r="HB40" s="8">
        <v>1</v>
      </c>
      <c r="HC40" s="8">
        <v>1</v>
      </c>
      <c r="HD40" s="41"/>
      <c r="HE40" s="41"/>
      <c r="HF40" s="8">
        <v>1</v>
      </c>
      <c r="HG40" s="8">
        <v>1</v>
      </c>
      <c r="HH40" s="8">
        <v>1</v>
      </c>
      <c r="HI40" s="8">
        <v>1</v>
      </c>
      <c r="HJ40" s="8">
        <v>1</v>
      </c>
      <c r="HK40" s="41"/>
      <c r="HL40" s="41"/>
      <c r="HM40" s="8">
        <v>1</v>
      </c>
      <c r="HN40" s="8">
        <v>1</v>
      </c>
      <c r="HO40" s="8">
        <v>1</v>
      </c>
      <c r="HP40" s="8">
        <v>1</v>
      </c>
      <c r="HQ40" s="8">
        <v>1</v>
      </c>
      <c r="HR40" s="41"/>
      <c r="HS40" s="41"/>
      <c r="HT40" s="38"/>
      <c r="HU40" s="8">
        <v>1</v>
      </c>
      <c r="HV40" s="8">
        <v>1</v>
      </c>
      <c r="HW40" s="8">
        <v>1</v>
      </c>
      <c r="HX40" s="8">
        <v>1</v>
      </c>
      <c r="HY40" s="41"/>
      <c r="HZ40" s="41"/>
      <c r="IA40" s="8">
        <v>1</v>
      </c>
      <c r="IB40" s="8">
        <v>1</v>
      </c>
      <c r="IC40" s="8">
        <v>1</v>
      </c>
      <c r="ID40" s="8">
        <v>1</v>
      </c>
      <c r="IE40" s="8">
        <v>1</v>
      </c>
      <c r="IF40" s="41"/>
      <c r="IG40" s="41"/>
      <c r="IH40" s="8">
        <v>1</v>
      </c>
      <c r="II40" s="8">
        <v>1</v>
      </c>
      <c r="IJ40" s="8">
        <v>1</v>
      </c>
      <c r="IK40" s="8">
        <v>1</v>
      </c>
      <c r="IL40" s="8">
        <v>1</v>
      </c>
      <c r="IM40" s="41"/>
      <c r="IN40" s="41"/>
      <c r="IO40" s="8">
        <v>1</v>
      </c>
      <c r="IP40" s="8">
        <v>1</v>
      </c>
      <c r="IQ40" s="8">
        <v>1</v>
      </c>
      <c r="IR40" s="8">
        <v>1</v>
      </c>
      <c r="IS40" s="8">
        <v>1</v>
      </c>
      <c r="IT40" s="41"/>
      <c r="IU40" s="41"/>
      <c r="IV40" s="8">
        <v>1</v>
      </c>
      <c r="IW40" s="8">
        <v>1</v>
      </c>
      <c r="IX40" s="8">
        <v>1</v>
      </c>
      <c r="IY40" s="8">
        <v>1</v>
      </c>
      <c r="IZ40" s="38"/>
      <c r="JA40" s="41"/>
      <c r="JB40" s="41"/>
      <c r="JC40" s="8">
        <v>1</v>
      </c>
      <c r="JD40" s="8">
        <v>1</v>
      </c>
      <c r="JE40" s="8">
        <v>1</v>
      </c>
      <c r="JF40" s="8">
        <v>1</v>
      </c>
      <c r="JG40" s="8">
        <v>1</v>
      </c>
      <c r="JH40" s="41"/>
      <c r="JI40" s="41"/>
      <c r="JJ40" s="8">
        <v>1</v>
      </c>
      <c r="JK40" s="8">
        <v>1</v>
      </c>
      <c r="JL40" s="8">
        <v>1</v>
      </c>
      <c r="JM40" s="8">
        <v>1</v>
      </c>
      <c r="JN40" s="8">
        <v>1</v>
      </c>
      <c r="JO40" s="41"/>
      <c r="JP40" s="41"/>
      <c r="JQ40" s="8">
        <v>1</v>
      </c>
      <c r="JR40" s="8">
        <v>1</v>
      </c>
      <c r="JS40" s="8">
        <v>1</v>
      </c>
      <c r="JT40" s="8">
        <v>1</v>
      </c>
      <c r="JU40" s="8">
        <v>1</v>
      </c>
      <c r="JV40" s="41"/>
      <c r="JW40" s="41"/>
      <c r="JX40" s="8">
        <v>1</v>
      </c>
      <c r="JY40" s="8">
        <v>1</v>
      </c>
      <c r="JZ40" s="8">
        <v>1</v>
      </c>
      <c r="KA40" s="8">
        <v>1</v>
      </c>
      <c r="KB40" s="8">
        <v>1</v>
      </c>
      <c r="KC40" s="41"/>
      <c r="KD40" s="41"/>
      <c r="KE40" s="8">
        <v>1</v>
      </c>
      <c r="KF40" s="8">
        <v>1</v>
      </c>
      <c r="KG40" s="8">
        <v>1</v>
      </c>
      <c r="KH40" s="8">
        <v>1</v>
      </c>
      <c r="KI40" s="8">
        <v>1</v>
      </c>
      <c r="KJ40" s="41"/>
      <c r="KK40" s="41"/>
      <c r="KL40" s="8">
        <v>1</v>
      </c>
      <c r="KM40" s="8">
        <v>1</v>
      </c>
      <c r="KN40" s="8">
        <v>1</v>
      </c>
      <c r="KO40" s="8">
        <v>1</v>
      </c>
      <c r="KP40" s="8">
        <v>1</v>
      </c>
      <c r="KQ40" s="41"/>
      <c r="KR40" s="41"/>
      <c r="KS40" s="8">
        <v>1</v>
      </c>
      <c r="KT40" s="8">
        <v>1</v>
      </c>
      <c r="KU40" s="8">
        <v>1</v>
      </c>
      <c r="KV40" s="8">
        <v>1</v>
      </c>
      <c r="KW40" s="8">
        <v>1</v>
      </c>
      <c r="KX40" s="41"/>
      <c r="KY40" s="41"/>
      <c r="KZ40" s="8">
        <v>1</v>
      </c>
      <c r="LA40" s="8">
        <v>1</v>
      </c>
      <c r="LB40" s="8">
        <v>1</v>
      </c>
      <c r="LC40" s="8">
        <v>1</v>
      </c>
      <c r="LD40" s="8">
        <v>1</v>
      </c>
      <c r="LE40" s="41"/>
      <c r="LF40" s="41"/>
      <c r="LG40" s="8">
        <v>1</v>
      </c>
      <c r="LH40" s="8">
        <v>1</v>
      </c>
      <c r="LI40" s="8">
        <v>1</v>
      </c>
      <c r="LJ40" s="8">
        <v>1</v>
      </c>
      <c r="LK40" s="8">
        <v>1</v>
      </c>
      <c r="LL40" s="41"/>
      <c r="LM40" s="41"/>
      <c r="LN40" s="8">
        <v>1</v>
      </c>
      <c r="LO40" s="8">
        <v>1</v>
      </c>
      <c r="LP40" s="8">
        <v>1</v>
      </c>
      <c r="LQ40" s="8">
        <v>1</v>
      </c>
      <c r="LR40" s="8">
        <v>1</v>
      </c>
      <c r="LS40" s="41"/>
      <c r="LT40" s="41"/>
      <c r="LU40" s="8">
        <v>1</v>
      </c>
      <c r="LV40" s="8">
        <v>1</v>
      </c>
      <c r="LW40" s="8">
        <v>1</v>
      </c>
      <c r="LX40" s="8">
        <v>1</v>
      </c>
      <c r="LY40" s="8">
        <v>1</v>
      </c>
      <c r="LZ40" s="41"/>
      <c r="MA40" s="41"/>
      <c r="MB40" s="8">
        <v>1</v>
      </c>
      <c r="MC40" s="8">
        <v>1</v>
      </c>
      <c r="MD40" s="8">
        <v>1</v>
      </c>
      <c r="ME40" s="8">
        <v>1</v>
      </c>
      <c r="MF40" s="8">
        <v>1</v>
      </c>
      <c r="MG40" s="41"/>
      <c r="MH40" s="41"/>
      <c r="MI40" s="8">
        <v>1</v>
      </c>
      <c r="MJ40" s="8">
        <v>1</v>
      </c>
      <c r="MK40" s="8">
        <v>1</v>
      </c>
      <c r="ML40" s="8">
        <v>1</v>
      </c>
      <c r="MM40" s="8">
        <v>1</v>
      </c>
      <c r="MN40" s="41"/>
      <c r="MO40" s="41"/>
      <c r="MP40" s="8">
        <v>1</v>
      </c>
      <c r="MQ40" s="8">
        <v>1</v>
      </c>
      <c r="MR40" s="8">
        <v>1</v>
      </c>
      <c r="MS40" s="8">
        <v>1</v>
      </c>
      <c r="MT40" s="8">
        <v>1</v>
      </c>
      <c r="MU40" s="41"/>
      <c r="MV40" s="41"/>
      <c r="MW40" s="8">
        <v>1</v>
      </c>
      <c r="MX40" s="8">
        <v>1</v>
      </c>
      <c r="MY40" s="8">
        <v>1</v>
      </c>
      <c r="MZ40" s="8">
        <v>1</v>
      </c>
      <c r="NA40" s="8">
        <v>1</v>
      </c>
      <c r="NB40" s="41"/>
      <c r="NC40" s="41"/>
      <c r="ND40" s="8">
        <v>1</v>
      </c>
      <c r="NE40" s="8">
        <v>1</v>
      </c>
      <c r="NF40" s="8">
        <v>1</v>
      </c>
      <c r="NG40" s="8">
        <v>1</v>
      </c>
      <c r="NH40" s="8">
        <v>1</v>
      </c>
      <c r="NI40" s="41"/>
      <c r="NJ40" s="41"/>
      <c r="NK40" s="8">
        <v>1</v>
      </c>
      <c r="NL40" s="8">
        <v>1</v>
      </c>
      <c r="NM40" s="8">
        <v>1</v>
      </c>
      <c r="NN40" s="8">
        <v>1</v>
      </c>
      <c r="NO40" s="8">
        <v>1</v>
      </c>
      <c r="NP40" s="40"/>
      <c r="NQ40" s="40"/>
      <c r="NR40" s="8">
        <v>1</v>
      </c>
      <c r="NS40" s="8">
        <v>1</v>
      </c>
      <c r="NT40" s="8">
        <v>1</v>
      </c>
      <c r="NU40" s="8">
        <v>1</v>
      </c>
      <c r="NV40" s="8">
        <v>1</v>
      </c>
      <c r="NW40" s="40"/>
      <c r="NX40" s="40"/>
      <c r="NY40" s="8">
        <v>1</v>
      </c>
      <c r="NZ40" s="8">
        <v>1</v>
      </c>
      <c r="OA40" s="8">
        <v>1</v>
      </c>
      <c r="OB40" s="8"/>
      <c r="OC40" s="8">
        <v>1</v>
      </c>
      <c r="OD40" s="41"/>
      <c r="OE40" s="41"/>
      <c r="OF40" s="8">
        <v>1</v>
      </c>
      <c r="OG40" s="8">
        <v>1</v>
      </c>
      <c r="OH40" s="8">
        <v>1</v>
      </c>
      <c r="OI40" s="32"/>
      <c r="OJ40" s="33"/>
      <c r="OK40" s="33"/>
      <c r="OL40" s="33"/>
      <c r="OM40" s="33"/>
      <c r="ON40" s="33"/>
      <c r="OO40" s="33"/>
      <c r="OP40" s="33"/>
      <c r="OQ40" s="33"/>
      <c r="OR40" s="33"/>
      <c r="OS40" s="33"/>
      <c r="OT40" s="33"/>
      <c r="OU40" s="33"/>
      <c r="OV40" s="33"/>
      <c r="OW40" s="33"/>
      <c r="OX40" s="33"/>
      <c r="OY40" s="33"/>
      <c r="OZ40" s="33"/>
      <c r="PA40" s="33"/>
      <c r="PB40" s="33"/>
      <c r="PC40" s="33"/>
      <c r="PD40" s="33"/>
      <c r="PE40" s="33"/>
      <c r="PF40" s="33"/>
      <c r="PG40" s="33"/>
      <c r="PH40" s="33"/>
      <c r="PI40" s="33"/>
      <c r="PJ40" s="33"/>
      <c r="PK40" s="33"/>
      <c r="PL40" s="33"/>
      <c r="PM40" s="33"/>
      <c r="PN40" s="33"/>
      <c r="PO40" s="33"/>
      <c r="PP40" s="33"/>
      <c r="PQ40" s="33"/>
      <c r="PR40" s="33"/>
      <c r="PS40" s="33"/>
      <c r="PT40" s="33"/>
      <c r="PU40" s="42"/>
      <c r="PV40" s="42"/>
      <c r="PW40" s="42"/>
      <c r="PX40" s="42"/>
      <c r="PY40" s="42"/>
      <c r="PZ40" s="42"/>
      <c r="QA40" s="42"/>
      <c r="QB40" s="42"/>
      <c r="QC40" s="42"/>
      <c r="QD40" s="42"/>
      <c r="QE40" s="42"/>
      <c r="QF40" s="42"/>
      <c r="QG40" s="42"/>
      <c r="QH40" s="42"/>
      <c r="QI40" s="42"/>
    </row>
    <row r="41" spans="1:451" s="31" customFormat="1" ht="21" x14ac:dyDescent="0.3">
      <c r="A41" s="61" t="s">
        <v>534</v>
      </c>
      <c r="B41" s="62" t="s">
        <v>435</v>
      </c>
      <c r="C41" s="45"/>
      <c r="D41" s="8">
        <v>1</v>
      </c>
      <c r="E41" s="8">
        <v>1</v>
      </c>
      <c r="F41" s="8">
        <v>1</v>
      </c>
      <c r="G41" s="8">
        <v>1</v>
      </c>
      <c r="H41" s="8">
        <v>1</v>
      </c>
      <c r="I41" s="46"/>
      <c r="J41" s="46"/>
      <c r="K41" s="8">
        <v>1</v>
      </c>
      <c r="L41" s="8">
        <v>1</v>
      </c>
      <c r="M41" s="8">
        <v>1</v>
      </c>
      <c r="N41" s="8">
        <v>1</v>
      </c>
      <c r="O41" s="8">
        <v>1</v>
      </c>
      <c r="P41" s="46"/>
      <c r="Q41" s="46"/>
      <c r="R41" s="8">
        <v>1</v>
      </c>
      <c r="S41" s="8">
        <v>1</v>
      </c>
      <c r="T41" s="8">
        <v>1</v>
      </c>
      <c r="U41" s="8">
        <v>1</v>
      </c>
      <c r="V41" s="8">
        <v>1</v>
      </c>
      <c r="W41" s="46"/>
      <c r="X41" s="46"/>
      <c r="Y41" s="8">
        <v>1</v>
      </c>
      <c r="Z41" s="8">
        <v>0</v>
      </c>
      <c r="AA41" s="8"/>
      <c r="AB41" s="8">
        <v>0</v>
      </c>
      <c r="AC41" s="8">
        <v>0</v>
      </c>
      <c r="AD41" s="46"/>
      <c r="AE41" s="46"/>
      <c r="AF41" s="8">
        <v>1</v>
      </c>
      <c r="AG41" s="8">
        <v>1</v>
      </c>
      <c r="AH41" s="38"/>
      <c r="AI41" s="8">
        <v>1</v>
      </c>
      <c r="AJ41" s="8">
        <v>1</v>
      </c>
      <c r="AK41" s="8"/>
      <c r="AL41" s="8"/>
      <c r="AM41" s="109">
        <v>1</v>
      </c>
      <c r="AN41" s="109">
        <v>1</v>
      </c>
      <c r="AO41" s="8">
        <v>1</v>
      </c>
      <c r="AP41" s="8">
        <v>1</v>
      </c>
      <c r="AQ41" s="8">
        <v>1</v>
      </c>
      <c r="AR41" s="39"/>
      <c r="AS41" s="39"/>
      <c r="AT41" s="8">
        <v>1</v>
      </c>
      <c r="AU41" s="8">
        <v>1</v>
      </c>
      <c r="AV41" s="8">
        <v>1</v>
      </c>
      <c r="AW41" s="8">
        <v>1</v>
      </c>
      <c r="AX41" s="8">
        <v>1</v>
      </c>
      <c r="AY41" s="39"/>
      <c r="AZ41" s="39"/>
      <c r="BA41" s="39">
        <v>1</v>
      </c>
      <c r="BB41" s="39">
        <v>1</v>
      </c>
      <c r="BC41" s="39">
        <v>1</v>
      </c>
      <c r="BD41" s="39">
        <v>1</v>
      </c>
      <c r="BE41" s="39">
        <v>1</v>
      </c>
      <c r="BF41" s="39"/>
      <c r="BG41" s="39"/>
      <c r="BH41" s="39">
        <v>1</v>
      </c>
      <c r="BI41" s="39">
        <v>1</v>
      </c>
      <c r="BJ41" s="39">
        <v>1</v>
      </c>
      <c r="BK41" s="39">
        <v>1</v>
      </c>
      <c r="BL41" s="39">
        <v>1</v>
      </c>
      <c r="BM41" s="40"/>
      <c r="BN41" s="40"/>
      <c r="BO41" s="8">
        <v>1</v>
      </c>
      <c r="BP41" s="8">
        <v>1</v>
      </c>
      <c r="BQ41" s="8">
        <v>1</v>
      </c>
      <c r="BR41" s="8">
        <v>1</v>
      </c>
      <c r="BS41" s="8">
        <v>1</v>
      </c>
      <c r="BT41" s="40"/>
      <c r="BU41" s="40"/>
      <c r="BV41" s="8">
        <v>1</v>
      </c>
      <c r="BW41" s="8">
        <v>1</v>
      </c>
      <c r="BX41" s="8">
        <v>1</v>
      </c>
      <c r="BY41" s="8">
        <v>1</v>
      </c>
      <c r="BZ41" s="8">
        <v>1</v>
      </c>
      <c r="CA41" s="40"/>
      <c r="CB41" s="40"/>
      <c r="CC41" s="8">
        <v>1</v>
      </c>
      <c r="CD41" s="8">
        <v>1</v>
      </c>
      <c r="CE41" s="8">
        <v>1</v>
      </c>
      <c r="CF41" s="8">
        <v>1</v>
      </c>
      <c r="CG41" s="8">
        <v>1</v>
      </c>
      <c r="CH41" s="40"/>
      <c r="CI41" s="40"/>
      <c r="CJ41" s="8">
        <v>1</v>
      </c>
      <c r="CK41" s="8">
        <v>1</v>
      </c>
      <c r="CL41" s="8">
        <v>1</v>
      </c>
      <c r="CM41" s="8">
        <v>1</v>
      </c>
      <c r="CN41" s="8">
        <v>1</v>
      </c>
      <c r="CO41" s="40"/>
      <c r="CP41" s="40"/>
      <c r="CQ41" s="8">
        <v>1</v>
      </c>
      <c r="CR41" s="8">
        <v>1</v>
      </c>
      <c r="CS41" s="8">
        <v>1</v>
      </c>
      <c r="CT41" s="8">
        <v>1</v>
      </c>
      <c r="CU41" s="8">
        <v>1</v>
      </c>
      <c r="CV41" s="40"/>
      <c r="CW41" s="40"/>
      <c r="CX41" s="8">
        <v>1</v>
      </c>
      <c r="CY41" s="8">
        <v>1</v>
      </c>
      <c r="CZ41" s="8">
        <v>1</v>
      </c>
      <c r="DA41" s="8">
        <v>1</v>
      </c>
      <c r="DB41" s="8">
        <v>1</v>
      </c>
      <c r="DC41" s="40"/>
      <c r="DD41" s="40"/>
      <c r="DE41" s="8">
        <v>1</v>
      </c>
      <c r="DF41" s="8">
        <v>1</v>
      </c>
      <c r="DG41" s="8">
        <v>1</v>
      </c>
      <c r="DH41" s="8">
        <v>1</v>
      </c>
      <c r="DI41" s="8">
        <v>1</v>
      </c>
      <c r="DJ41" s="40"/>
      <c r="DK41" s="40"/>
      <c r="DL41" s="8">
        <v>1</v>
      </c>
      <c r="DM41" s="8">
        <v>1</v>
      </c>
      <c r="DN41" s="8">
        <v>1</v>
      </c>
      <c r="DO41" s="8">
        <v>1</v>
      </c>
      <c r="DP41" s="8">
        <v>1</v>
      </c>
      <c r="DQ41" s="41"/>
      <c r="DR41" s="41"/>
      <c r="DS41" s="8">
        <v>1</v>
      </c>
      <c r="DT41" s="8">
        <v>1</v>
      </c>
      <c r="DU41" s="8">
        <v>1</v>
      </c>
      <c r="DV41" s="8">
        <v>1</v>
      </c>
      <c r="DW41" s="8">
        <v>1</v>
      </c>
      <c r="DX41" s="41"/>
      <c r="DY41" s="41"/>
      <c r="DZ41" s="8">
        <v>1</v>
      </c>
      <c r="EA41" s="8">
        <v>1</v>
      </c>
      <c r="EB41" s="8">
        <v>1</v>
      </c>
      <c r="EC41" s="8">
        <v>1</v>
      </c>
      <c r="ED41" s="8">
        <v>1</v>
      </c>
      <c r="EE41" s="41"/>
      <c r="EF41" s="41"/>
      <c r="EG41" s="8">
        <v>1</v>
      </c>
      <c r="EH41" s="8">
        <v>1</v>
      </c>
      <c r="EI41" s="8">
        <v>1</v>
      </c>
      <c r="EJ41" s="8">
        <v>1</v>
      </c>
      <c r="EK41" s="8">
        <v>1</v>
      </c>
      <c r="EL41" s="41"/>
      <c r="EM41" s="41"/>
      <c r="EN41" s="38"/>
      <c r="EO41" s="8">
        <v>1</v>
      </c>
      <c r="EP41" s="8">
        <v>1</v>
      </c>
      <c r="EQ41" s="8">
        <v>1</v>
      </c>
      <c r="ER41" s="8">
        <v>1</v>
      </c>
      <c r="ES41" s="41"/>
      <c r="ET41" s="41"/>
      <c r="EU41" s="8">
        <v>1</v>
      </c>
      <c r="EV41" s="8">
        <v>1</v>
      </c>
      <c r="EW41" s="8">
        <v>1</v>
      </c>
      <c r="EX41" s="38"/>
      <c r="EY41" s="8">
        <v>1</v>
      </c>
      <c r="EZ41" s="41"/>
      <c r="FA41" s="41"/>
      <c r="FB41" s="8">
        <v>1</v>
      </c>
      <c r="FC41" s="8">
        <v>1</v>
      </c>
      <c r="FD41" s="8">
        <v>1</v>
      </c>
      <c r="FE41" s="38"/>
      <c r="FF41" s="8">
        <v>1</v>
      </c>
      <c r="FG41" s="41"/>
      <c r="FH41" s="41"/>
      <c r="FI41" s="8">
        <v>1</v>
      </c>
      <c r="FJ41" s="8">
        <v>1</v>
      </c>
      <c r="FK41" s="8">
        <v>1</v>
      </c>
      <c r="FL41" s="8">
        <v>1</v>
      </c>
      <c r="FM41" s="8">
        <v>1</v>
      </c>
      <c r="FN41" s="41"/>
      <c r="FO41" s="41"/>
      <c r="FP41" s="8">
        <v>1</v>
      </c>
      <c r="FQ41" s="8">
        <v>1</v>
      </c>
      <c r="FR41" s="8">
        <v>1</v>
      </c>
      <c r="FS41" s="8">
        <v>1</v>
      </c>
      <c r="FT41" s="8">
        <v>1</v>
      </c>
      <c r="FU41" s="41"/>
      <c r="FV41" s="41"/>
      <c r="FW41" s="8">
        <v>1</v>
      </c>
      <c r="FX41" s="8">
        <v>1</v>
      </c>
      <c r="FY41" s="8">
        <v>1</v>
      </c>
      <c r="FZ41" s="38"/>
      <c r="GA41" s="8">
        <v>1</v>
      </c>
      <c r="GB41" s="41"/>
      <c r="GC41" s="41"/>
      <c r="GD41" s="8">
        <v>1</v>
      </c>
      <c r="GE41" s="8">
        <v>1</v>
      </c>
      <c r="GF41" s="8">
        <v>1</v>
      </c>
      <c r="GG41" s="8">
        <v>1</v>
      </c>
      <c r="GH41" s="8">
        <v>1</v>
      </c>
      <c r="GI41" s="41"/>
      <c r="GJ41" s="41"/>
      <c r="GK41" s="38"/>
      <c r="GL41" s="8">
        <v>1</v>
      </c>
      <c r="GM41" s="8">
        <v>1</v>
      </c>
      <c r="GN41" s="8">
        <v>1</v>
      </c>
      <c r="GO41" s="8">
        <v>1</v>
      </c>
      <c r="GP41" s="41"/>
      <c r="GQ41" s="41"/>
      <c r="GR41" s="8">
        <v>1</v>
      </c>
      <c r="GS41" s="8">
        <v>1</v>
      </c>
      <c r="GT41" s="8">
        <v>1</v>
      </c>
      <c r="GU41" s="8">
        <v>1</v>
      </c>
      <c r="GV41" s="8">
        <v>1</v>
      </c>
      <c r="GW41" s="41"/>
      <c r="GX41" s="41"/>
      <c r="GY41" s="8">
        <v>1</v>
      </c>
      <c r="GZ41" s="8">
        <v>1</v>
      </c>
      <c r="HA41" s="8">
        <v>1</v>
      </c>
      <c r="HB41" s="8">
        <v>1</v>
      </c>
      <c r="HC41" s="8">
        <v>1</v>
      </c>
      <c r="HD41" s="41"/>
      <c r="HE41" s="41"/>
      <c r="HF41" s="8">
        <v>1</v>
      </c>
      <c r="HG41" s="8">
        <v>1</v>
      </c>
      <c r="HH41" s="8">
        <v>1</v>
      </c>
      <c r="HI41" s="8">
        <v>1</v>
      </c>
      <c r="HJ41" s="8">
        <v>1</v>
      </c>
      <c r="HK41" s="41"/>
      <c r="HL41" s="41"/>
      <c r="HM41" s="8">
        <v>1</v>
      </c>
      <c r="HN41" s="8">
        <v>1</v>
      </c>
      <c r="HO41" s="8">
        <v>1</v>
      </c>
      <c r="HP41" s="8">
        <v>1</v>
      </c>
      <c r="HQ41" s="8">
        <v>1</v>
      </c>
      <c r="HR41" s="41"/>
      <c r="HS41" s="41"/>
      <c r="HT41" s="38"/>
      <c r="HU41" s="8">
        <v>1</v>
      </c>
      <c r="HV41" s="8">
        <v>1</v>
      </c>
      <c r="HW41" s="8">
        <v>1</v>
      </c>
      <c r="HX41" s="8">
        <v>1</v>
      </c>
      <c r="HY41" s="41"/>
      <c r="HZ41" s="41"/>
      <c r="IA41" s="8">
        <v>1</v>
      </c>
      <c r="IB41" s="8">
        <v>1</v>
      </c>
      <c r="IC41" s="8">
        <v>1</v>
      </c>
      <c r="ID41" s="8">
        <v>1</v>
      </c>
      <c r="IE41" s="8">
        <v>1</v>
      </c>
      <c r="IF41" s="41"/>
      <c r="IG41" s="41"/>
      <c r="IH41" s="8">
        <v>1</v>
      </c>
      <c r="II41" s="8">
        <v>1</v>
      </c>
      <c r="IJ41" s="8">
        <v>1</v>
      </c>
      <c r="IK41" s="8">
        <v>1</v>
      </c>
      <c r="IL41" s="8">
        <v>1</v>
      </c>
      <c r="IM41" s="41"/>
      <c r="IN41" s="41"/>
      <c r="IO41" s="8">
        <v>1</v>
      </c>
      <c r="IP41" s="8">
        <v>1</v>
      </c>
      <c r="IQ41" s="8">
        <v>1</v>
      </c>
      <c r="IR41" s="8">
        <v>1</v>
      </c>
      <c r="IS41" s="8">
        <v>1</v>
      </c>
      <c r="IT41" s="41"/>
      <c r="IU41" s="41"/>
      <c r="IV41" s="8">
        <v>1</v>
      </c>
      <c r="IW41" s="8">
        <v>1</v>
      </c>
      <c r="IX41" s="8">
        <v>1</v>
      </c>
      <c r="IY41" s="8">
        <v>1</v>
      </c>
      <c r="IZ41" s="38"/>
      <c r="JA41" s="41"/>
      <c r="JB41" s="41"/>
      <c r="JC41" s="8">
        <v>1</v>
      </c>
      <c r="JD41" s="8">
        <v>1</v>
      </c>
      <c r="JE41" s="8">
        <v>1</v>
      </c>
      <c r="JF41" s="8">
        <v>1</v>
      </c>
      <c r="JG41" s="8">
        <v>1</v>
      </c>
      <c r="JH41" s="41"/>
      <c r="JI41" s="41"/>
      <c r="JJ41" s="8">
        <v>1</v>
      </c>
      <c r="JK41" s="8">
        <v>1</v>
      </c>
      <c r="JL41" s="8">
        <v>1</v>
      </c>
      <c r="JM41" s="8">
        <v>1</v>
      </c>
      <c r="JN41" s="8">
        <v>1</v>
      </c>
      <c r="JO41" s="41"/>
      <c r="JP41" s="41"/>
      <c r="JQ41" s="8">
        <v>1</v>
      </c>
      <c r="JR41" s="8">
        <v>1</v>
      </c>
      <c r="JS41" s="8">
        <v>1</v>
      </c>
      <c r="JT41" s="8">
        <v>1</v>
      </c>
      <c r="JU41" s="8">
        <v>1</v>
      </c>
      <c r="JV41" s="41"/>
      <c r="JW41" s="41"/>
      <c r="JX41" s="8">
        <v>1</v>
      </c>
      <c r="JY41" s="8">
        <v>1</v>
      </c>
      <c r="JZ41" s="8">
        <v>1</v>
      </c>
      <c r="KA41" s="8">
        <v>1</v>
      </c>
      <c r="KB41" s="8">
        <v>1</v>
      </c>
      <c r="KC41" s="41"/>
      <c r="KD41" s="41"/>
      <c r="KE41" s="8">
        <v>1</v>
      </c>
      <c r="KF41" s="8">
        <v>1</v>
      </c>
      <c r="KG41" s="8">
        <v>1</v>
      </c>
      <c r="KH41" s="8">
        <v>1</v>
      </c>
      <c r="KI41" s="8">
        <v>1</v>
      </c>
      <c r="KJ41" s="41"/>
      <c r="KK41" s="41"/>
      <c r="KL41" s="8">
        <v>1</v>
      </c>
      <c r="KM41" s="8">
        <v>1</v>
      </c>
      <c r="KN41" s="8">
        <v>1</v>
      </c>
      <c r="KO41" s="8">
        <v>1</v>
      </c>
      <c r="KP41" s="8">
        <v>1</v>
      </c>
      <c r="KQ41" s="41"/>
      <c r="KR41" s="41"/>
      <c r="KS41" s="8">
        <v>1</v>
      </c>
      <c r="KT41" s="8">
        <v>1</v>
      </c>
      <c r="KU41" s="8">
        <v>1</v>
      </c>
      <c r="KV41" s="8">
        <v>1</v>
      </c>
      <c r="KW41" s="8">
        <v>1</v>
      </c>
      <c r="KX41" s="41"/>
      <c r="KY41" s="41"/>
      <c r="KZ41" s="8">
        <v>1</v>
      </c>
      <c r="LA41" s="8">
        <v>1</v>
      </c>
      <c r="LB41" s="8">
        <v>1</v>
      </c>
      <c r="LC41" s="8">
        <v>1</v>
      </c>
      <c r="LD41" s="8">
        <v>1</v>
      </c>
      <c r="LE41" s="41"/>
      <c r="LF41" s="41"/>
      <c r="LG41" s="8">
        <v>1</v>
      </c>
      <c r="LH41" s="8">
        <v>1</v>
      </c>
      <c r="LI41" s="8">
        <v>1</v>
      </c>
      <c r="LJ41" s="8">
        <v>1</v>
      </c>
      <c r="LK41" s="8">
        <v>1</v>
      </c>
      <c r="LL41" s="41"/>
      <c r="LM41" s="41"/>
      <c r="LN41" s="8">
        <v>1</v>
      </c>
      <c r="LO41" s="8">
        <v>1</v>
      </c>
      <c r="LP41" s="8">
        <v>1</v>
      </c>
      <c r="LQ41" s="8">
        <v>1</v>
      </c>
      <c r="LR41" s="8">
        <v>1</v>
      </c>
      <c r="LS41" s="41"/>
      <c r="LT41" s="41"/>
      <c r="LU41" s="8">
        <v>1</v>
      </c>
      <c r="LV41" s="8">
        <v>1</v>
      </c>
      <c r="LW41" s="8">
        <v>1</v>
      </c>
      <c r="LX41" s="8">
        <v>1</v>
      </c>
      <c r="LY41" s="8">
        <v>1</v>
      </c>
      <c r="LZ41" s="41"/>
      <c r="MA41" s="41"/>
      <c r="MB41" s="8">
        <v>1</v>
      </c>
      <c r="MC41" s="8">
        <v>1</v>
      </c>
      <c r="MD41" s="8">
        <v>1</v>
      </c>
      <c r="ME41" s="8">
        <v>1</v>
      </c>
      <c r="MF41" s="8">
        <v>1</v>
      </c>
      <c r="MG41" s="41"/>
      <c r="MH41" s="41"/>
      <c r="MI41" s="8">
        <v>1</v>
      </c>
      <c r="MJ41" s="8">
        <v>1</v>
      </c>
      <c r="MK41" s="8">
        <v>1</v>
      </c>
      <c r="ML41" s="8">
        <v>1</v>
      </c>
      <c r="MM41" s="8">
        <v>1</v>
      </c>
      <c r="MN41" s="41"/>
      <c r="MO41" s="41"/>
      <c r="MP41" s="8">
        <v>1</v>
      </c>
      <c r="MQ41" s="8">
        <v>1</v>
      </c>
      <c r="MR41" s="8">
        <v>1</v>
      </c>
      <c r="MS41" s="8">
        <v>1</v>
      </c>
      <c r="MT41" s="8">
        <v>1</v>
      </c>
      <c r="MU41" s="41"/>
      <c r="MV41" s="41"/>
      <c r="MW41" s="8">
        <v>1</v>
      </c>
      <c r="MX41" s="8">
        <v>1</v>
      </c>
      <c r="MY41" s="8">
        <v>1</v>
      </c>
      <c r="MZ41" s="8">
        <v>1</v>
      </c>
      <c r="NA41" s="8">
        <v>1</v>
      </c>
      <c r="NB41" s="41"/>
      <c r="NC41" s="41"/>
      <c r="ND41" s="8">
        <v>1</v>
      </c>
      <c r="NE41" s="8">
        <v>1</v>
      </c>
      <c r="NF41" s="8">
        <v>1</v>
      </c>
      <c r="NG41" s="8">
        <v>1</v>
      </c>
      <c r="NH41" s="8">
        <v>1</v>
      </c>
      <c r="NI41" s="41"/>
      <c r="NJ41" s="41"/>
      <c r="NK41" s="8">
        <v>1</v>
      </c>
      <c r="NL41" s="8">
        <v>1</v>
      </c>
      <c r="NM41" s="8">
        <v>1</v>
      </c>
      <c r="NN41" s="8">
        <v>1</v>
      </c>
      <c r="NO41" s="8">
        <v>1</v>
      </c>
      <c r="NP41" s="40"/>
      <c r="NQ41" s="40"/>
      <c r="NR41" s="8">
        <v>1</v>
      </c>
      <c r="NS41" s="8">
        <v>1</v>
      </c>
      <c r="NT41" s="8">
        <v>1</v>
      </c>
      <c r="NU41" s="8">
        <v>1</v>
      </c>
      <c r="NV41" s="8">
        <v>1</v>
      </c>
      <c r="NW41" s="40"/>
      <c r="NX41" s="40"/>
      <c r="NY41" s="8">
        <v>1</v>
      </c>
      <c r="NZ41" s="8">
        <v>1</v>
      </c>
      <c r="OA41" s="8">
        <v>1</v>
      </c>
      <c r="OB41" s="8"/>
      <c r="OC41" s="8">
        <v>1</v>
      </c>
      <c r="OD41" s="41"/>
      <c r="OE41" s="41"/>
      <c r="OF41" s="8">
        <v>1</v>
      </c>
      <c r="OG41" s="8">
        <v>1</v>
      </c>
      <c r="OH41" s="8">
        <v>1</v>
      </c>
      <c r="OI41" s="47"/>
    </row>
    <row r="42" spans="1:451" s="31" customFormat="1" ht="21" x14ac:dyDescent="0.3">
      <c r="A42" s="61" t="s">
        <v>535</v>
      </c>
      <c r="B42" s="62" t="s">
        <v>435</v>
      </c>
      <c r="C42" s="45"/>
      <c r="D42" s="8">
        <v>1</v>
      </c>
      <c r="E42" s="8">
        <v>1</v>
      </c>
      <c r="F42" s="8">
        <v>1</v>
      </c>
      <c r="G42" s="8">
        <v>1</v>
      </c>
      <c r="H42" s="8">
        <v>1</v>
      </c>
      <c r="I42" s="46"/>
      <c r="J42" s="46"/>
      <c r="K42" s="8">
        <v>0</v>
      </c>
      <c r="L42" s="8">
        <v>1</v>
      </c>
      <c r="M42" s="8">
        <v>1</v>
      </c>
      <c r="N42" s="8">
        <v>1</v>
      </c>
      <c r="O42" s="8">
        <v>1</v>
      </c>
      <c r="P42" s="46"/>
      <c r="Q42" s="46"/>
      <c r="R42" s="8">
        <v>1</v>
      </c>
      <c r="S42" s="8">
        <v>1</v>
      </c>
      <c r="T42" s="8">
        <v>1</v>
      </c>
      <c r="U42" s="8">
        <v>1</v>
      </c>
      <c r="V42" s="8">
        <v>1</v>
      </c>
      <c r="W42" s="46"/>
      <c r="X42" s="46"/>
      <c r="Y42" s="8">
        <v>0</v>
      </c>
      <c r="Z42" s="8">
        <v>0</v>
      </c>
      <c r="AA42" s="8"/>
      <c r="AB42" s="8">
        <v>0</v>
      </c>
      <c r="AC42" s="8">
        <v>0</v>
      </c>
      <c r="AD42" s="46"/>
      <c r="AE42" s="46"/>
      <c r="AF42" s="8">
        <v>0</v>
      </c>
      <c r="AG42" s="8">
        <v>0</v>
      </c>
      <c r="AH42" s="38"/>
      <c r="AI42" s="8">
        <v>0</v>
      </c>
      <c r="AJ42" s="8">
        <v>0</v>
      </c>
      <c r="AK42" s="8"/>
      <c r="AL42" s="8"/>
      <c r="AM42" s="109">
        <v>1</v>
      </c>
      <c r="AN42" s="109">
        <v>1</v>
      </c>
      <c r="AO42" s="8">
        <v>1</v>
      </c>
      <c r="AP42" s="8">
        <v>1</v>
      </c>
      <c r="AQ42" s="8">
        <v>1</v>
      </c>
      <c r="AR42" s="39"/>
      <c r="AS42" s="39"/>
      <c r="AT42" s="8">
        <v>0</v>
      </c>
      <c r="AU42" s="8">
        <v>0</v>
      </c>
      <c r="AV42" s="8">
        <v>0</v>
      </c>
      <c r="AW42" s="8">
        <v>0</v>
      </c>
      <c r="AX42" s="8">
        <v>0</v>
      </c>
      <c r="AY42" s="39"/>
      <c r="AZ42" s="39"/>
      <c r="BA42">
        <v>0</v>
      </c>
      <c r="BB42">
        <v>0</v>
      </c>
      <c r="BC42">
        <v>0</v>
      </c>
      <c r="BD42">
        <v>0</v>
      </c>
      <c r="BE42">
        <v>0</v>
      </c>
      <c r="BF42" s="39"/>
      <c r="BG42" s="39"/>
      <c r="BH42" s="39">
        <v>0</v>
      </c>
      <c r="BI42" s="39">
        <v>0</v>
      </c>
      <c r="BJ42" s="39">
        <v>0</v>
      </c>
      <c r="BK42" s="39">
        <v>0</v>
      </c>
      <c r="BL42" s="39">
        <v>0</v>
      </c>
      <c r="BM42" s="40"/>
      <c r="BN42" s="40"/>
      <c r="BO42" s="8">
        <v>0</v>
      </c>
      <c r="BP42" s="8">
        <v>0</v>
      </c>
      <c r="BQ42" s="8">
        <v>0</v>
      </c>
      <c r="BR42" s="8">
        <v>0</v>
      </c>
      <c r="BS42" s="8">
        <v>0</v>
      </c>
      <c r="BT42" s="40"/>
      <c r="BU42" s="40"/>
      <c r="BV42" s="8">
        <v>0</v>
      </c>
      <c r="BW42" s="8">
        <v>0</v>
      </c>
      <c r="BX42" s="8">
        <v>0</v>
      </c>
      <c r="BY42" s="8">
        <v>0</v>
      </c>
      <c r="BZ42" s="8">
        <v>0</v>
      </c>
      <c r="CA42" s="40"/>
      <c r="CB42" s="40"/>
      <c r="CC42" s="8">
        <v>0</v>
      </c>
      <c r="CD42" s="8">
        <v>0</v>
      </c>
      <c r="CE42" s="8">
        <v>0</v>
      </c>
      <c r="CF42" s="8">
        <v>0</v>
      </c>
      <c r="CG42" s="8">
        <v>0</v>
      </c>
      <c r="CH42" s="40"/>
      <c r="CI42" s="40"/>
      <c r="CJ42" s="8">
        <v>0</v>
      </c>
      <c r="CK42" s="8">
        <v>0</v>
      </c>
      <c r="CL42" s="8">
        <v>0</v>
      </c>
      <c r="CM42" s="8">
        <v>0</v>
      </c>
      <c r="CN42" s="8">
        <v>0</v>
      </c>
      <c r="CO42" s="40"/>
      <c r="CP42" s="40"/>
      <c r="CQ42" s="8">
        <v>1</v>
      </c>
      <c r="CR42" s="8">
        <v>1</v>
      </c>
      <c r="CS42" s="8">
        <v>1</v>
      </c>
      <c r="CT42" s="8">
        <v>1</v>
      </c>
      <c r="CU42" s="8">
        <v>1</v>
      </c>
      <c r="CV42" s="40"/>
      <c r="CW42" s="40"/>
      <c r="CX42" s="8">
        <v>1</v>
      </c>
      <c r="CY42" s="8">
        <v>1</v>
      </c>
      <c r="CZ42" s="8">
        <v>1</v>
      </c>
      <c r="DA42" s="8">
        <v>1</v>
      </c>
      <c r="DB42" s="8">
        <v>1</v>
      </c>
      <c r="DC42" s="40"/>
      <c r="DD42" s="40"/>
      <c r="DE42" s="8">
        <v>1</v>
      </c>
      <c r="DF42" s="8">
        <v>1</v>
      </c>
      <c r="DG42" s="8">
        <v>1</v>
      </c>
      <c r="DH42" s="8">
        <v>1</v>
      </c>
      <c r="DI42" s="8">
        <v>1</v>
      </c>
      <c r="DJ42" s="40"/>
      <c r="DK42" s="40"/>
      <c r="DL42" s="8">
        <v>1</v>
      </c>
      <c r="DM42" s="8">
        <v>1</v>
      </c>
      <c r="DN42" s="8">
        <v>1</v>
      </c>
      <c r="DO42" s="8">
        <v>1</v>
      </c>
      <c r="DP42" s="8">
        <v>1</v>
      </c>
      <c r="DQ42" s="41"/>
      <c r="DR42" s="41"/>
      <c r="DS42" s="8">
        <v>1</v>
      </c>
      <c r="DT42" s="8">
        <v>1</v>
      </c>
      <c r="DU42" s="8">
        <v>1</v>
      </c>
      <c r="DV42" s="8">
        <v>1</v>
      </c>
      <c r="DW42" s="8">
        <v>1</v>
      </c>
      <c r="DX42" s="41"/>
      <c r="DY42" s="41"/>
      <c r="DZ42" s="8">
        <v>1</v>
      </c>
      <c r="EA42" s="8">
        <v>1</v>
      </c>
      <c r="EB42" s="8">
        <v>1</v>
      </c>
      <c r="EC42" s="8">
        <v>1</v>
      </c>
      <c r="ED42" s="8">
        <v>1</v>
      </c>
      <c r="EE42" s="41"/>
      <c r="EF42" s="41"/>
      <c r="EG42" s="8">
        <v>1</v>
      </c>
      <c r="EH42" s="8">
        <v>1</v>
      </c>
      <c r="EI42" s="8">
        <v>1</v>
      </c>
      <c r="EJ42" s="8">
        <v>1</v>
      </c>
      <c r="EK42" s="8">
        <v>1</v>
      </c>
      <c r="EL42" s="41"/>
      <c r="EM42" s="41"/>
      <c r="EN42" s="38"/>
      <c r="EO42" s="8">
        <v>1</v>
      </c>
      <c r="EP42" s="8">
        <v>1</v>
      </c>
      <c r="EQ42" s="8">
        <v>1</v>
      </c>
      <c r="ER42" s="8">
        <v>1</v>
      </c>
      <c r="ES42" s="41"/>
      <c r="ET42" s="41"/>
      <c r="EU42" s="8">
        <v>1</v>
      </c>
      <c r="EV42" s="8">
        <v>1</v>
      </c>
      <c r="EW42" s="8">
        <v>1</v>
      </c>
      <c r="EX42" s="38"/>
      <c r="EY42" s="8">
        <v>1</v>
      </c>
      <c r="EZ42" s="41"/>
      <c r="FA42" s="41"/>
      <c r="FB42" s="8">
        <v>1</v>
      </c>
      <c r="FC42" s="8">
        <v>1</v>
      </c>
      <c r="FD42" s="8">
        <v>1</v>
      </c>
      <c r="FE42" s="38"/>
      <c r="FF42" s="8">
        <v>1</v>
      </c>
      <c r="FG42" s="41"/>
      <c r="FH42" s="41"/>
      <c r="FI42" s="8">
        <v>1</v>
      </c>
      <c r="FJ42" s="8">
        <v>1</v>
      </c>
      <c r="FK42" s="8">
        <v>1</v>
      </c>
      <c r="FL42" s="8">
        <v>1</v>
      </c>
      <c r="FM42" s="8">
        <v>1</v>
      </c>
      <c r="FN42" s="41"/>
      <c r="FO42" s="41"/>
      <c r="FP42" s="8">
        <v>1</v>
      </c>
      <c r="FQ42" s="8">
        <v>1</v>
      </c>
      <c r="FR42" s="8">
        <v>1</v>
      </c>
      <c r="FS42" s="8">
        <v>1</v>
      </c>
      <c r="FT42" s="8">
        <v>1</v>
      </c>
      <c r="FU42" s="41"/>
      <c r="FV42" s="41"/>
      <c r="FW42" s="8">
        <v>1</v>
      </c>
      <c r="FX42" s="8">
        <v>1</v>
      </c>
      <c r="FY42" s="8">
        <v>1</v>
      </c>
      <c r="FZ42" s="38"/>
      <c r="GA42" s="8">
        <v>1</v>
      </c>
      <c r="GB42" s="41"/>
      <c r="GC42" s="41"/>
      <c r="GD42" s="8">
        <v>1</v>
      </c>
      <c r="GE42" s="8">
        <v>1</v>
      </c>
      <c r="GF42" s="8">
        <v>1</v>
      </c>
      <c r="GG42" s="8">
        <v>1</v>
      </c>
      <c r="GH42" s="8">
        <v>1</v>
      </c>
      <c r="GI42" s="41"/>
      <c r="GJ42" s="41"/>
      <c r="GK42" s="38"/>
      <c r="GL42" s="8">
        <v>1</v>
      </c>
      <c r="GM42" s="8">
        <v>1</v>
      </c>
      <c r="GN42" s="8">
        <v>1</v>
      </c>
      <c r="GO42" s="8">
        <v>1</v>
      </c>
      <c r="GP42" s="41"/>
      <c r="GQ42" s="41"/>
      <c r="GR42" s="8">
        <v>1</v>
      </c>
      <c r="GS42" s="8">
        <v>1</v>
      </c>
      <c r="GT42" s="8">
        <v>1</v>
      </c>
      <c r="GU42" s="8">
        <v>1</v>
      </c>
      <c r="GV42" s="8">
        <v>1</v>
      </c>
      <c r="GW42" s="41"/>
      <c r="GX42" s="41"/>
      <c r="GY42" s="8">
        <v>1</v>
      </c>
      <c r="GZ42" s="8">
        <v>1</v>
      </c>
      <c r="HA42" s="8">
        <v>1</v>
      </c>
      <c r="HB42" s="8">
        <v>1</v>
      </c>
      <c r="HC42" s="8">
        <v>1</v>
      </c>
      <c r="HD42" s="41"/>
      <c r="HE42" s="41"/>
      <c r="HF42" s="8">
        <v>1</v>
      </c>
      <c r="HG42" s="8">
        <v>1</v>
      </c>
      <c r="HH42" s="8">
        <v>1</v>
      </c>
      <c r="HI42" s="8">
        <v>1</v>
      </c>
      <c r="HJ42" s="8">
        <v>1</v>
      </c>
      <c r="HK42" s="41"/>
      <c r="HL42" s="41"/>
      <c r="HM42" s="8">
        <v>1</v>
      </c>
      <c r="HN42" s="8">
        <v>1</v>
      </c>
      <c r="HO42" s="8">
        <v>1</v>
      </c>
      <c r="HP42" s="8">
        <v>1</v>
      </c>
      <c r="HQ42" s="8">
        <v>1</v>
      </c>
      <c r="HR42" s="41"/>
      <c r="HS42" s="41"/>
      <c r="HT42" s="38"/>
      <c r="HU42" s="8">
        <v>1</v>
      </c>
      <c r="HV42" s="8">
        <v>1</v>
      </c>
      <c r="HW42" s="8">
        <v>1</v>
      </c>
      <c r="HX42" s="8">
        <v>1</v>
      </c>
      <c r="HY42" s="41"/>
      <c r="HZ42" s="41"/>
      <c r="IA42" s="8">
        <v>1</v>
      </c>
      <c r="IB42" s="8">
        <v>1</v>
      </c>
      <c r="IC42" s="8">
        <v>1</v>
      </c>
      <c r="ID42" s="8">
        <v>1</v>
      </c>
      <c r="IE42" s="8">
        <v>1</v>
      </c>
      <c r="IF42" s="41"/>
      <c r="IG42" s="41"/>
      <c r="IH42" s="8">
        <v>1</v>
      </c>
      <c r="II42" s="8">
        <v>1</v>
      </c>
      <c r="IJ42" s="8">
        <v>1</v>
      </c>
      <c r="IK42" s="8">
        <v>1</v>
      </c>
      <c r="IL42" s="8">
        <v>1</v>
      </c>
      <c r="IM42" s="41"/>
      <c r="IN42" s="41"/>
      <c r="IO42" s="8">
        <v>1</v>
      </c>
      <c r="IP42" s="8">
        <v>1</v>
      </c>
      <c r="IQ42" s="8">
        <v>1</v>
      </c>
      <c r="IR42" s="8">
        <v>1</v>
      </c>
      <c r="IS42" s="8">
        <v>1</v>
      </c>
      <c r="IT42" s="41"/>
      <c r="IU42" s="41"/>
      <c r="IV42" s="8">
        <v>1</v>
      </c>
      <c r="IW42" s="8">
        <v>1</v>
      </c>
      <c r="IX42" s="8">
        <v>1</v>
      </c>
      <c r="IY42" s="8">
        <v>1</v>
      </c>
      <c r="IZ42" s="38"/>
      <c r="JA42" s="41"/>
      <c r="JB42" s="41"/>
      <c r="JC42" s="8">
        <v>1</v>
      </c>
      <c r="JD42" s="8">
        <v>1</v>
      </c>
      <c r="JE42" s="8">
        <v>1</v>
      </c>
      <c r="JF42" s="8">
        <v>1</v>
      </c>
      <c r="JG42" s="8">
        <v>1</v>
      </c>
      <c r="JH42" s="41"/>
      <c r="JI42" s="41"/>
      <c r="JJ42" s="8">
        <v>1</v>
      </c>
      <c r="JK42" s="8">
        <v>1</v>
      </c>
      <c r="JL42" s="8">
        <v>1</v>
      </c>
      <c r="JM42" s="8">
        <v>1</v>
      </c>
      <c r="JN42" s="8">
        <v>1</v>
      </c>
      <c r="JO42" s="41"/>
      <c r="JP42" s="41"/>
      <c r="JQ42" s="8">
        <v>1</v>
      </c>
      <c r="JR42" s="8">
        <v>1</v>
      </c>
      <c r="JS42" s="8">
        <v>1</v>
      </c>
      <c r="JT42" s="8">
        <v>1</v>
      </c>
      <c r="JU42" s="8">
        <v>1</v>
      </c>
      <c r="JV42" s="41"/>
      <c r="JW42" s="41"/>
      <c r="JX42" s="8">
        <v>1</v>
      </c>
      <c r="JY42" s="8">
        <v>1</v>
      </c>
      <c r="JZ42" s="8">
        <v>1</v>
      </c>
      <c r="KA42" s="8">
        <v>1</v>
      </c>
      <c r="KB42" s="8">
        <v>1</v>
      </c>
      <c r="KC42" s="41"/>
      <c r="KD42" s="41"/>
      <c r="KE42" s="8">
        <v>1</v>
      </c>
      <c r="KF42" s="8">
        <v>1</v>
      </c>
      <c r="KG42" s="8">
        <v>1</v>
      </c>
      <c r="KH42" s="8">
        <v>1</v>
      </c>
      <c r="KI42" s="8">
        <v>1</v>
      </c>
      <c r="KJ42" s="41"/>
      <c r="KK42" s="41"/>
      <c r="KL42" s="8">
        <v>1</v>
      </c>
      <c r="KM42" s="8">
        <v>1</v>
      </c>
      <c r="KN42" s="8">
        <v>1</v>
      </c>
      <c r="KO42" s="8">
        <v>1</v>
      </c>
      <c r="KP42" s="8">
        <v>1</v>
      </c>
      <c r="KQ42" s="41"/>
      <c r="KR42" s="41"/>
      <c r="KS42" s="8">
        <v>1</v>
      </c>
      <c r="KT42" s="8">
        <v>1</v>
      </c>
      <c r="KU42" s="8">
        <v>1</v>
      </c>
      <c r="KV42" s="8">
        <v>1</v>
      </c>
      <c r="KW42" s="8">
        <v>1</v>
      </c>
      <c r="KX42" s="41"/>
      <c r="KY42" s="41"/>
      <c r="KZ42" s="8">
        <v>1</v>
      </c>
      <c r="LA42" s="8">
        <v>1</v>
      </c>
      <c r="LB42" s="8">
        <v>1</v>
      </c>
      <c r="LC42" s="8">
        <v>1</v>
      </c>
      <c r="LD42" s="8">
        <v>1</v>
      </c>
      <c r="LE42" s="41"/>
      <c r="LF42" s="41"/>
      <c r="LG42" s="8">
        <v>1</v>
      </c>
      <c r="LH42" s="8">
        <v>1</v>
      </c>
      <c r="LI42" s="8">
        <v>1</v>
      </c>
      <c r="LJ42" s="8">
        <v>1</v>
      </c>
      <c r="LK42" s="8">
        <v>1</v>
      </c>
      <c r="LL42" s="41"/>
      <c r="LM42" s="41"/>
      <c r="LN42" s="8">
        <v>1</v>
      </c>
      <c r="LO42" s="8">
        <v>1</v>
      </c>
      <c r="LP42" s="8">
        <v>1</v>
      </c>
      <c r="LQ42" s="8">
        <v>1</v>
      </c>
      <c r="LR42" s="8">
        <v>1</v>
      </c>
      <c r="LS42" s="41"/>
      <c r="LT42" s="41"/>
      <c r="LU42" s="8">
        <v>1</v>
      </c>
      <c r="LV42" s="8">
        <v>1</v>
      </c>
      <c r="LW42" s="8">
        <v>1</v>
      </c>
      <c r="LX42" s="8">
        <v>1</v>
      </c>
      <c r="LY42" s="8">
        <v>1</v>
      </c>
      <c r="LZ42" s="41"/>
      <c r="MA42" s="41"/>
      <c r="MB42" s="8">
        <v>1</v>
      </c>
      <c r="MC42" s="8">
        <v>1</v>
      </c>
      <c r="MD42" s="8">
        <v>1</v>
      </c>
      <c r="ME42" s="8">
        <v>1</v>
      </c>
      <c r="MF42" s="8">
        <v>1</v>
      </c>
      <c r="MG42" s="41"/>
      <c r="MH42" s="41"/>
      <c r="MI42" s="8">
        <v>1</v>
      </c>
      <c r="MJ42" s="8">
        <v>1</v>
      </c>
      <c r="MK42" s="8">
        <v>1</v>
      </c>
      <c r="ML42" s="8">
        <v>1</v>
      </c>
      <c r="MM42" s="8">
        <v>1</v>
      </c>
      <c r="MN42" s="41"/>
      <c r="MO42" s="41"/>
      <c r="MP42" s="8">
        <v>1</v>
      </c>
      <c r="MQ42" s="8">
        <v>1</v>
      </c>
      <c r="MR42" s="8">
        <v>1</v>
      </c>
      <c r="MS42" s="8">
        <v>1</v>
      </c>
      <c r="MT42" s="8">
        <v>1</v>
      </c>
      <c r="MU42" s="41"/>
      <c r="MV42" s="41"/>
      <c r="MW42" s="8">
        <v>1</v>
      </c>
      <c r="MX42" s="8">
        <v>1</v>
      </c>
      <c r="MY42" s="8">
        <v>1</v>
      </c>
      <c r="MZ42" s="8">
        <v>1</v>
      </c>
      <c r="NA42" s="8">
        <v>1</v>
      </c>
      <c r="NB42" s="41"/>
      <c r="NC42" s="41"/>
      <c r="ND42" s="8">
        <v>1</v>
      </c>
      <c r="NE42" s="8">
        <v>1</v>
      </c>
      <c r="NF42" s="8">
        <v>1</v>
      </c>
      <c r="NG42" s="8">
        <v>1</v>
      </c>
      <c r="NH42" s="8">
        <v>1</v>
      </c>
      <c r="NI42" s="41"/>
      <c r="NJ42" s="41"/>
      <c r="NK42" s="8">
        <v>1</v>
      </c>
      <c r="NL42" s="8">
        <v>1</v>
      </c>
      <c r="NM42" s="8">
        <v>1</v>
      </c>
      <c r="NN42" s="8">
        <v>1</v>
      </c>
      <c r="NO42" s="8">
        <v>1</v>
      </c>
      <c r="NP42" s="40"/>
      <c r="NQ42" s="40"/>
      <c r="NR42" s="8">
        <v>1</v>
      </c>
      <c r="NS42" s="8">
        <v>1</v>
      </c>
      <c r="NT42" s="8">
        <v>1</v>
      </c>
      <c r="NU42" s="8">
        <v>1</v>
      </c>
      <c r="NV42" s="8">
        <v>1</v>
      </c>
      <c r="NW42" s="40"/>
      <c r="NX42" s="40"/>
      <c r="NY42" s="8">
        <v>1</v>
      </c>
      <c r="NZ42" s="8">
        <v>1</v>
      </c>
      <c r="OA42" s="8">
        <v>1</v>
      </c>
      <c r="OB42" s="8"/>
      <c r="OC42" s="8">
        <v>1</v>
      </c>
      <c r="OD42" s="41"/>
      <c r="OE42" s="41"/>
      <c r="OF42" s="8">
        <v>1</v>
      </c>
      <c r="OG42" s="8">
        <v>1</v>
      </c>
      <c r="OH42" s="8">
        <v>1</v>
      </c>
      <c r="OI42" s="47"/>
    </row>
    <row r="43" spans="1:451" s="31" customFormat="1" ht="21" x14ac:dyDescent="0.3">
      <c r="A43" s="61" t="s">
        <v>536</v>
      </c>
      <c r="B43" s="62" t="s">
        <v>436</v>
      </c>
      <c r="C43" s="45"/>
      <c r="D43" s="8">
        <v>1</v>
      </c>
      <c r="E43" s="8">
        <v>1</v>
      </c>
      <c r="F43" s="8">
        <v>1</v>
      </c>
      <c r="G43" s="8">
        <v>1</v>
      </c>
      <c r="H43" s="8">
        <v>1</v>
      </c>
      <c r="I43" s="46"/>
      <c r="J43" s="46"/>
      <c r="K43" s="8">
        <v>1</v>
      </c>
      <c r="L43" s="8">
        <v>1</v>
      </c>
      <c r="M43" s="8">
        <v>1</v>
      </c>
      <c r="N43" s="8">
        <v>1</v>
      </c>
      <c r="O43" s="8">
        <v>1</v>
      </c>
      <c r="P43" s="46"/>
      <c r="Q43" s="46"/>
      <c r="R43" s="8">
        <v>1</v>
      </c>
      <c r="S43" s="8">
        <v>1</v>
      </c>
      <c r="T43" s="8">
        <v>1</v>
      </c>
      <c r="U43" s="8">
        <v>1</v>
      </c>
      <c r="V43" s="8">
        <v>1</v>
      </c>
      <c r="W43" s="46"/>
      <c r="X43" s="46"/>
      <c r="Y43" s="8">
        <v>1</v>
      </c>
      <c r="Z43" s="8">
        <v>1</v>
      </c>
      <c r="AA43" s="8"/>
      <c r="AB43" s="8">
        <v>1</v>
      </c>
      <c r="AC43" s="8">
        <v>1</v>
      </c>
      <c r="AD43" s="46"/>
      <c r="AE43" s="46"/>
      <c r="AF43" s="8">
        <v>1</v>
      </c>
      <c r="AG43" s="8">
        <v>1</v>
      </c>
      <c r="AH43" s="38"/>
      <c r="AI43" s="8">
        <v>1</v>
      </c>
      <c r="AJ43" s="8">
        <v>1</v>
      </c>
      <c r="AK43" s="8"/>
      <c r="AL43" s="8"/>
      <c r="AM43" s="109">
        <v>1</v>
      </c>
      <c r="AN43" s="109">
        <v>1</v>
      </c>
      <c r="AO43" s="8">
        <v>1</v>
      </c>
      <c r="AP43" s="8">
        <v>1</v>
      </c>
      <c r="AQ43" s="8">
        <v>1</v>
      </c>
      <c r="AR43" s="39"/>
      <c r="AS43" s="39"/>
      <c r="AT43" s="8">
        <v>1</v>
      </c>
      <c r="AU43" s="8">
        <v>1</v>
      </c>
      <c r="AV43" s="8">
        <v>1</v>
      </c>
      <c r="AW43" s="8">
        <v>1</v>
      </c>
      <c r="AX43" s="8">
        <v>1</v>
      </c>
      <c r="AY43" s="39"/>
      <c r="AZ43" s="39"/>
      <c r="BA43" s="39">
        <v>1</v>
      </c>
      <c r="BB43" s="39">
        <v>1</v>
      </c>
      <c r="BC43" s="39">
        <v>1</v>
      </c>
      <c r="BD43" s="39">
        <v>1</v>
      </c>
      <c r="BE43" s="39">
        <v>1</v>
      </c>
      <c r="BF43" s="39"/>
      <c r="BG43" s="39"/>
      <c r="BH43" s="39">
        <v>1</v>
      </c>
      <c r="BI43" s="39">
        <v>1</v>
      </c>
      <c r="BJ43" s="39">
        <v>1</v>
      </c>
      <c r="BK43" s="39">
        <v>1</v>
      </c>
      <c r="BL43" s="39">
        <v>1</v>
      </c>
      <c r="BM43" s="40"/>
      <c r="BN43" s="40"/>
      <c r="BO43" s="8">
        <v>1</v>
      </c>
      <c r="BP43" s="8">
        <v>1</v>
      </c>
      <c r="BQ43" s="8">
        <v>1</v>
      </c>
      <c r="BR43" s="8">
        <v>1</v>
      </c>
      <c r="BS43" s="8">
        <v>1</v>
      </c>
      <c r="BT43" s="40"/>
      <c r="BU43" s="40"/>
      <c r="BV43" s="8">
        <v>1</v>
      </c>
      <c r="BW43" s="8">
        <v>1</v>
      </c>
      <c r="BX43" s="8">
        <v>1</v>
      </c>
      <c r="BY43" s="8">
        <v>1</v>
      </c>
      <c r="BZ43" s="8">
        <v>1</v>
      </c>
      <c r="CA43" s="40"/>
      <c r="CB43" s="40"/>
      <c r="CC43" s="8">
        <v>1</v>
      </c>
      <c r="CD43" s="8">
        <v>1</v>
      </c>
      <c r="CE43" s="8">
        <v>1</v>
      </c>
      <c r="CF43" s="8">
        <v>1</v>
      </c>
      <c r="CG43" s="8">
        <v>1</v>
      </c>
      <c r="CH43" s="40"/>
      <c r="CI43" s="40"/>
      <c r="CJ43" s="8">
        <v>1</v>
      </c>
      <c r="CK43" s="8">
        <v>1</v>
      </c>
      <c r="CL43" s="8">
        <v>1</v>
      </c>
      <c r="CM43" s="8">
        <v>1</v>
      </c>
      <c r="CN43" s="8">
        <v>1</v>
      </c>
      <c r="CO43" s="40"/>
      <c r="CP43" s="40"/>
      <c r="CQ43" s="8">
        <v>1</v>
      </c>
      <c r="CR43" s="8">
        <v>1</v>
      </c>
      <c r="CS43" s="8">
        <v>1</v>
      </c>
      <c r="CT43" s="8">
        <v>1</v>
      </c>
      <c r="CU43" s="8">
        <v>1</v>
      </c>
      <c r="CV43" s="40"/>
      <c r="CW43" s="40"/>
      <c r="CX43" s="8">
        <v>1</v>
      </c>
      <c r="CY43" s="8">
        <v>1</v>
      </c>
      <c r="CZ43" s="8">
        <v>1</v>
      </c>
      <c r="DA43" s="8">
        <v>1</v>
      </c>
      <c r="DB43" s="8">
        <v>1</v>
      </c>
      <c r="DC43" s="40"/>
      <c r="DD43" s="40"/>
      <c r="DE43" s="8">
        <v>1</v>
      </c>
      <c r="DF43" s="8">
        <v>1</v>
      </c>
      <c r="DG43" s="8">
        <v>1</v>
      </c>
      <c r="DH43" s="8">
        <v>1</v>
      </c>
      <c r="DI43" s="8">
        <v>1</v>
      </c>
      <c r="DJ43" s="40"/>
      <c r="DK43" s="40"/>
      <c r="DL43" s="8">
        <v>1</v>
      </c>
      <c r="DM43" s="8">
        <v>1</v>
      </c>
      <c r="DN43" s="8">
        <v>1</v>
      </c>
      <c r="DO43" s="8">
        <v>1</v>
      </c>
      <c r="DP43" s="8">
        <v>1</v>
      </c>
      <c r="DQ43" s="41"/>
      <c r="DR43" s="41"/>
      <c r="DS43" s="8">
        <v>1</v>
      </c>
      <c r="DT43" s="8">
        <v>1</v>
      </c>
      <c r="DU43" s="8">
        <v>1</v>
      </c>
      <c r="DV43" s="8">
        <v>1</v>
      </c>
      <c r="DW43" s="8">
        <v>1</v>
      </c>
      <c r="DX43" s="41"/>
      <c r="DY43" s="41"/>
      <c r="DZ43" s="8">
        <v>1</v>
      </c>
      <c r="EA43" s="8">
        <v>1</v>
      </c>
      <c r="EB43" s="8">
        <v>1</v>
      </c>
      <c r="EC43" s="8">
        <v>1</v>
      </c>
      <c r="ED43" s="8">
        <v>1</v>
      </c>
      <c r="EE43" s="41"/>
      <c r="EF43" s="41"/>
      <c r="EG43" s="8">
        <v>1</v>
      </c>
      <c r="EH43" s="8">
        <v>1</v>
      </c>
      <c r="EI43" s="8">
        <v>1</v>
      </c>
      <c r="EJ43" s="8">
        <v>1</v>
      </c>
      <c r="EK43" s="8">
        <v>1</v>
      </c>
      <c r="EL43" s="41"/>
      <c r="EM43" s="41"/>
      <c r="EN43" s="38"/>
      <c r="EO43" s="8">
        <v>1</v>
      </c>
      <c r="EP43" s="8">
        <v>1</v>
      </c>
      <c r="EQ43" s="8">
        <v>1</v>
      </c>
      <c r="ER43" s="8">
        <v>1</v>
      </c>
      <c r="ES43" s="41"/>
      <c r="ET43" s="41"/>
      <c r="EU43" s="8">
        <v>1</v>
      </c>
      <c r="EV43" s="8">
        <v>1</v>
      </c>
      <c r="EW43" s="8">
        <v>1</v>
      </c>
      <c r="EX43" s="38"/>
      <c r="EY43" s="8">
        <v>1</v>
      </c>
      <c r="EZ43" s="41"/>
      <c r="FA43" s="41"/>
      <c r="FB43" s="8">
        <v>1</v>
      </c>
      <c r="FC43" s="8">
        <v>1</v>
      </c>
      <c r="FD43" s="8">
        <v>1</v>
      </c>
      <c r="FE43" s="38"/>
      <c r="FF43" s="8">
        <v>1</v>
      </c>
      <c r="FG43" s="41"/>
      <c r="FH43" s="41"/>
      <c r="FI43" s="8">
        <v>1</v>
      </c>
      <c r="FJ43" s="8">
        <v>1</v>
      </c>
      <c r="FK43" s="8">
        <v>1</v>
      </c>
      <c r="FL43" s="8">
        <v>1</v>
      </c>
      <c r="FM43" s="8">
        <v>1</v>
      </c>
      <c r="FN43" s="41"/>
      <c r="FO43" s="41"/>
      <c r="FP43" s="8">
        <v>1</v>
      </c>
      <c r="FQ43" s="8">
        <v>1</v>
      </c>
      <c r="FR43" s="8">
        <v>1</v>
      </c>
      <c r="FS43" s="8">
        <v>1</v>
      </c>
      <c r="FT43" s="8">
        <v>1</v>
      </c>
      <c r="FU43" s="41"/>
      <c r="FV43" s="41"/>
      <c r="FW43" s="8">
        <v>1</v>
      </c>
      <c r="FX43" s="8">
        <v>1</v>
      </c>
      <c r="FY43" s="8">
        <v>1</v>
      </c>
      <c r="FZ43" s="38"/>
      <c r="GA43" s="8">
        <v>1</v>
      </c>
      <c r="GB43" s="41"/>
      <c r="GC43" s="41"/>
      <c r="GD43" s="8">
        <v>1</v>
      </c>
      <c r="GE43" s="8">
        <v>1</v>
      </c>
      <c r="GF43" s="8">
        <v>1</v>
      </c>
      <c r="GG43" s="8">
        <v>1</v>
      </c>
      <c r="GH43" s="8">
        <v>1</v>
      </c>
      <c r="GI43" s="41"/>
      <c r="GJ43" s="41"/>
      <c r="GK43" s="38"/>
      <c r="GL43" s="8">
        <v>1</v>
      </c>
      <c r="GM43" s="8">
        <v>1</v>
      </c>
      <c r="GN43" s="8">
        <v>1</v>
      </c>
      <c r="GO43" s="8">
        <v>1</v>
      </c>
      <c r="GP43" s="41"/>
      <c r="GQ43" s="41"/>
      <c r="GR43" s="8">
        <v>1</v>
      </c>
      <c r="GS43" s="8">
        <v>1</v>
      </c>
      <c r="GT43" s="8">
        <v>1</v>
      </c>
      <c r="GU43" s="8">
        <v>1</v>
      </c>
      <c r="GV43" s="8">
        <v>1</v>
      </c>
      <c r="GW43" s="41"/>
      <c r="GX43" s="41"/>
      <c r="GY43" s="8">
        <v>1</v>
      </c>
      <c r="GZ43" s="8">
        <v>1</v>
      </c>
      <c r="HA43" s="8">
        <v>1</v>
      </c>
      <c r="HB43" s="8">
        <v>1</v>
      </c>
      <c r="HC43" s="8">
        <v>1</v>
      </c>
      <c r="HD43" s="41"/>
      <c r="HE43" s="41"/>
      <c r="HF43" s="8">
        <v>1</v>
      </c>
      <c r="HG43" s="8">
        <v>1</v>
      </c>
      <c r="HH43" s="8">
        <v>1</v>
      </c>
      <c r="HI43" s="8">
        <v>1</v>
      </c>
      <c r="HJ43" s="8">
        <v>1</v>
      </c>
      <c r="HK43" s="41"/>
      <c r="HL43" s="41"/>
      <c r="HM43" s="8">
        <v>1</v>
      </c>
      <c r="HN43" s="8">
        <v>1</v>
      </c>
      <c r="HO43" s="8">
        <v>1</v>
      </c>
      <c r="HP43" s="8">
        <v>1</v>
      </c>
      <c r="HQ43" s="8">
        <v>1</v>
      </c>
      <c r="HR43" s="41"/>
      <c r="HS43" s="41"/>
      <c r="HT43" s="38"/>
      <c r="HU43" s="8">
        <v>1</v>
      </c>
      <c r="HV43" s="8">
        <v>1</v>
      </c>
      <c r="HW43" s="8">
        <v>1</v>
      </c>
      <c r="HX43" s="8">
        <v>1</v>
      </c>
      <c r="HY43" s="41"/>
      <c r="HZ43" s="41"/>
      <c r="IA43" s="8">
        <v>1</v>
      </c>
      <c r="IB43" s="8">
        <v>1</v>
      </c>
      <c r="IC43" s="8">
        <v>1</v>
      </c>
      <c r="ID43" s="8">
        <v>1</v>
      </c>
      <c r="IE43" s="8">
        <v>1</v>
      </c>
      <c r="IF43" s="41"/>
      <c r="IG43" s="41"/>
      <c r="IH43" s="8">
        <v>1</v>
      </c>
      <c r="II43" s="8">
        <v>1</v>
      </c>
      <c r="IJ43" s="8">
        <v>1</v>
      </c>
      <c r="IK43" s="8">
        <v>1</v>
      </c>
      <c r="IL43" s="8">
        <v>1</v>
      </c>
      <c r="IM43" s="41"/>
      <c r="IN43" s="41"/>
      <c r="IO43" s="8">
        <v>1</v>
      </c>
      <c r="IP43" s="8">
        <v>1</v>
      </c>
      <c r="IQ43" s="8">
        <v>1</v>
      </c>
      <c r="IR43" s="8">
        <v>1</v>
      </c>
      <c r="IS43" s="8">
        <v>1</v>
      </c>
      <c r="IT43" s="41"/>
      <c r="IU43" s="41"/>
      <c r="IV43" s="8">
        <v>1</v>
      </c>
      <c r="IW43" s="8">
        <v>1</v>
      </c>
      <c r="IX43" s="8">
        <v>1</v>
      </c>
      <c r="IY43" s="8">
        <v>1</v>
      </c>
      <c r="IZ43" s="38"/>
      <c r="JA43" s="41"/>
      <c r="JB43" s="41"/>
      <c r="JC43" s="8">
        <v>1</v>
      </c>
      <c r="JD43" s="8">
        <v>1</v>
      </c>
      <c r="JE43" s="8">
        <v>1</v>
      </c>
      <c r="JF43" s="8">
        <v>1</v>
      </c>
      <c r="JG43" s="8">
        <v>1</v>
      </c>
      <c r="JH43" s="41"/>
      <c r="JI43" s="41"/>
      <c r="JJ43" s="8">
        <v>1</v>
      </c>
      <c r="JK43" s="8">
        <v>1</v>
      </c>
      <c r="JL43" s="8">
        <v>1</v>
      </c>
      <c r="JM43" s="8">
        <v>1</v>
      </c>
      <c r="JN43" s="8">
        <v>1</v>
      </c>
      <c r="JO43" s="41"/>
      <c r="JP43" s="41"/>
      <c r="JQ43" s="8">
        <v>1</v>
      </c>
      <c r="JR43" s="8">
        <v>1</v>
      </c>
      <c r="JS43" s="8">
        <v>1</v>
      </c>
      <c r="JT43" s="8">
        <v>1</v>
      </c>
      <c r="JU43" s="8">
        <v>1</v>
      </c>
      <c r="JV43" s="41"/>
      <c r="JW43" s="41"/>
      <c r="JX43" s="8">
        <v>1</v>
      </c>
      <c r="JY43" s="8">
        <v>1</v>
      </c>
      <c r="JZ43" s="8">
        <v>1</v>
      </c>
      <c r="KA43" s="8">
        <v>1</v>
      </c>
      <c r="KB43" s="8">
        <v>1</v>
      </c>
      <c r="KC43" s="41"/>
      <c r="KD43" s="41"/>
      <c r="KE43" s="8">
        <v>1</v>
      </c>
      <c r="KF43" s="8">
        <v>1</v>
      </c>
      <c r="KG43" s="8">
        <v>1</v>
      </c>
      <c r="KH43" s="8">
        <v>1</v>
      </c>
      <c r="KI43" s="8">
        <v>1</v>
      </c>
      <c r="KJ43" s="41"/>
      <c r="KK43" s="41"/>
      <c r="KL43" s="8">
        <v>1</v>
      </c>
      <c r="KM43" s="8">
        <v>1</v>
      </c>
      <c r="KN43" s="8">
        <v>1</v>
      </c>
      <c r="KO43" s="8">
        <v>1</v>
      </c>
      <c r="KP43" s="8">
        <v>1</v>
      </c>
      <c r="KQ43" s="41"/>
      <c r="KR43" s="41"/>
      <c r="KS43" s="8">
        <v>1</v>
      </c>
      <c r="KT43" s="8">
        <v>1</v>
      </c>
      <c r="KU43" s="8">
        <v>1</v>
      </c>
      <c r="KV43" s="8">
        <v>1</v>
      </c>
      <c r="KW43" s="8">
        <v>1</v>
      </c>
      <c r="KX43" s="41"/>
      <c r="KY43" s="41"/>
      <c r="KZ43" s="8">
        <v>1</v>
      </c>
      <c r="LA43" s="8">
        <v>1</v>
      </c>
      <c r="LB43" s="8">
        <v>1</v>
      </c>
      <c r="LC43" s="8">
        <v>1</v>
      </c>
      <c r="LD43" s="8">
        <v>1</v>
      </c>
      <c r="LE43" s="41"/>
      <c r="LF43" s="41"/>
      <c r="LG43" s="8">
        <v>1</v>
      </c>
      <c r="LH43" s="8">
        <v>1</v>
      </c>
      <c r="LI43" s="8">
        <v>1</v>
      </c>
      <c r="LJ43" s="8">
        <v>1</v>
      </c>
      <c r="LK43" s="8">
        <v>1</v>
      </c>
      <c r="LL43" s="41"/>
      <c r="LM43" s="41"/>
      <c r="LN43" s="8">
        <v>1</v>
      </c>
      <c r="LO43" s="8">
        <v>1</v>
      </c>
      <c r="LP43" s="8">
        <v>1</v>
      </c>
      <c r="LQ43" s="8">
        <v>1</v>
      </c>
      <c r="LR43" s="8">
        <v>1</v>
      </c>
      <c r="LS43" s="41"/>
      <c r="LT43" s="41"/>
      <c r="LU43" s="8">
        <v>1</v>
      </c>
      <c r="LV43" s="8">
        <v>1</v>
      </c>
      <c r="LW43" s="8">
        <v>1</v>
      </c>
      <c r="LX43" s="8">
        <v>1</v>
      </c>
      <c r="LY43" s="8">
        <v>1</v>
      </c>
      <c r="LZ43" s="41"/>
      <c r="MA43" s="41"/>
      <c r="MB43" s="8">
        <v>1</v>
      </c>
      <c r="MC43" s="8">
        <v>1</v>
      </c>
      <c r="MD43" s="8">
        <v>1</v>
      </c>
      <c r="ME43" s="8">
        <v>1</v>
      </c>
      <c r="MF43" s="8">
        <v>1</v>
      </c>
      <c r="MG43" s="41"/>
      <c r="MH43" s="41"/>
      <c r="MI43" s="8">
        <v>1</v>
      </c>
      <c r="MJ43" s="8">
        <v>1</v>
      </c>
      <c r="MK43" s="8">
        <v>1</v>
      </c>
      <c r="ML43" s="8">
        <v>1</v>
      </c>
      <c r="MM43" s="8">
        <v>1</v>
      </c>
      <c r="MN43" s="41"/>
      <c r="MO43" s="41"/>
      <c r="MP43" s="8">
        <v>1</v>
      </c>
      <c r="MQ43" s="8">
        <v>1</v>
      </c>
      <c r="MR43" s="8">
        <v>1</v>
      </c>
      <c r="MS43" s="8">
        <v>1</v>
      </c>
      <c r="MT43" s="8">
        <v>1</v>
      </c>
      <c r="MU43" s="41"/>
      <c r="MV43" s="41"/>
      <c r="MW43" s="8">
        <v>1</v>
      </c>
      <c r="MX43" s="8">
        <v>1</v>
      </c>
      <c r="MY43" s="8">
        <v>1</v>
      </c>
      <c r="MZ43" s="8">
        <v>1</v>
      </c>
      <c r="NA43" s="8">
        <v>1</v>
      </c>
      <c r="NB43" s="41"/>
      <c r="NC43" s="41"/>
      <c r="ND43" s="8">
        <v>1</v>
      </c>
      <c r="NE43" s="8">
        <v>1</v>
      </c>
      <c r="NF43" s="8">
        <v>1</v>
      </c>
      <c r="NG43" s="8">
        <v>1</v>
      </c>
      <c r="NH43" s="8">
        <v>1</v>
      </c>
      <c r="NI43" s="41"/>
      <c r="NJ43" s="41"/>
      <c r="NK43" s="8">
        <v>1</v>
      </c>
      <c r="NL43" s="8">
        <v>1</v>
      </c>
      <c r="NM43" s="8">
        <v>1</v>
      </c>
      <c r="NN43" s="8">
        <v>1</v>
      </c>
      <c r="NO43" s="8">
        <v>1</v>
      </c>
      <c r="NP43" s="40"/>
      <c r="NQ43" s="40"/>
      <c r="NR43" s="8">
        <v>1</v>
      </c>
      <c r="NS43" s="8">
        <v>1</v>
      </c>
      <c r="NT43" s="8">
        <v>1</v>
      </c>
      <c r="NU43" s="8">
        <v>1</v>
      </c>
      <c r="NV43" s="8">
        <v>1</v>
      </c>
      <c r="NW43" s="40"/>
      <c r="NX43" s="40"/>
      <c r="NY43" s="8">
        <v>1</v>
      </c>
      <c r="NZ43" s="8">
        <v>1</v>
      </c>
      <c r="OA43" s="8">
        <v>1</v>
      </c>
      <c r="OB43" s="8"/>
      <c r="OC43" s="8">
        <v>1</v>
      </c>
      <c r="OD43" s="41"/>
      <c r="OE43" s="41"/>
      <c r="OF43" s="8">
        <v>1</v>
      </c>
      <c r="OG43" s="8">
        <v>1</v>
      </c>
      <c r="OH43" s="8">
        <v>1</v>
      </c>
      <c r="OI43" s="47"/>
    </row>
    <row r="44" spans="1:451" s="31" customFormat="1" ht="21" x14ac:dyDescent="0.3">
      <c r="A44" s="61" t="s">
        <v>537</v>
      </c>
      <c r="B44" s="62" t="s">
        <v>436</v>
      </c>
      <c r="C44" s="45"/>
      <c r="D44" s="8">
        <v>1</v>
      </c>
      <c r="E44" s="8">
        <v>1</v>
      </c>
      <c r="F44" s="8">
        <v>1</v>
      </c>
      <c r="G44" s="8">
        <v>1</v>
      </c>
      <c r="H44" s="8">
        <v>1</v>
      </c>
      <c r="I44" s="46"/>
      <c r="J44" s="46"/>
      <c r="K44" s="8">
        <v>1</v>
      </c>
      <c r="L44" s="8">
        <v>1</v>
      </c>
      <c r="M44" s="8">
        <v>1</v>
      </c>
      <c r="N44" s="8">
        <v>1</v>
      </c>
      <c r="O44" s="8">
        <v>1</v>
      </c>
      <c r="P44" s="46"/>
      <c r="Q44" s="46"/>
      <c r="R44" s="8">
        <v>1</v>
      </c>
      <c r="S44" s="8">
        <v>1</v>
      </c>
      <c r="T44" s="8">
        <v>1</v>
      </c>
      <c r="U44" s="8">
        <v>1</v>
      </c>
      <c r="V44" s="8">
        <v>1</v>
      </c>
      <c r="W44" s="46"/>
      <c r="X44" s="46"/>
      <c r="Y44" s="8">
        <v>1</v>
      </c>
      <c r="Z44" s="8">
        <v>1</v>
      </c>
      <c r="AA44" s="8"/>
      <c r="AB44" s="8">
        <v>1</v>
      </c>
      <c r="AC44" s="8">
        <v>1</v>
      </c>
      <c r="AD44" s="46"/>
      <c r="AE44" s="46"/>
      <c r="AF44" s="8">
        <v>1</v>
      </c>
      <c r="AG44" s="8">
        <v>1</v>
      </c>
      <c r="AH44" s="38"/>
      <c r="AI44" s="8">
        <v>1</v>
      </c>
      <c r="AJ44" s="8">
        <v>1</v>
      </c>
      <c r="AK44" s="8"/>
      <c r="AL44" s="8"/>
      <c r="AM44" s="109">
        <v>1</v>
      </c>
      <c r="AN44" s="109">
        <v>1</v>
      </c>
      <c r="AO44" s="8">
        <v>1</v>
      </c>
      <c r="AP44" s="8">
        <v>1</v>
      </c>
      <c r="AQ44" s="8">
        <v>1</v>
      </c>
      <c r="AR44" s="39"/>
      <c r="AS44" s="39"/>
      <c r="AT44" s="8">
        <v>1</v>
      </c>
      <c r="AU44" s="8">
        <v>1</v>
      </c>
      <c r="AV44" s="8">
        <v>1</v>
      </c>
      <c r="AW44" s="8">
        <v>1</v>
      </c>
      <c r="AX44" s="8">
        <v>1</v>
      </c>
      <c r="AY44" s="39"/>
      <c r="AZ44" s="39"/>
      <c r="BA44" s="39">
        <v>1</v>
      </c>
      <c r="BB44" s="39">
        <v>1</v>
      </c>
      <c r="BC44" s="39">
        <v>1</v>
      </c>
      <c r="BD44" s="39">
        <v>1</v>
      </c>
      <c r="BE44" s="39">
        <v>1</v>
      </c>
      <c r="BF44" s="39"/>
      <c r="BG44" s="39"/>
      <c r="BH44" s="39">
        <v>1</v>
      </c>
      <c r="BI44" s="39">
        <v>1</v>
      </c>
      <c r="BJ44" s="39">
        <v>1</v>
      </c>
      <c r="BK44" s="39">
        <v>1</v>
      </c>
      <c r="BL44" s="39">
        <v>1</v>
      </c>
      <c r="BM44" s="40"/>
      <c r="BN44" s="40"/>
      <c r="BO44" s="8">
        <v>1</v>
      </c>
      <c r="BP44" s="8">
        <v>1</v>
      </c>
      <c r="BQ44" s="8">
        <v>1</v>
      </c>
      <c r="BR44" s="8">
        <v>1</v>
      </c>
      <c r="BS44" s="8">
        <v>1</v>
      </c>
      <c r="BT44" s="40"/>
      <c r="BU44" s="40"/>
      <c r="BV44" s="8">
        <v>1</v>
      </c>
      <c r="BW44" s="8">
        <v>1</v>
      </c>
      <c r="BX44" s="8">
        <v>1</v>
      </c>
      <c r="BY44" s="8">
        <v>1</v>
      </c>
      <c r="BZ44" s="8">
        <v>1</v>
      </c>
      <c r="CA44" s="40"/>
      <c r="CB44" s="40"/>
      <c r="CC44" s="8">
        <v>1</v>
      </c>
      <c r="CD44" s="8">
        <v>1</v>
      </c>
      <c r="CE44" s="8">
        <v>1</v>
      </c>
      <c r="CF44" s="8">
        <v>1</v>
      </c>
      <c r="CG44" s="8">
        <v>1</v>
      </c>
      <c r="CH44" s="40"/>
      <c r="CI44" s="40"/>
      <c r="CJ44" s="8">
        <v>1</v>
      </c>
      <c r="CK44" s="8">
        <v>1</v>
      </c>
      <c r="CL44" s="8">
        <v>1</v>
      </c>
      <c r="CM44" s="8">
        <v>1</v>
      </c>
      <c r="CN44" s="8">
        <v>1</v>
      </c>
      <c r="CO44" s="40"/>
      <c r="CP44" s="40"/>
      <c r="CQ44" s="8">
        <v>1</v>
      </c>
      <c r="CR44" s="8">
        <v>1</v>
      </c>
      <c r="CS44" s="8">
        <v>1</v>
      </c>
      <c r="CT44" s="8">
        <v>1</v>
      </c>
      <c r="CU44" s="8">
        <v>1</v>
      </c>
      <c r="CV44" s="40"/>
      <c r="CW44" s="40"/>
      <c r="CX44" s="8">
        <v>1</v>
      </c>
      <c r="CY44" s="8">
        <v>1</v>
      </c>
      <c r="CZ44" s="8">
        <v>1</v>
      </c>
      <c r="DA44" s="8">
        <v>1</v>
      </c>
      <c r="DB44" s="8">
        <v>1</v>
      </c>
      <c r="DC44" s="40"/>
      <c r="DD44" s="40"/>
      <c r="DE44" s="8">
        <v>1</v>
      </c>
      <c r="DF44" s="8">
        <v>1</v>
      </c>
      <c r="DG44" s="8">
        <v>1</v>
      </c>
      <c r="DH44" s="8">
        <v>1</v>
      </c>
      <c r="DI44" s="8">
        <v>1</v>
      </c>
      <c r="DJ44" s="40"/>
      <c r="DK44" s="40"/>
      <c r="DL44" s="8">
        <v>1</v>
      </c>
      <c r="DM44" s="8">
        <v>1</v>
      </c>
      <c r="DN44" s="8">
        <v>1</v>
      </c>
      <c r="DO44" s="8">
        <v>1</v>
      </c>
      <c r="DP44" s="8">
        <v>1</v>
      </c>
      <c r="DQ44" s="41"/>
      <c r="DR44" s="41"/>
      <c r="DS44" s="8">
        <v>1</v>
      </c>
      <c r="DT44" s="8">
        <v>1</v>
      </c>
      <c r="DU44" s="8">
        <v>1</v>
      </c>
      <c r="DV44" s="8">
        <v>1</v>
      </c>
      <c r="DW44" s="8">
        <v>1</v>
      </c>
      <c r="DX44" s="41"/>
      <c r="DY44" s="41"/>
      <c r="DZ44" s="8">
        <v>1</v>
      </c>
      <c r="EA44" s="8">
        <v>1</v>
      </c>
      <c r="EB44" s="8">
        <v>1</v>
      </c>
      <c r="EC44" s="8">
        <v>1</v>
      </c>
      <c r="ED44" s="8">
        <v>1</v>
      </c>
      <c r="EE44" s="41"/>
      <c r="EF44" s="41"/>
      <c r="EG44" s="8">
        <v>1</v>
      </c>
      <c r="EH44" s="8">
        <v>1</v>
      </c>
      <c r="EI44" s="8">
        <v>1</v>
      </c>
      <c r="EJ44" s="8">
        <v>1</v>
      </c>
      <c r="EK44" s="8">
        <v>1</v>
      </c>
      <c r="EL44" s="41"/>
      <c r="EM44" s="41"/>
      <c r="EN44" s="38"/>
      <c r="EO44" s="8">
        <v>1</v>
      </c>
      <c r="EP44" s="8">
        <v>1</v>
      </c>
      <c r="EQ44" s="8">
        <v>1</v>
      </c>
      <c r="ER44" s="8">
        <v>1</v>
      </c>
      <c r="ES44" s="41"/>
      <c r="ET44" s="41"/>
      <c r="EU44" s="8">
        <v>1</v>
      </c>
      <c r="EV44" s="8">
        <v>1</v>
      </c>
      <c r="EW44" s="8">
        <v>1</v>
      </c>
      <c r="EX44" s="38"/>
      <c r="EY44" s="8">
        <v>1</v>
      </c>
      <c r="EZ44" s="41"/>
      <c r="FA44" s="41"/>
      <c r="FB44" s="8">
        <v>1</v>
      </c>
      <c r="FC44" s="8">
        <v>1</v>
      </c>
      <c r="FD44" s="8">
        <v>1</v>
      </c>
      <c r="FE44" s="38"/>
      <c r="FF44" s="8">
        <v>1</v>
      </c>
      <c r="FG44" s="41"/>
      <c r="FH44" s="41"/>
      <c r="FI44" s="8">
        <v>1</v>
      </c>
      <c r="FJ44" s="8">
        <v>1</v>
      </c>
      <c r="FK44" s="8">
        <v>1</v>
      </c>
      <c r="FL44" s="8">
        <v>1</v>
      </c>
      <c r="FM44" s="8">
        <v>1</v>
      </c>
      <c r="FN44" s="41"/>
      <c r="FO44" s="41"/>
      <c r="FP44" s="8">
        <v>1</v>
      </c>
      <c r="FQ44" s="8">
        <v>1</v>
      </c>
      <c r="FR44" s="8">
        <v>1</v>
      </c>
      <c r="FS44" s="8">
        <v>1</v>
      </c>
      <c r="FT44" s="8">
        <v>1</v>
      </c>
      <c r="FU44" s="41"/>
      <c r="FV44" s="41"/>
      <c r="FW44" s="8">
        <v>1</v>
      </c>
      <c r="FX44" s="8">
        <v>1</v>
      </c>
      <c r="FY44" s="8">
        <v>1</v>
      </c>
      <c r="FZ44" s="38"/>
      <c r="GA44" s="8">
        <v>1</v>
      </c>
      <c r="GB44" s="41"/>
      <c r="GC44" s="41"/>
      <c r="GD44" s="8">
        <v>1</v>
      </c>
      <c r="GE44" s="8">
        <v>1</v>
      </c>
      <c r="GF44" s="8">
        <v>1</v>
      </c>
      <c r="GG44" s="8">
        <v>1</v>
      </c>
      <c r="GH44" s="8">
        <v>1</v>
      </c>
      <c r="GI44" s="41"/>
      <c r="GJ44" s="41"/>
      <c r="GK44" s="38"/>
      <c r="GL44" s="8">
        <v>1</v>
      </c>
      <c r="GM44" s="8">
        <v>1</v>
      </c>
      <c r="GN44" s="8">
        <v>1</v>
      </c>
      <c r="GO44" s="8">
        <v>1</v>
      </c>
      <c r="GP44" s="41"/>
      <c r="GQ44" s="41"/>
      <c r="GR44" s="8">
        <v>1</v>
      </c>
      <c r="GS44" s="8">
        <v>1</v>
      </c>
      <c r="GT44" s="8">
        <v>1</v>
      </c>
      <c r="GU44" s="8">
        <v>1</v>
      </c>
      <c r="GV44" s="8">
        <v>1</v>
      </c>
      <c r="GW44" s="41"/>
      <c r="GX44" s="41"/>
      <c r="GY44" s="8">
        <v>1</v>
      </c>
      <c r="GZ44" s="8">
        <v>1</v>
      </c>
      <c r="HA44" s="8">
        <v>1</v>
      </c>
      <c r="HB44" s="8">
        <v>1</v>
      </c>
      <c r="HC44" s="8">
        <v>1</v>
      </c>
      <c r="HD44" s="41"/>
      <c r="HE44" s="41"/>
      <c r="HF44" s="8">
        <v>1</v>
      </c>
      <c r="HG44" s="8">
        <v>1</v>
      </c>
      <c r="HH44" s="8">
        <v>1</v>
      </c>
      <c r="HI44" s="8">
        <v>1</v>
      </c>
      <c r="HJ44" s="8">
        <v>1</v>
      </c>
      <c r="HK44" s="41"/>
      <c r="HL44" s="41"/>
      <c r="HM44" s="8">
        <v>1</v>
      </c>
      <c r="HN44" s="8">
        <v>1</v>
      </c>
      <c r="HO44" s="8">
        <v>1</v>
      </c>
      <c r="HP44" s="8">
        <v>1</v>
      </c>
      <c r="HQ44" s="8">
        <v>1</v>
      </c>
      <c r="HR44" s="41"/>
      <c r="HS44" s="41"/>
      <c r="HT44" s="38"/>
      <c r="HU44" s="8">
        <v>1</v>
      </c>
      <c r="HV44" s="8">
        <v>1</v>
      </c>
      <c r="HW44" s="8">
        <v>1</v>
      </c>
      <c r="HX44" s="8">
        <v>1</v>
      </c>
      <c r="HY44" s="41"/>
      <c r="HZ44" s="41"/>
      <c r="IA44" s="8">
        <v>1</v>
      </c>
      <c r="IB44" s="8">
        <v>1</v>
      </c>
      <c r="IC44" s="8">
        <v>1</v>
      </c>
      <c r="ID44" s="8">
        <v>1</v>
      </c>
      <c r="IE44" s="8">
        <v>1</v>
      </c>
      <c r="IF44" s="41"/>
      <c r="IG44" s="41"/>
      <c r="IH44" s="8">
        <v>1</v>
      </c>
      <c r="II44" s="8">
        <v>1</v>
      </c>
      <c r="IJ44" s="8">
        <v>1</v>
      </c>
      <c r="IK44" s="8">
        <v>1</v>
      </c>
      <c r="IL44" s="8">
        <v>1</v>
      </c>
      <c r="IM44" s="41"/>
      <c r="IN44" s="41"/>
      <c r="IO44" s="8">
        <v>1</v>
      </c>
      <c r="IP44" s="8">
        <v>1</v>
      </c>
      <c r="IQ44" s="8">
        <v>1</v>
      </c>
      <c r="IR44" s="8">
        <v>1</v>
      </c>
      <c r="IS44" s="8">
        <v>1</v>
      </c>
      <c r="IT44" s="41"/>
      <c r="IU44" s="41"/>
      <c r="IV44" s="8">
        <v>1</v>
      </c>
      <c r="IW44" s="8">
        <v>1</v>
      </c>
      <c r="IX44" s="8">
        <v>1</v>
      </c>
      <c r="IY44" s="8">
        <v>1</v>
      </c>
      <c r="IZ44" s="38"/>
      <c r="JA44" s="41"/>
      <c r="JB44" s="41"/>
      <c r="JC44" s="8">
        <v>1</v>
      </c>
      <c r="JD44" s="8">
        <v>1</v>
      </c>
      <c r="JE44" s="8">
        <v>1</v>
      </c>
      <c r="JF44" s="8">
        <v>1</v>
      </c>
      <c r="JG44" s="8">
        <v>1</v>
      </c>
      <c r="JH44" s="41"/>
      <c r="JI44" s="41"/>
      <c r="JJ44" s="8">
        <v>1</v>
      </c>
      <c r="JK44" s="8">
        <v>1</v>
      </c>
      <c r="JL44" s="8">
        <v>1</v>
      </c>
      <c r="JM44" s="8">
        <v>1</v>
      </c>
      <c r="JN44" s="8">
        <v>1</v>
      </c>
      <c r="JO44" s="41"/>
      <c r="JP44" s="41"/>
      <c r="JQ44" s="8">
        <v>1</v>
      </c>
      <c r="JR44" s="8">
        <v>1</v>
      </c>
      <c r="JS44" s="8">
        <v>1</v>
      </c>
      <c r="JT44" s="8">
        <v>1</v>
      </c>
      <c r="JU44" s="8">
        <v>1</v>
      </c>
      <c r="JV44" s="41"/>
      <c r="JW44" s="41"/>
      <c r="JX44" s="8">
        <v>1</v>
      </c>
      <c r="JY44" s="8">
        <v>1</v>
      </c>
      <c r="JZ44" s="8">
        <v>1</v>
      </c>
      <c r="KA44" s="8">
        <v>1</v>
      </c>
      <c r="KB44" s="8">
        <v>1</v>
      </c>
      <c r="KC44" s="41"/>
      <c r="KD44" s="41"/>
      <c r="KE44" s="8">
        <v>1</v>
      </c>
      <c r="KF44" s="8">
        <v>1</v>
      </c>
      <c r="KG44" s="8">
        <v>1</v>
      </c>
      <c r="KH44" s="8">
        <v>1</v>
      </c>
      <c r="KI44" s="8">
        <v>1</v>
      </c>
      <c r="KJ44" s="41"/>
      <c r="KK44" s="41"/>
      <c r="KL44" s="8">
        <v>1</v>
      </c>
      <c r="KM44" s="8">
        <v>1</v>
      </c>
      <c r="KN44" s="8">
        <v>1</v>
      </c>
      <c r="KO44" s="8">
        <v>1</v>
      </c>
      <c r="KP44" s="8">
        <v>1</v>
      </c>
      <c r="KQ44" s="41"/>
      <c r="KR44" s="41"/>
      <c r="KS44" s="8">
        <v>1</v>
      </c>
      <c r="KT44" s="8">
        <v>1</v>
      </c>
      <c r="KU44" s="8">
        <v>1</v>
      </c>
      <c r="KV44" s="8">
        <v>1</v>
      </c>
      <c r="KW44" s="8">
        <v>1</v>
      </c>
      <c r="KX44" s="41"/>
      <c r="KY44" s="41"/>
      <c r="KZ44" s="8">
        <v>1</v>
      </c>
      <c r="LA44" s="8">
        <v>1</v>
      </c>
      <c r="LB44" s="8">
        <v>1</v>
      </c>
      <c r="LC44" s="8">
        <v>1</v>
      </c>
      <c r="LD44" s="8">
        <v>1</v>
      </c>
      <c r="LE44" s="41"/>
      <c r="LF44" s="41"/>
      <c r="LG44" s="8">
        <v>1</v>
      </c>
      <c r="LH44" s="8">
        <v>1</v>
      </c>
      <c r="LI44" s="8">
        <v>1</v>
      </c>
      <c r="LJ44" s="8">
        <v>1</v>
      </c>
      <c r="LK44" s="8">
        <v>1</v>
      </c>
      <c r="LL44" s="41"/>
      <c r="LM44" s="41"/>
      <c r="LN44" s="8">
        <v>1</v>
      </c>
      <c r="LO44" s="8">
        <v>1</v>
      </c>
      <c r="LP44" s="8">
        <v>1</v>
      </c>
      <c r="LQ44" s="8">
        <v>1</v>
      </c>
      <c r="LR44" s="8">
        <v>1</v>
      </c>
      <c r="LS44" s="41"/>
      <c r="LT44" s="41"/>
      <c r="LU44" s="8">
        <v>1</v>
      </c>
      <c r="LV44" s="8">
        <v>1</v>
      </c>
      <c r="LW44" s="8">
        <v>1</v>
      </c>
      <c r="LX44" s="8">
        <v>1</v>
      </c>
      <c r="LY44" s="8">
        <v>1</v>
      </c>
      <c r="LZ44" s="41"/>
      <c r="MA44" s="41"/>
      <c r="MB44" s="8">
        <v>1</v>
      </c>
      <c r="MC44" s="8">
        <v>1</v>
      </c>
      <c r="MD44" s="8">
        <v>1</v>
      </c>
      <c r="ME44" s="8">
        <v>1</v>
      </c>
      <c r="MF44" s="8">
        <v>1</v>
      </c>
      <c r="MG44" s="41"/>
      <c r="MH44" s="41"/>
      <c r="MI44" s="8">
        <v>1</v>
      </c>
      <c r="MJ44" s="8">
        <v>1</v>
      </c>
      <c r="MK44" s="8">
        <v>1</v>
      </c>
      <c r="ML44" s="8">
        <v>1</v>
      </c>
      <c r="MM44" s="8">
        <v>1</v>
      </c>
      <c r="MN44" s="41"/>
      <c r="MO44" s="41"/>
      <c r="MP44" s="8">
        <v>1</v>
      </c>
      <c r="MQ44" s="8">
        <v>1</v>
      </c>
      <c r="MR44" s="8">
        <v>1</v>
      </c>
      <c r="MS44" s="8">
        <v>1</v>
      </c>
      <c r="MT44" s="8">
        <v>1</v>
      </c>
      <c r="MU44" s="41"/>
      <c r="MV44" s="41"/>
      <c r="MW44" s="8">
        <v>1</v>
      </c>
      <c r="MX44" s="8">
        <v>1</v>
      </c>
      <c r="MY44" s="8">
        <v>1</v>
      </c>
      <c r="MZ44" s="8">
        <v>1</v>
      </c>
      <c r="NA44" s="8">
        <v>1</v>
      </c>
      <c r="NB44" s="41"/>
      <c r="NC44" s="41"/>
      <c r="ND44" s="8">
        <v>1</v>
      </c>
      <c r="NE44" s="8">
        <v>1</v>
      </c>
      <c r="NF44" s="8">
        <v>1</v>
      </c>
      <c r="NG44" s="8">
        <v>1</v>
      </c>
      <c r="NH44" s="8">
        <v>1</v>
      </c>
      <c r="NI44" s="41"/>
      <c r="NJ44" s="41"/>
      <c r="NK44" s="8">
        <v>1</v>
      </c>
      <c r="NL44" s="8">
        <v>1</v>
      </c>
      <c r="NM44" s="8">
        <v>1</v>
      </c>
      <c r="NN44" s="8">
        <v>1</v>
      </c>
      <c r="NO44" s="8">
        <v>1</v>
      </c>
      <c r="NP44" s="40"/>
      <c r="NQ44" s="40"/>
      <c r="NR44" s="8">
        <v>1</v>
      </c>
      <c r="NS44" s="8">
        <v>1</v>
      </c>
      <c r="NT44" s="8">
        <v>1</v>
      </c>
      <c r="NU44" s="8">
        <v>1</v>
      </c>
      <c r="NV44" s="8">
        <v>1</v>
      </c>
      <c r="NW44" s="40"/>
      <c r="NX44" s="40"/>
      <c r="NY44" s="8">
        <v>1</v>
      </c>
      <c r="NZ44" s="8">
        <v>1</v>
      </c>
      <c r="OA44" s="8">
        <v>1</v>
      </c>
      <c r="OB44" s="8"/>
      <c r="OC44" s="8">
        <v>1</v>
      </c>
      <c r="OD44" s="41"/>
      <c r="OE44" s="41"/>
      <c r="OF44" s="8">
        <v>1</v>
      </c>
      <c r="OG44" s="8">
        <v>1</v>
      </c>
      <c r="OH44" s="8">
        <v>1</v>
      </c>
      <c r="OI44" s="47"/>
    </row>
    <row r="45" spans="1:451" s="31" customFormat="1" ht="21" x14ac:dyDescent="0.3">
      <c r="A45" s="61" t="s">
        <v>538</v>
      </c>
      <c r="B45" s="62" t="s">
        <v>436</v>
      </c>
      <c r="C45" s="45"/>
      <c r="D45" s="8">
        <v>1</v>
      </c>
      <c r="E45" s="8">
        <v>1</v>
      </c>
      <c r="F45" s="8">
        <v>1</v>
      </c>
      <c r="G45" s="8">
        <v>1</v>
      </c>
      <c r="H45" s="8">
        <v>1</v>
      </c>
      <c r="I45" s="46"/>
      <c r="J45" s="46"/>
      <c r="K45" s="8">
        <v>1</v>
      </c>
      <c r="L45" s="8">
        <v>1</v>
      </c>
      <c r="M45" s="8">
        <v>1</v>
      </c>
      <c r="N45" s="8">
        <v>1</v>
      </c>
      <c r="O45" s="8">
        <v>1</v>
      </c>
      <c r="P45" s="46"/>
      <c r="Q45" s="46"/>
      <c r="R45" s="8">
        <v>1</v>
      </c>
      <c r="S45" s="8">
        <v>1</v>
      </c>
      <c r="T45" s="8">
        <v>1</v>
      </c>
      <c r="U45" s="8">
        <v>1</v>
      </c>
      <c r="V45" s="8">
        <v>1</v>
      </c>
      <c r="W45" s="46"/>
      <c r="X45" s="46"/>
      <c r="Y45" s="8">
        <v>1</v>
      </c>
      <c r="Z45" s="8">
        <v>1</v>
      </c>
      <c r="AA45" s="8"/>
      <c r="AB45" s="8">
        <v>1</v>
      </c>
      <c r="AC45" s="8">
        <v>1</v>
      </c>
      <c r="AD45" s="46"/>
      <c r="AE45" s="46"/>
      <c r="AF45" s="8">
        <v>1</v>
      </c>
      <c r="AG45" s="8">
        <v>1</v>
      </c>
      <c r="AH45" s="38"/>
      <c r="AI45" s="8">
        <v>1</v>
      </c>
      <c r="AJ45" s="8">
        <v>1</v>
      </c>
      <c r="AK45" s="8"/>
      <c r="AL45" s="8"/>
      <c r="AM45" s="109">
        <v>1</v>
      </c>
      <c r="AN45" s="109">
        <v>1</v>
      </c>
      <c r="AO45" s="8">
        <v>1</v>
      </c>
      <c r="AP45" s="8">
        <v>1</v>
      </c>
      <c r="AQ45" s="8">
        <v>1</v>
      </c>
      <c r="AR45" s="39"/>
      <c r="AS45" s="39"/>
      <c r="AT45" s="8">
        <v>1</v>
      </c>
      <c r="AU45" s="8">
        <v>1</v>
      </c>
      <c r="AV45" s="8">
        <v>1</v>
      </c>
      <c r="AW45" s="8">
        <v>1</v>
      </c>
      <c r="AX45" s="8">
        <v>1</v>
      </c>
      <c r="AY45" s="39"/>
      <c r="AZ45" s="39"/>
      <c r="BA45" s="39">
        <v>1</v>
      </c>
      <c r="BB45" s="39">
        <v>1</v>
      </c>
      <c r="BC45" s="39">
        <v>1</v>
      </c>
      <c r="BD45" s="39">
        <v>1</v>
      </c>
      <c r="BE45" s="39">
        <v>1</v>
      </c>
      <c r="BF45" s="39"/>
      <c r="BG45" s="39"/>
      <c r="BH45" s="39">
        <v>1</v>
      </c>
      <c r="BI45" s="39">
        <v>1</v>
      </c>
      <c r="BJ45" s="39">
        <v>1</v>
      </c>
      <c r="BK45" s="39">
        <v>1</v>
      </c>
      <c r="BL45" s="39">
        <v>1</v>
      </c>
      <c r="BM45" s="40"/>
      <c r="BN45" s="40"/>
      <c r="BO45" s="8">
        <v>1</v>
      </c>
      <c r="BP45" s="8">
        <v>1</v>
      </c>
      <c r="BQ45" s="8">
        <v>1</v>
      </c>
      <c r="BR45" s="8">
        <v>1</v>
      </c>
      <c r="BS45" s="8">
        <v>1</v>
      </c>
      <c r="BT45" s="40"/>
      <c r="BU45" s="40"/>
      <c r="BV45" s="8">
        <v>1</v>
      </c>
      <c r="BW45" s="8">
        <v>1</v>
      </c>
      <c r="BX45" s="8">
        <v>1</v>
      </c>
      <c r="BY45" s="8">
        <v>1</v>
      </c>
      <c r="BZ45" s="8">
        <v>1</v>
      </c>
      <c r="CA45" s="40"/>
      <c r="CB45" s="40"/>
      <c r="CC45" s="8">
        <v>1</v>
      </c>
      <c r="CD45" s="8">
        <v>1</v>
      </c>
      <c r="CE45" s="8">
        <v>1</v>
      </c>
      <c r="CF45" s="8">
        <v>1</v>
      </c>
      <c r="CG45" s="8">
        <v>1</v>
      </c>
      <c r="CH45" s="40"/>
      <c r="CI45" s="40"/>
      <c r="CJ45" s="8">
        <v>1</v>
      </c>
      <c r="CK45" s="8">
        <v>1</v>
      </c>
      <c r="CL45" s="8">
        <v>1</v>
      </c>
      <c r="CM45" s="8">
        <v>1</v>
      </c>
      <c r="CN45" s="8">
        <v>1</v>
      </c>
      <c r="CO45" s="40"/>
      <c r="CP45" s="40"/>
      <c r="CQ45" s="8">
        <v>1</v>
      </c>
      <c r="CR45" s="8">
        <v>1</v>
      </c>
      <c r="CS45" s="8">
        <v>1</v>
      </c>
      <c r="CT45" s="8">
        <v>1</v>
      </c>
      <c r="CU45" s="8">
        <v>1</v>
      </c>
      <c r="CV45" s="40"/>
      <c r="CW45" s="40"/>
      <c r="CX45" s="8">
        <v>1</v>
      </c>
      <c r="CY45" s="8">
        <v>1</v>
      </c>
      <c r="CZ45" s="8">
        <v>1</v>
      </c>
      <c r="DA45" s="8">
        <v>1</v>
      </c>
      <c r="DB45" s="8">
        <v>1</v>
      </c>
      <c r="DC45" s="40"/>
      <c r="DD45" s="40"/>
      <c r="DE45" s="8">
        <v>1</v>
      </c>
      <c r="DF45" s="8">
        <v>1</v>
      </c>
      <c r="DG45" s="8">
        <v>1</v>
      </c>
      <c r="DH45" s="8">
        <v>1</v>
      </c>
      <c r="DI45" s="8">
        <v>1</v>
      </c>
      <c r="DJ45" s="40"/>
      <c r="DK45" s="40"/>
      <c r="DL45" s="8">
        <v>1</v>
      </c>
      <c r="DM45" s="8">
        <v>1</v>
      </c>
      <c r="DN45" s="8">
        <v>1</v>
      </c>
      <c r="DO45" s="8">
        <v>1</v>
      </c>
      <c r="DP45" s="8">
        <v>1</v>
      </c>
      <c r="DQ45" s="41"/>
      <c r="DR45" s="41"/>
      <c r="DS45" s="8">
        <v>1</v>
      </c>
      <c r="DT45" s="8">
        <v>1</v>
      </c>
      <c r="DU45" s="8">
        <v>1</v>
      </c>
      <c r="DV45" s="8">
        <v>1</v>
      </c>
      <c r="DW45" s="8">
        <v>1</v>
      </c>
      <c r="DX45" s="41"/>
      <c r="DY45" s="41"/>
      <c r="DZ45" s="8">
        <v>1</v>
      </c>
      <c r="EA45" s="8">
        <v>1</v>
      </c>
      <c r="EB45" s="8">
        <v>1</v>
      </c>
      <c r="EC45" s="8">
        <v>1</v>
      </c>
      <c r="ED45" s="8">
        <v>1</v>
      </c>
      <c r="EE45" s="41"/>
      <c r="EF45" s="41"/>
      <c r="EG45" s="8">
        <v>1</v>
      </c>
      <c r="EH45" s="8">
        <v>1</v>
      </c>
      <c r="EI45" s="8">
        <v>1</v>
      </c>
      <c r="EJ45" s="8">
        <v>1</v>
      </c>
      <c r="EK45" s="8">
        <v>1</v>
      </c>
      <c r="EL45" s="41"/>
      <c r="EM45" s="41"/>
      <c r="EN45" s="38"/>
      <c r="EO45" s="8">
        <v>1</v>
      </c>
      <c r="EP45" s="8">
        <v>1</v>
      </c>
      <c r="EQ45" s="8">
        <v>1</v>
      </c>
      <c r="ER45" s="8">
        <v>1</v>
      </c>
      <c r="ES45" s="41"/>
      <c r="ET45" s="41"/>
      <c r="EU45" s="8">
        <v>1</v>
      </c>
      <c r="EV45" s="8">
        <v>1</v>
      </c>
      <c r="EW45" s="8">
        <v>1</v>
      </c>
      <c r="EX45" s="38"/>
      <c r="EY45" s="8">
        <v>1</v>
      </c>
      <c r="EZ45" s="41"/>
      <c r="FA45" s="41"/>
      <c r="FB45" s="8">
        <v>1</v>
      </c>
      <c r="FC45" s="8">
        <v>1</v>
      </c>
      <c r="FD45" s="8">
        <v>1</v>
      </c>
      <c r="FE45" s="38"/>
      <c r="FF45" s="8">
        <v>1</v>
      </c>
      <c r="FG45" s="41"/>
      <c r="FH45" s="41"/>
      <c r="FI45" s="8">
        <v>1</v>
      </c>
      <c r="FJ45" s="8">
        <v>1</v>
      </c>
      <c r="FK45" s="8">
        <v>1</v>
      </c>
      <c r="FL45" s="8">
        <v>1</v>
      </c>
      <c r="FM45" s="8">
        <v>1</v>
      </c>
      <c r="FN45" s="41"/>
      <c r="FO45" s="41"/>
      <c r="FP45" s="8">
        <v>1</v>
      </c>
      <c r="FQ45" s="8">
        <v>1</v>
      </c>
      <c r="FR45" s="8">
        <v>1</v>
      </c>
      <c r="FS45" s="8">
        <v>1</v>
      </c>
      <c r="FT45" s="8">
        <v>1</v>
      </c>
      <c r="FU45" s="41"/>
      <c r="FV45" s="41"/>
      <c r="FW45" s="8">
        <v>1</v>
      </c>
      <c r="FX45" s="8">
        <v>1</v>
      </c>
      <c r="FY45" s="8">
        <v>1</v>
      </c>
      <c r="FZ45" s="38"/>
      <c r="GA45" s="8">
        <v>1</v>
      </c>
      <c r="GB45" s="41"/>
      <c r="GC45" s="41"/>
      <c r="GD45" s="8">
        <v>1</v>
      </c>
      <c r="GE45" s="8">
        <v>1</v>
      </c>
      <c r="GF45" s="8">
        <v>1</v>
      </c>
      <c r="GG45" s="8">
        <v>1</v>
      </c>
      <c r="GH45" s="8">
        <v>1</v>
      </c>
      <c r="GI45" s="41"/>
      <c r="GJ45" s="41"/>
      <c r="GK45" s="38"/>
      <c r="GL45" s="8">
        <v>1</v>
      </c>
      <c r="GM45" s="8">
        <v>1</v>
      </c>
      <c r="GN45" s="8">
        <v>1</v>
      </c>
      <c r="GO45" s="8">
        <v>1</v>
      </c>
      <c r="GP45" s="41"/>
      <c r="GQ45" s="41"/>
      <c r="GR45" s="8">
        <v>1</v>
      </c>
      <c r="GS45" s="8">
        <v>1</v>
      </c>
      <c r="GT45" s="8">
        <v>1</v>
      </c>
      <c r="GU45" s="8">
        <v>1</v>
      </c>
      <c r="GV45" s="8">
        <v>1</v>
      </c>
      <c r="GW45" s="41"/>
      <c r="GX45" s="41"/>
      <c r="GY45" s="8">
        <v>1</v>
      </c>
      <c r="GZ45" s="8">
        <v>1</v>
      </c>
      <c r="HA45" s="8">
        <v>1</v>
      </c>
      <c r="HB45" s="8">
        <v>1</v>
      </c>
      <c r="HC45" s="8">
        <v>1</v>
      </c>
      <c r="HD45" s="41"/>
      <c r="HE45" s="41"/>
      <c r="HF45" s="8">
        <v>1</v>
      </c>
      <c r="HG45" s="8">
        <v>1</v>
      </c>
      <c r="HH45" s="8">
        <v>1</v>
      </c>
      <c r="HI45" s="8">
        <v>1</v>
      </c>
      <c r="HJ45" s="8">
        <v>1</v>
      </c>
      <c r="HK45" s="41"/>
      <c r="HL45" s="41"/>
      <c r="HM45" s="8">
        <v>1</v>
      </c>
      <c r="HN45" s="8">
        <v>1</v>
      </c>
      <c r="HO45" s="8">
        <v>1</v>
      </c>
      <c r="HP45" s="8">
        <v>1</v>
      </c>
      <c r="HQ45" s="8">
        <v>1</v>
      </c>
      <c r="HR45" s="41"/>
      <c r="HS45" s="41"/>
      <c r="HT45" s="38"/>
      <c r="HU45" s="8">
        <v>1</v>
      </c>
      <c r="HV45" s="8">
        <v>1</v>
      </c>
      <c r="HW45" s="8">
        <v>1</v>
      </c>
      <c r="HX45" s="8">
        <v>1</v>
      </c>
      <c r="HY45" s="41"/>
      <c r="HZ45" s="41"/>
      <c r="IA45" s="8">
        <v>1</v>
      </c>
      <c r="IB45" s="8">
        <v>1</v>
      </c>
      <c r="IC45" s="8">
        <v>1</v>
      </c>
      <c r="ID45" s="8">
        <v>1</v>
      </c>
      <c r="IE45" s="8">
        <v>1</v>
      </c>
      <c r="IF45" s="41"/>
      <c r="IG45" s="41"/>
      <c r="IH45" s="8">
        <v>1</v>
      </c>
      <c r="II45" s="8">
        <v>1</v>
      </c>
      <c r="IJ45" s="8">
        <v>1</v>
      </c>
      <c r="IK45" s="8">
        <v>1</v>
      </c>
      <c r="IL45" s="8">
        <v>1</v>
      </c>
      <c r="IM45" s="41"/>
      <c r="IN45" s="41"/>
      <c r="IO45" s="8">
        <v>1</v>
      </c>
      <c r="IP45" s="8">
        <v>1</v>
      </c>
      <c r="IQ45" s="8">
        <v>1</v>
      </c>
      <c r="IR45" s="8">
        <v>1</v>
      </c>
      <c r="IS45" s="8">
        <v>1</v>
      </c>
      <c r="IT45" s="41"/>
      <c r="IU45" s="41"/>
      <c r="IV45" s="8">
        <v>1</v>
      </c>
      <c r="IW45" s="8">
        <v>1</v>
      </c>
      <c r="IX45" s="8">
        <v>1</v>
      </c>
      <c r="IY45" s="8">
        <v>1</v>
      </c>
      <c r="IZ45" s="38"/>
      <c r="JA45" s="41"/>
      <c r="JB45" s="41"/>
      <c r="JC45" s="8">
        <v>1</v>
      </c>
      <c r="JD45" s="8">
        <v>1</v>
      </c>
      <c r="JE45" s="8">
        <v>1</v>
      </c>
      <c r="JF45" s="8">
        <v>1</v>
      </c>
      <c r="JG45" s="8">
        <v>1</v>
      </c>
      <c r="JH45" s="41"/>
      <c r="JI45" s="41"/>
      <c r="JJ45" s="8">
        <v>1</v>
      </c>
      <c r="JK45" s="8">
        <v>1</v>
      </c>
      <c r="JL45" s="8">
        <v>1</v>
      </c>
      <c r="JM45" s="8">
        <v>1</v>
      </c>
      <c r="JN45" s="8">
        <v>1</v>
      </c>
      <c r="JO45" s="41"/>
      <c r="JP45" s="41"/>
      <c r="JQ45" s="8">
        <v>1</v>
      </c>
      <c r="JR45" s="8">
        <v>1</v>
      </c>
      <c r="JS45" s="8">
        <v>1</v>
      </c>
      <c r="JT45" s="8">
        <v>1</v>
      </c>
      <c r="JU45" s="8">
        <v>1</v>
      </c>
      <c r="JV45" s="41"/>
      <c r="JW45" s="41"/>
      <c r="JX45" s="8">
        <v>1</v>
      </c>
      <c r="JY45" s="8">
        <v>1</v>
      </c>
      <c r="JZ45" s="8">
        <v>1</v>
      </c>
      <c r="KA45" s="8">
        <v>1</v>
      </c>
      <c r="KB45" s="8">
        <v>1</v>
      </c>
      <c r="KC45" s="41"/>
      <c r="KD45" s="41"/>
      <c r="KE45" s="8">
        <v>1</v>
      </c>
      <c r="KF45" s="8">
        <v>1</v>
      </c>
      <c r="KG45" s="8">
        <v>1</v>
      </c>
      <c r="KH45" s="8">
        <v>1</v>
      </c>
      <c r="KI45" s="8">
        <v>1</v>
      </c>
      <c r="KJ45" s="41"/>
      <c r="KK45" s="41"/>
      <c r="KL45" s="8">
        <v>1</v>
      </c>
      <c r="KM45" s="8">
        <v>1</v>
      </c>
      <c r="KN45" s="8">
        <v>1</v>
      </c>
      <c r="KO45" s="8">
        <v>1</v>
      </c>
      <c r="KP45" s="8">
        <v>1</v>
      </c>
      <c r="KQ45" s="41"/>
      <c r="KR45" s="41"/>
      <c r="KS45" s="8">
        <v>1</v>
      </c>
      <c r="KT45" s="8">
        <v>1</v>
      </c>
      <c r="KU45" s="8">
        <v>1</v>
      </c>
      <c r="KV45" s="8">
        <v>1</v>
      </c>
      <c r="KW45" s="8">
        <v>1</v>
      </c>
      <c r="KX45" s="41"/>
      <c r="KY45" s="41"/>
      <c r="KZ45" s="8">
        <v>1</v>
      </c>
      <c r="LA45" s="8">
        <v>1</v>
      </c>
      <c r="LB45" s="8">
        <v>1</v>
      </c>
      <c r="LC45" s="8">
        <v>1</v>
      </c>
      <c r="LD45" s="8">
        <v>1</v>
      </c>
      <c r="LE45" s="41"/>
      <c r="LF45" s="41"/>
      <c r="LG45" s="8">
        <v>1</v>
      </c>
      <c r="LH45" s="8">
        <v>1</v>
      </c>
      <c r="LI45" s="8">
        <v>1</v>
      </c>
      <c r="LJ45" s="8">
        <v>1</v>
      </c>
      <c r="LK45" s="8">
        <v>1</v>
      </c>
      <c r="LL45" s="41"/>
      <c r="LM45" s="41"/>
      <c r="LN45" s="8">
        <v>1</v>
      </c>
      <c r="LO45" s="8">
        <v>1</v>
      </c>
      <c r="LP45" s="8">
        <v>1</v>
      </c>
      <c r="LQ45" s="8">
        <v>1</v>
      </c>
      <c r="LR45" s="8">
        <v>1</v>
      </c>
      <c r="LS45" s="41"/>
      <c r="LT45" s="41"/>
      <c r="LU45" s="8">
        <v>1</v>
      </c>
      <c r="LV45" s="8">
        <v>1</v>
      </c>
      <c r="LW45" s="8">
        <v>1</v>
      </c>
      <c r="LX45" s="8">
        <v>1</v>
      </c>
      <c r="LY45" s="8">
        <v>1</v>
      </c>
      <c r="LZ45" s="41"/>
      <c r="MA45" s="41"/>
      <c r="MB45" s="8">
        <v>1</v>
      </c>
      <c r="MC45" s="8">
        <v>1</v>
      </c>
      <c r="MD45" s="8">
        <v>1</v>
      </c>
      <c r="ME45" s="8">
        <v>1</v>
      </c>
      <c r="MF45" s="8">
        <v>1</v>
      </c>
      <c r="MG45" s="41"/>
      <c r="MH45" s="41"/>
      <c r="MI45" s="8">
        <v>1</v>
      </c>
      <c r="MJ45" s="8">
        <v>1</v>
      </c>
      <c r="MK45" s="8">
        <v>1</v>
      </c>
      <c r="ML45" s="8">
        <v>1</v>
      </c>
      <c r="MM45" s="8">
        <v>1</v>
      </c>
      <c r="MN45" s="41"/>
      <c r="MO45" s="41"/>
      <c r="MP45" s="8">
        <v>1</v>
      </c>
      <c r="MQ45" s="8">
        <v>1</v>
      </c>
      <c r="MR45" s="8">
        <v>1</v>
      </c>
      <c r="MS45" s="8">
        <v>1</v>
      </c>
      <c r="MT45" s="8">
        <v>1</v>
      </c>
      <c r="MU45" s="41"/>
      <c r="MV45" s="41"/>
      <c r="MW45" s="8">
        <v>1</v>
      </c>
      <c r="MX45" s="8">
        <v>1</v>
      </c>
      <c r="MY45" s="8">
        <v>1</v>
      </c>
      <c r="MZ45" s="8">
        <v>1</v>
      </c>
      <c r="NA45" s="8">
        <v>1</v>
      </c>
      <c r="NB45" s="41"/>
      <c r="NC45" s="41"/>
      <c r="ND45" s="8">
        <v>1</v>
      </c>
      <c r="NE45" s="8">
        <v>1</v>
      </c>
      <c r="NF45" s="8">
        <v>1</v>
      </c>
      <c r="NG45" s="8">
        <v>1</v>
      </c>
      <c r="NH45" s="8">
        <v>1</v>
      </c>
      <c r="NI45" s="41"/>
      <c r="NJ45" s="41"/>
      <c r="NK45" s="8">
        <v>1</v>
      </c>
      <c r="NL45" s="8">
        <v>1</v>
      </c>
      <c r="NM45" s="8">
        <v>1</v>
      </c>
      <c r="NN45" s="8">
        <v>1</v>
      </c>
      <c r="NO45" s="8">
        <v>1</v>
      </c>
      <c r="NP45" s="40"/>
      <c r="NQ45" s="40"/>
      <c r="NR45" s="8">
        <v>1</v>
      </c>
      <c r="NS45" s="8">
        <v>1</v>
      </c>
      <c r="NT45" s="8">
        <v>1</v>
      </c>
      <c r="NU45" s="8">
        <v>1</v>
      </c>
      <c r="NV45" s="8">
        <v>1</v>
      </c>
      <c r="NW45" s="40"/>
      <c r="NX45" s="40"/>
      <c r="NY45" s="8">
        <v>1</v>
      </c>
      <c r="NZ45" s="8">
        <v>1</v>
      </c>
      <c r="OA45" s="8">
        <v>1</v>
      </c>
      <c r="OB45" s="8"/>
      <c r="OC45" s="8">
        <v>1</v>
      </c>
      <c r="OD45" s="41"/>
      <c r="OE45" s="41"/>
      <c r="OF45" s="8">
        <v>1</v>
      </c>
      <c r="OG45" s="8">
        <v>1</v>
      </c>
      <c r="OH45" s="8">
        <v>1</v>
      </c>
      <c r="OI45" s="47"/>
    </row>
    <row r="46" spans="1:451" s="31" customFormat="1" ht="21" x14ac:dyDescent="0.3">
      <c r="A46" s="61" t="s">
        <v>539</v>
      </c>
      <c r="B46" s="62" t="s">
        <v>437</v>
      </c>
      <c r="C46" s="45"/>
      <c r="D46" s="8">
        <v>1</v>
      </c>
      <c r="E46" s="8">
        <v>1</v>
      </c>
      <c r="F46" s="8">
        <v>1</v>
      </c>
      <c r="G46" s="8">
        <v>1</v>
      </c>
      <c r="H46" s="8">
        <v>1</v>
      </c>
      <c r="I46" s="46"/>
      <c r="J46" s="46"/>
      <c r="K46" s="8">
        <v>1</v>
      </c>
      <c r="L46" s="8">
        <v>1</v>
      </c>
      <c r="M46" s="8">
        <v>1</v>
      </c>
      <c r="N46" s="8">
        <v>1</v>
      </c>
      <c r="O46" s="8">
        <v>1</v>
      </c>
      <c r="P46" s="46"/>
      <c r="Q46" s="46"/>
      <c r="R46" s="8">
        <v>1</v>
      </c>
      <c r="S46" s="8">
        <v>0</v>
      </c>
      <c r="T46" s="8">
        <v>1</v>
      </c>
      <c r="U46" s="8">
        <v>1</v>
      </c>
      <c r="V46" s="8">
        <v>1</v>
      </c>
      <c r="W46" s="46"/>
      <c r="X46" s="46"/>
      <c r="Y46" s="8">
        <v>0</v>
      </c>
      <c r="Z46" s="8">
        <v>0</v>
      </c>
      <c r="AA46" s="8"/>
      <c r="AB46" s="8">
        <v>0</v>
      </c>
      <c r="AC46" s="8">
        <v>0</v>
      </c>
      <c r="AD46" s="46"/>
      <c r="AE46" s="46"/>
      <c r="AF46" s="8">
        <v>0</v>
      </c>
      <c r="AG46" s="8">
        <v>0</v>
      </c>
      <c r="AH46" s="38"/>
      <c r="AI46" s="8">
        <v>0</v>
      </c>
      <c r="AJ46" s="8">
        <v>0</v>
      </c>
      <c r="AK46" s="8"/>
      <c r="AL46" s="8"/>
      <c r="AM46" s="109">
        <v>1</v>
      </c>
      <c r="AN46" s="109">
        <v>1</v>
      </c>
      <c r="AO46" s="8">
        <v>1</v>
      </c>
      <c r="AP46" s="8">
        <v>1</v>
      </c>
      <c r="AQ46" s="8">
        <v>1</v>
      </c>
      <c r="AR46" s="39"/>
      <c r="AS46" s="39"/>
      <c r="AT46" s="8">
        <v>1</v>
      </c>
      <c r="AU46" s="8">
        <v>0</v>
      </c>
      <c r="AV46" s="8">
        <v>1</v>
      </c>
      <c r="AW46" s="8">
        <v>1</v>
      </c>
      <c r="AX46" s="8">
        <v>1</v>
      </c>
      <c r="AY46" s="39"/>
      <c r="AZ46" s="39"/>
      <c r="BA46" s="39">
        <v>1</v>
      </c>
      <c r="BB46" s="39">
        <v>1</v>
      </c>
      <c r="BC46" s="39">
        <v>1</v>
      </c>
      <c r="BD46" s="39">
        <v>1</v>
      </c>
      <c r="BE46" s="39">
        <v>1</v>
      </c>
      <c r="BF46" s="39"/>
      <c r="BG46" s="39"/>
      <c r="BH46" s="39">
        <v>1</v>
      </c>
      <c r="BI46" s="39">
        <v>1</v>
      </c>
      <c r="BJ46" s="39">
        <v>1</v>
      </c>
      <c r="BK46" s="39">
        <v>1</v>
      </c>
      <c r="BL46" s="39">
        <v>1</v>
      </c>
      <c r="BM46" s="40"/>
      <c r="BN46" s="40"/>
      <c r="BO46" s="8">
        <v>1</v>
      </c>
      <c r="BP46" s="8">
        <v>0</v>
      </c>
      <c r="BQ46" s="8">
        <v>1</v>
      </c>
      <c r="BR46" s="8">
        <v>1</v>
      </c>
      <c r="BS46" s="8">
        <v>1</v>
      </c>
      <c r="BT46" s="40"/>
      <c r="BU46" s="40"/>
      <c r="BV46" s="8">
        <v>1</v>
      </c>
      <c r="BW46" s="8">
        <v>0</v>
      </c>
      <c r="BX46" s="8">
        <v>1</v>
      </c>
      <c r="BY46" s="8">
        <v>1</v>
      </c>
      <c r="BZ46" s="8">
        <v>1</v>
      </c>
      <c r="CA46" s="40"/>
      <c r="CB46" s="40"/>
      <c r="CC46" s="8">
        <v>1</v>
      </c>
      <c r="CD46" s="8">
        <v>1</v>
      </c>
      <c r="CE46" s="8">
        <v>1</v>
      </c>
      <c r="CF46" s="8">
        <v>1</v>
      </c>
      <c r="CG46" s="8">
        <v>1</v>
      </c>
      <c r="CH46" s="40"/>
      <c r="CI46" s="40"/>
      <c r="CJ46" s="8">
        <v>1</v>
      </c>
      <c r="CK46" s="8">
        <v>1</v>
      </c>
      <c r="CL46" s="8">
        <v>1</v>
      </c>
      <c r="CM46" s="8">
        <v>1</v>
      </c>
      <c r="CN46" s="8">
        <v>1</v>
      </c>
      <c r="CO46" s="40"/>
      <c r="CP46" s="40"/>
      <c r="CQ46" s="8">
        <v>1</v>
      </c>
      <c r="CR46" s="8">
        <v>1</v>
      </c>
      <c r="CS46" s="8">
        <v>1</v>
      </c>
      <c r="CT46" s="8">
        <v>1</v>
      </c>
      <c r="CU46" s="8">
        <v>1</v>
      </c>
      <c r="CV46" s="40"/>
      <c r="CW46" s="40"/>
      <c r="CX46" s="8">
        <v>1</v>
      </c>
      <c r="CY46" s="8">
        <v>1</v>
      </c>
      <c r="CZ46" s="8">
        <v>1</v>
      </c>
      <c r="DA46" s="8">
        <v>1</v>
      </c>
      <c r="DB46" s="8">
        <v>1</v>
      </c>
      <c r="DC46" s="40"/>
      <c r="DD46" s="40"/>
      <c r="DE46" s="8">
        <v>1</v>
      </c>
      <c r="DF46" s="8">
        <v>1</v>
      </c>
      <c r="DG46" s="8">
        <v>1</v>
      </c>
      <c r="DH46" s="8">
        <v>1</v>
      </c>
      <c r="DI46" s="8">
        <v>1</v>
      </c>
      <c r="DJ46" s="40"/>
      <c r="DK46" s="40"/>
      <c r="DL46" s="8">
        <v>1</v>
      </c>
      <c r="DM46" s="8">
        <v>1</v>
      </c>
      <c r="DN46" s="8">
        <v>1</v>
      </c>
      <c r="DO46" s="8">
        <v>1</v>
      </c>
      <c r="DP46" s="8">
        <v>1</v>
      </c>
      <c r="DQ46" s="41"/>
      <c r="DR46" s="41"/>
      <c r="DS46" s="8">
        <v>1</v>
      </c>
      <c r="DT46" s="8">
        <v>1</v>
      </c>
      <c r="DU46" s="8">
        <v>1</v>
      </c>
      <c r="DV46" s="8">
        <v>1</v>
      </c>
      <c r="DW46" s="8">
        <v>1</v>
      </c>
      <c r="DX46" s="41"/>
      <c r="DY46" s="41"/>
      <c r="DZ46" s="8">
        <v>1</v>
      </c>
      <c r="EA46" s="8">
        <v>1</v>
      </c>
      <c r="EB46" s="8">
        <v>1</v>
      </c>
      <c r="EC46" s="8">
        <v>1</v>
      </c>
      <c r="ED46" s="8">
        <v>1</v>
      </c>
      <c r="EE46" s="41"/>
      <c r="EF46" s="41"/>
      <c r="EG46" s="8">
        <v>1</v>
      </c>
      <c r="EH46" s="8">
        <v>1</v>
      </c>
      <c r="EI46" s="8">
        <v>1</v>
      </c>
      <c r="EJ46" s="8">
        <v>1</v>
      </c>
      <c r="EK46" s="8">
        <v>1</v>
      </c>
      <c r="EL46" s="41"/>
      <c r="EM46" s="41"/>
      <c r="EN46" s="38"/>
      <c r="EO46" s="8">
        <v>0</v>
      </c>
      <c r="EP46" s="8">
        <v>0</v>
      </c>
      <c r="EQ46" s="8">
        <v>0</v>
      </c>
      <c r="ER46" s="8">
        <v>0</v>
      </c>
      <c r="ES46" s="41"/>
      <c r="ET46" s="41"/>
      <c r="EU46" s="8">
        <v>1</v>
      </c>
      <c r="EV46" s="8">
        <v>1</v>
      </c>
      <c r="EW46" s="8">
        <v>1</v>
      </c>
      <c r="EX46" s="38"/>
      <c r="EY46" s="8">
        <v>1</v>
      </c>
      <c r="EZ46" s="41"/>
      <c r="FA46" s="41"/>
      <c r="FB46" s="8">
        <v>1</v>
      </c>
      <c r="FC46" s="8">
        <v>1</v>
      </c>
      <c r="FD46" s="8">
        <v>1</v>
      </c>
      <c r="FE46" s="38"/>
      <c r="FF46" s="8">
        <v>1</v>
      </c>
      <c r="FG46" s="41"/>
      <c r="FH46" s="41"/>
      <c r="FI46" s="8">
        <v>1</v>
      </c>
      <c r="FJ46" s="8">
        <v>1</v>
      </c>
      <c r="FK46" s="8">
        <v>1</v>
      </c>
      <c r="FL46" s="8">
        <v>1</v>
      </c>
      <c r="FM46" s="8">
        <v>1</v>
      </c>
      <c r="FN46" s="41"/>
      <c r="FO46" s="41"/>
      <c r="FP46" s="8">
        <v>1</v>
      </c>
      <c r="FQ46" s="8">
        <v>1</v>
      </c>
      <c r="FR46" s="8">
        <v>1</v>
      </c>
      <c r="FS46" s="8">
        <v>0</v>
      </c>
      <c r="FT46" s="8">
        <v>1</v>
      </c>
      <c r="FU46" s="41"/>
      <c r="FV46" s="41"/>
      <c r="FW46" s="8">
        <v>1</v>
      </c>
      <c r="FX46" s="8">
        <v>1</v>
      </c>
      <c r="FY46" s="8">
        <v>1</v>
      </c>
      <c r="FZ46" s="38"/>
      <c r="GA46" s="8">
        <v>0</v>
      </c>
      <c r="GB46" s="41"/>
      <c r="GC46" s="41"/>
      <c r="GD46" s="8">
        <v>1</v>
      </c>
      <c r="GE46" s="8">
        <v>1</v>
      </c>
      <c r="GF46" s="8">
        <v>1</v>
      </c>
      <c r="GG46" s="8">
        <v>1</v>
      </c>
      <c r="GH46" s="8">
        <v>1</v>
      </c>
      <c r="GI46" s="41"/>
      <c r="GJ46" s="41"/>
      <c r="GK46" s="38"/>
      <c r="GL46" s="8">
        <v>1</v>
      </c>
      <c r="GM46" s="8">
        <v>1</v>
      </c>
      <c r="GN46" s="8">
        <v>1</v>
      </c>
      <c r="GO46" s="8">
        <v>1</v>
      </c>
      <c r="GP46" s="41"/>
      <c r="GQ46" s="41"/>
      <c r="GR46" s="8">
        <v>1</v>
      </c>
      <c r="GS46" s="8">
        <v>1</v>
      </c>
      <c r="GT46" s="8">
        <v>1</v>
      </c>
      <c r="GU46" s="8">
        <v>1</v>
      </c>
      <c r="GV46" s="8">
        <v>1</v>
      </c>
      <c r="GW46" s="41"/>
      <c r="GX46" s="41"/>
      <c r="GY46" s="8">
        <v>1</v>
      </c>
      <c r="GZ46" s="8">
        <v>1</v>
      </c>
      <c r="HA46" s="8">
        <v>1</v>
      </c>
      <c r="HB46" s="8">
        <v>1</v>
      </c>
      <c r="HC46" s="8">
        <v>1</v>
      </c>
      <c r="HD46" s="41"/>
      <c r="HE46" s="41"/>
      <c r="HF46" s="8">
        <v>1</v>
      </c>
      <c r="HG46" s="8">
        <v>1</v>
      </c>
      <c r="HH46" s="8">
        <v>1</v>
      </c>
      <c r="HI46" s="8">
        <v>1</v>
      </c>
      <c r="HJ46" s="8">
        <v>1</v>
      </c>
      <c r="HK46" s="41"/>
      <c r="HL46" s="41"/>
      <c r="HM46" s="8">
        <v>1</v>
      </c>
      <c r="HN46" s="8">
        <v>1</v>
      </c>
      <c r="HO46" s="8">
        <v>1</v>
      </c>
      <c r="HP46" s="8">
        <v>1</v>
      </c>
      <c r="HQ46" s="8">
        <v>1</v>
      </c>
      <c r="HR46" s="41"/>
      <c r="HS46" s="41"/>
      <c r="HT46" s="38"/>
      <c r="HU46" s="8">
        <v>1</v>
      </c>
      <c r="HV46" s="8">
        <v>1</v>
      </c>
      <c r="HW46" s="8">
        <v>1</v>
      </c>
      <c r="HX46" s="8">
        <v>1</v>
      </c>
      <c r="HY46" s="41"/>
      <c r="HZ46" s="41"/>
      <c r="IA46" s="8">
        <v>1</v>
      </c>
      <c r="IB46" s="8">
        <v>1</v>
      </c>
      <c r="IC46" s="8">
        <v>1</v>
      </c>
      <c r="ID46" s="8">
        <v>1</v>
      </c>
      <c r="IE46" s="8">
        <v>1</v>
      </c>
      <c r="IF46" s="41"/>
      <c r="IG46" s="41"/>
      <c r="IH46" s="8">
        <v>1</v>
      </c>
      <c r="II46" s="8">
        <v>1</v>
      </c>
      <c r="IJ46" s="8">
        <v>1</v>
      </c>
      <c r="IK46" s="8">
        <v>1</v>
      </c>
      <c r="IL46" s="8">
        <v>1</v>
      </c>
      <c r="IM46" s="41"/>
      <c r="IN46" s="41"/>
      <c r="IO46" s="8">
        <v>1</v>
      </c>
      <c r="IP46" s="8">
        <v>1</v>
      </c>
      <c r="IQ46" s="8">
        <v>1</v>
      </c>
      <c r="IR46" s="8">
        <v>1</v>
      </c>
      <c r="IS46" s="8">
        <v>1</v>
      </c>
      <c r="IT46" s="41"/>
      <c r="IU46" s="41"/>
      <c r="IV46" s="8">
        <v>1</v>
      </c>
      <c r="IW46" s="8">
        <v>1</v>
      </c>
      <c r="IX46" s="8">
        <v>1</v>
      </c>
      <c r="IY46" s="8">
        <v>1</v>
      </c>
      <c r="IZ46" s="38"/>
      <c r="JA46" s="41"/>
      <c r="JB46" s="41"/>
      <c r="JC46" s="8">
        <v>1</v>
      </c>
      <c r="JD46" s="8">
        <v>1</v>
      </c>
      <c r="JE46" s="8">
        <v>1</v>
      </c>
      <c r="JF46" s="8">
        <v>1</v>
      </c>
      <c r="JG46" s="8">
        <v>1</v>
      </c>
      <c r="JH46" s="41"/>
      <c r="JI46" s="41"/>
      <c r="JJ46" s="8">
        <v>1</v>
      </c>
      <c r="JK46" s="8">
        <v>1</v>
      </c>
      <c r="JL46" s="8">
        <v>1</v>
      </c>
      <c r="JM46" s="8">
        <v>1</v>
      </c>
      <c r="JN46" s="8">
        <v>1</v>
      </c>
      <c r="JO46" s="41"/>
      <c r="JP46" s="41"/>
      <c r="JQ46" s="8">
        <v>1</v>
      </c>
      <c r="JR46" s="8">
        <v>1</v>
      </c>
      <c r="JS46" s="8">
        <v>1</v>
      </c>
      <c r="JT46" s="8">
        <v>1</v>
      </c>
      <c r="JU46" s="8">
        <v>1</v>
      </c>
      <c r="JV46" s="41"/>
      <c r="JW46" s="41"/>
      <c r="JX46" s="8">
        <v>1</v>
      </c>
      <c r="JY46" s="8">
        <v>1</v>
      </c>
      <c r="JZ46" s="8">
        <v>1</v>
      </c>
      <c r="KA46" s="8">
        <v>1</v>
      </c>
      <c r="KB46" s="8">
        <v>1</v>
      </c>
      <c r="KC46" s="41"/>
      <c r="KD46" s="41"/>
      <c r="KE46" s="8">
        <v>1</v>
      </c>
      <c r="KF46" s="8">
        <v>1</v>
      </c>
      <c r="KG46" s="8">
        <v>1</v>
      </c>
      <c r="KH46" s="8">
        <v>1</v>
      </c>
      <c r="KI46" s="8">
        <v>1</v>
      </c>
      <c r="KJ46" s="41"/>
      <c r="KK46" s="41"/>
      <c r="KL46" s="8">
        <v>1</v>
      </c>
      <c r="KM46" s="8">
        <v>1</v>
      </c>
      <c r="KN46" s="8">
        <v>1</v>
      </c>
      <c r="KO46" s="8">
        <v>1</v>
      </c>
      <c r="KP46" s="8">
        <v>1</v>
      </c>
      <c r="KQ46" s="41"/>
      <c r="KR46" s="41"/>
      <c r="KS46" s="8">
        <v>1</v>
      </c>
      <c r="KT46" s="8">
        <v>1</v>
      </c>
      <c r="KU46" s="8">
        <v>1</v>
      </c>
      <c r="KV46" s="8">
        <v>1</v>
      </c>
      <c r="KW46" s="8">
        <v>1</v>
      </c>
      <c r="KX46" s="41"/>
      <c r="KY46" s="41"/>
      <c r="KZ46" s="8">
        <v>1</v>
      </c>
      <c r="LA46" s="8">
        <v>1</v>
      </c>
      <c r="LB46" s="8">
        <v>1</v>
      </c>
      <c r="LC46" s="8">
        <v>1</v>
      </c>
      <c r="LD46" s="8">
        <v>1</v>
      </c>
      <c r="LE46" s="41"/>
      <c r="LF46" s="41"/>
      <c r="LG46" s="8">
        <v>1</v>
      </c>
      <c r="LH46" s="8">
        <v>1</v>
      </c>
      <c r="LI46" s="8">
        <v>1</v>
      </c>
      <c r="LJ46" s="8">
        <v>0</v>
      </c>
      <c r="LK46" s="8">
        <v>1</v>
      </c>
      <c r="LL46" s="41"/>
      <c r="LM46" s="41"/>
      <c r="LN46" s="8">
        <v>1</v>
      </c>
      <c r="LO46" s="8">
        <v>1</v>
      </c>
      <c r="LP46" s="8">
        <v>1</v>
      </c>
      <c r="LQ46" s="8">
        <v>1</v>
      </c>
      <c r="LR46" s="8">
        <v>1</v>
      </c>
      <c r="LS46" s="41"/>
      <c r="LT46" s="41"/>
      <c r="LU46" s="8">
        <v>1</v>
      </c>
      <c r="LV46" s="8">
        <v>1</v>
      </c>
      <c r="LW46" s="8">
        <v>1</v>
      </c>
      <c r="LX46" s="8">
        <v>1</v>
      </c>
      <c r="LY46" s="8">
        <v>1</v>
      </c>
      <c r="LZ46" s="41"/>
      <c r="MA46" s="41"/>
      <c r="MB46" s="8">
        <v>1</v>
      </c>
      <c r="MC46" s="8">
        <v>1</v>
      </c>
      <c r="MD46" s="8">
        <v>1</v>
      </c>
      <c r="ME46" s="8">
        <v>1</v>
      </c>
      <c r="MF46" s="8">
        <v>1</v>
      </c>
      <c r="MG46" s="41"/>
      <c r="MH46" s="41"/>
      <c r="MI46" s="8">
        <v>1</v>
      </c>
      <c r="MJ46" s="8">
        <v>1</v>
      </c>
      <c r="MK46" s="8">
        <v>1</v>
      </c>
      <c r="ML46" s="8">
        <v>1</v>
      </c>
      <c r="MM46" s="8">
        <v>1</v>
      </c>
      <c r="MN46" s="41"/>
      <c r="MO46" s="41"/>
      <c r="MP46" s="8">
        <v>1</v>
      </c>
      <c r="MQ46" s="8">
        <v>1</v>
      </c>
      <c r="MR46" s="8">
        <v>1</v>
      </c>
      <c r="MS46" s="8">
        <v>1</v>
      </c>
      <c r="MT46" s="8">
        <v>1</v>
      </c>
      <c r="MU46" s="41"/>
      <c r="MV46" s="41"/>
      <c r="MW46" s="8">
        <v>1</v>
      </c>
      <c r="MX46" s="8">
        <v>1</v>
      </c>
      <c r="MY46" s="8">
        <v>1</v>
      </c>
      <c r="MZ46" s="8">
        <v>1</v>
      </c>
      <c r="NA46" s="8">
        <v>1</v>
      </c>
      <c r="NB46" s="41"/>
      <c r="NC46" s="41"/>
      <c r="ND46" s="8">
        <v>1</v>
      </c>
      <c r="NE46" s="8">
        <v>1</v>
      </c>
      <c r="NF46" s="8">
        <v>1</v>
      </c>
      <c r="NG46" s="8">
        <v>1</v>
      </c>
      <c r="NH46" s="8">
        <v>1</v>
      </c>
      <c r="NI46" s="41"/>
      <c r="NJ46" s="41"/>
      <c r="NK46" s="8">
        <v>1</v>
      </c>
      <c r="NL46" s="8">
        <v>1</v>
      </c>
      <c r="NM46" s="8">
        <v>1</v>
      </c>
      <c r="NN46" s="8">
        <v>1</v>
      </c>
      <c r="NO46" s="8">
        <v>1</v>
      </c>
      <c r="NP46" s="40"/>
      <c r="NQ46" s="40"/>
      <c r="NR46" s="8">
        <v>1</v>
      </c>
      <c r="NS46" s="8">
        <v>1</v>
      </c>
      <c r="NT46" s="8">
        <v>1</v>
      </c>
      <c r="NU46" s="8">
        <v>1</v>
      </c>
      <c r="NV46" s="8">
        <v>1</v>
      </c>
      <c r="NW46" s="40"/>
      <c r="NX46" s="40"/>
      <c r="NY46" s="8">
        <v>1</v>
      </c>
      <c r="NZ46" s="8">
        <v>1</v>
      </c>
      <c r="OA46" s="8">
        <v>1</v>
      </c>
      <c r="OB46" s="8"/>
      <c r="OC46" s="8">
        <v>1</v>
      </c>
      <c r="OD46" s="41"/>
      <c r="OE46" s="41"/>
      <c r="OF46" s="8">
        <v>1</v>
      </c>
      <c r="OG46" s="8">
        <v>1</v>
      </c>
      <c r="OH46" s="8">
        <v>1</v>
      </c>
      <c r="OI46" s="47"/>
    </row>
    <row r="47" spans="1:451" s="31" customFormat="1" ht="21" x14ac:dyDescent="0.3">
      <c r="A47" s="61" t="s">
        <v>540</v>
      </c>
      <c r="B47" s="62" t="s">
        <v>437</v>
      </c>
      <c r="C47" s="45"/>
      <c r="D47" s="8">
        <v>1</v>
      </c>
      <c r="E47" s="8">
        <v>1</v>
      </c>
      <c r="F47" s="8">
        <v>1</v>
      </c>
      <c r="G47" s="8">
        <v>1</v>
      </c>
      <c r="H47" s="8">
        <v>1</v>
      </c>
      <c r="I47" s="46"/>
      <c r="J47" s="46"/>
      <c r="K47" s="8">
        <v>1</v>
      </c>
      <c r="L47" s="8">
        <v>1</v>
      </c>
      <c r="M47" s="8">
        <v>1</v>
      </c>
      <c r="N47" s="8">
        <v>1</v>
      </c>
      <c r="O47" s="8">
        <v>1</v>
      </c>
      <c r="P47" s="46"/>
      <c r="Q47" s="46"/>
      <c r="R47" s="8">
        <v>1</v>
      </c>
      <c r="S47" s="8">
        <v>1</v>
      </c>
      <c r="T47" s="8">
        <v>1</v>
      </c>
      <c r="U47" s="8">
        <v>1</v>
      </c>
      <c r="V47" s="8">
        <v>1</v>
      </c>
      <c r="W47" s="46"/>
      <c r="X47" s="46"/>
      <c r="Y47" s="8">
        <v>0</v>
      </c>
      <c r="Z47" s="8">
        <v>0</v>
      </c>
      <c r="AA47" s="8"/>
      <c r="AB47" s="8">
        <v>0</v>
      </c>
      <c r="AC47" s="8">
        <v>0</v>
      </c>
      <c r="AD47" s="46"/>
      <c r="AE47" s="46"/>
      <c r="AF47" s="8">
        <v>0</v>
      </c>
      <c r="AG47" s="8">
        <v>0</v>
      </c>
      <c r="AH47" s="38"/>
      <c r="AI47" s="8">
        <v>0</v>
      </c>
      <c r="AJ47" s="8">
        <v>0</v>
      </c>
      <c r="AK47" s="8"/>
      <c r="AL47" s="8"/>
      <c r="AM47" s="109">
        <v>1</v>
      </c>
      <c r="AN47" s="109">
        <v>1</v>
      </c>
      <c r="AO47" s="8">
        <v>1</v>
      </c>
      <c r="AP47" s="8">
        <v>1</v>
      </c>
      <c r="AQ47" s="8">
        <v>1</v>
      </c>
      <c r="AR47" s="39"/>
      <c r="AS47" s="39"/>
      <c r="AT47" s="8">
        <v>1</v>
      </c>
      <c r="AU47" s="8">
        <v>1</v>
      </c>
      <c r="AV47" s="8">
        <v>1</v>
      </c>
      <c r="AW47" s="8">
        <v>1</v>
      </c>
      <c r="AX47" s="8">
        <v>1</v>
      </c>
      <c r="AY47" s="39"/>
      <c r="AZ47" s="39"/>
      <c r="BA47" s="39">
        <v>1</v>
      </c>
      <c r="BB47" s="39">
        <v>1</v>
      </c>
      <c r="BC47" s="39">
        <v>1</v>
      </c>
      <c r="BD47" s="39">
        <v>1</v>
      </c>
      <c r="BE47" s="39">
        <v>1</v>
      </c>
      <c r="BF47" s="39"/>
      <c r="BG47" s="39"/>
      <c r="BH47" s="39">
        <v>1</v>
      </c>
      <c r="BI47" s="39">
        <v>1</v>
      </c>
      <c r="BJ47" s="39">
        <v>1</v>
      </c>
      <c r="BK47" s="39">
        <v>1</v>
      </c>
      <c r="BL47" s="39">
        <v>1</v>
      </c>
      <c r="BM47" s="40"/>
      <c r="BN47" s="40"/>
      <c r="BO47" s="8">
        <v>1</v>
      </c>
      <c r="BP47" s="8">
        <v>1</v>
      </c>
      <c r="BQ47" s="8">
        <v>1</v>
      </c>
      <c r="BR47" s="8">
        <v>1</v>
      </c>
      <c r="BS47" s="8">
        <v>1</v>
      </c>
      <c r="BT47" s="40"/>
      <c r="BU47" s="40"/>
      <c r="BV47" s="8">
        <v>1</v>
      </c>
      <c r="BW47" s="8">
        <v>1</v>
      </c>
      <c r="BX47" s="8">
        <v>1</v>
      </c>
      <c r="BY47" s="8">
        <v>1</v>
      </c>
      <c r="BZ47" s="8">
        <v>1</v>
      </c>
      <c r="CA47" s="40"/>
      <c r="CB47" s="40"/>
      <c r="CC47" s="8">
        <v>1</v>
      </c>
      <c r="CD47" s="8">
        <v>1</v>
      </c>
      <c r="CE47" s="8">
        <v>1</v>
      </c>
      <c r="CF47" s="8">
        <v>1</v>
      </c>
      <c r="CG47" s="8">
        <v>1</v>
      </c>
      <c r="CH47" s="40"/>
      <c r="CI47" s="40"/>
      <c r="CJ47" s="8">
        <v>1</v>
      </c>
      <c r="CK47" s="8">
        <v>1</v>
      </c>
      <c r="CL47" s="8">
        <v>1</v>
      </c>
      <c r="CM47" s="8">
        <v>1</v>
      </c>
      <c r="CN47" s="8">
        <v>1</v>
      </c>
      <c r="CO47" s="40"/>
      <c r="CP47" s="40"/>
      <c r="CQ47" s="8">
        <v>1</v>
      </c>
      <c r="CR47" s="8">
        <v>1</v>
      </c>
      <c r="CS47" s="8">
        <v>1</v>
      </c>
      <c r="CT47" s="8">
        <v>1</v>
      </c>
      <c r="CU47" s="8">
        <v>1</v>
      </c>
      <c r="CV47" s="40"/>
      <c r="CW47" s="40"/>
      <c r="CX47" s="8">
        <v>1</v>
      </c>
      <c r="CY47" s="8">
        <v>1</v>
      </c>
      <c r="CZ47" s="8">
        <v>1</v>
      </c>
      <c r="DA47" s="8">
        <v>1</v>
      </c>
      <c r="DB47" s="8">
        <v>1</v>
      </c>
      <c r="DC47" s="40"/>
      <c r="DD47" s="40"/>
      <c r="DE47" s="8">
        <v>1</v>
      </c>
      <c r="DF47" s="8">
        <v>1</v>
      </c>
      <c r="DG47" s="8">
        <v>1</v>
      </c>
      <c r="DH47" s="8">
        <v>1</v>
      </c>
      <c r="DI47" s="8">
        <v>1</v>
      </c>
      <c r="DJ47" s="40"/>
      <c r="DK47" s="40"/>
      <c r="DL47" s="8">
        <v>1</v>
      </c>
      <c r="DM47" s="8">
        <v>1</v>
      </c>
      <c r="DN47" s="8">
        <v>1</v>
      </c>
      <c r="DO47" s="8">
        <v>1</v>
      </c>
      <c r="DP47" s="8">
        <v>1</v>
      </c>
      <c r="DQ47" s="41"/>
      <c r="DR47" s="41"/>
      <c r="DS47" s="8">
        <v>1</v>
      </c>
      <c r="DT47" s="8">
        <v>1</v>
      </c>
      <c r="DU47" s="8">
        <v>1</v>
      </c>
      <c r="DV47" s="8">
        <v>1</v>
      </c>
      <c r="DW47" s="8">
        <v>1</v>
      </c>
      <c r="DX47" s="41"/>
      <c r="DY47" s="41"/>
      <c r="DZ47" s="8">
        <v>1</v>
      </c>
      <c r="EA47" s="8">
        <v>1</v>
      </c>
      <c r="EB47" s="8">
        <v>1</v>
      </c>
      <c r="EC47" s="8">
        <v>1</v>
      </c>
      <c r="ED47" s="8">
        <v>1</v>
      </c>
      <c r="EE47" s="41"/>
      <c r="EF47" s="41"/>
      <c r="EG47" s="8">
        <v>1</v>
      </c>
      <c r="EH47" s="8">
        <v>1</v>
      </c>
      <c r="EI47" s="8">
        <v>1</v>
      </c>
      <c r="EJ47" s="8">
        <v>1</v>
      </c>
      <c r="EK47" s="8">
        <v>1</v>
      </c>
      <c r="EL47" s="41"/>
      <c r="EM47" s="41"/>
      <c r="EN47" s="38"/>
      <c r="EO47" s="8">
        <v>1</v>
      </c>
      <c r="EP47" s="8">
        <v>1</v>
      </c>
      <c r="EQ47" s="8">
        <v>1</v>
      </c>
      <c r="ER47" s="8">
        <v>1</v>
      </c>
      <c r="ES47" s="41"/>
      <c r="ET47" s="41"/>
      <c r="EU47" s="8">
        <v>1</v>
      </c>
      <c r="EV47" s="8">
        <v>1</v>
      </c>
      <c r="EW47" s="8">
        <v>1</v>
      </c>
      <c r="EX47" s="38"/>
      <c r="EY47" s="8">
        <v>1</v>
      </c>
      <c r="EZ47" s="41"/>
      <c r="FA47" s="41"/>
      <c r="FB47" s="8">
        <v>1</v>
      </c>
      <c r="FC47" s="8">
        <v>1</v>
      </c>
      <c r="FD47" s="8">
        <v>1</v>
      </c>
      <c r="FE47" s="38"/>
      <c r="FF47" s="8">
        <v>1</v>
      </c>
      <c r="FG47" s="41"/>
      <c r="FH47" s="41"/>
      <c r="FI47" s="8">
        <v>1</v>
      </c>
      <c r="FJ47" s="8">
        <v>1</v>
      </c>
      <c r="FK47" s="8">
        <v>1</v>
      </c>
      <c r="FL47" s="8">
        <v>1</v>
      </c>
      <c r="FM47" s="8">
        <v>1</v>
      </c>
      <c r="FN47" s="41"/>
      <c r="FO47" s="41"/>
      <c r="FP47" s="8">
        <v>1</v>
      </c>
      <c r="FQ47" s="8">
        <v>1</v>
      </c>
      <c r="FR47" s="8">
        <v>1</v>
      </c>
      <c r="FS47" s="8">
        <v>1</v>
      </c>
      <c r="FT47" s="8">
        <v>1</v>
      </c>
      <c r="FU47" s="41"/>
      <c r="FV47" s="41"/>
      <c r="FW47" s="8">
        <v>1</v>
      </c>
      <c r="FX47" s="8">
        <v>1</v>
      </c>
      <c r="FY47" s="8">
        <v>1</v>
      </c>
      <c r="FZ47" s="38"/>
      <c r="GA47" s="8">
        <v>1</v>
      </c>
      <c r="GB47" s="41"/>
      <c r="GC47" s="41"/>
      <c r="GD47" s="8">
        <v>1</v>
      </c>
      <c r="GE47" s="8">
        <v>1</v>
      </c>
      <c r="GF47" s="8">
        <v>1</v>
      </c>
      <c r="GG47" s="8">
        <v>1</v>
      </c>
      <c r="GH47" s="8">
        <v>1</v>
      </c>
      <c r="GI47" s="41"/>
      <c r="GJ47" s="41"/>
      <c r="GK47" s="38"/>
      <c r="GL47" s="8">
        <v>1</v>
      </c>
      <c r="GM47" s="8">
        <v>1</v>
      </c>
      <c r="GN47" s="8">
        <v>1</v>
      </c>
      <c r="GO47" s="8">
        <v>1</v>
      </c>
      <c r="GP47" s="41"/>
      <c r="GQ47" s="41"/>
      <c r="GR47" s="8">
        <v>1</v>
      </c>
      <c r="GS47" s="8">
        <v>1</v>
      </c>
      <c r="GT47" s="8">
        <v>1</v>
      </c>
      <c r="GU47" s="8">
        <v>1</v>
      </c>
      <c r="GV47" s="8">
        <v>1</v>
      </c>
      <c r="GW47" s="41"/>
      <c r="GX47" s="41"/>
      <c r="GY47" s="8">
        <v>1</v>
      </c>
      <c r="GZ47" s="8">
        <v>1</v>
      </c>
      <c r="HA47" s="8">
        <v>1</v>
      </c>
      <c r="HB47" s="8">
        <v>1</v>
      </c>
      <c r="HC47" s="8">
        <v>1</v>
      </c>
      <c r="HD47" s="41"/>
      <c r="HE47" s="41"/>
      <c r="HF47" s="8">
        <v>1</v>
      </c>
      <c r="HG47" s="8">
        <v>1</v>
      </c>
      <c r="HH47" s="8">
        <v>1</v>
      </c>
      <c r="HI47" s="8">
        <v>1</v>
      </c>
      <c r="HJ47" s="8">
        <v>1</v>
      </c>
      <c r="HK47" s="41"/>
      <c r="HL47" s="41"/>
      <c r="HM47" s="8">
        <v>1</v>
      </c>
      <c r="HN47" s="8">
        <v>1</v>
      </c>
      <c r="HO47" s="8">
        <v>1</v>
      </c>
      <c r="HP47" s="8">
        <v>1</v>
      </c>
      <c r="HQ47" s="8">
        <v>1</v>
      </c>
      <c r="HR47" s="41"/>
      <c r="HS47" s="41"/>
      <c r="HT47" s="38"/>
      <c r="HU47" s="8">
        <v>1</v>
      </c>
      <c r="HV47" s="8">
        <v>1</v>
      </c>
      <c r="HW47" s="8">
        <v>1</v>
      </c>
      <c r="HX47" s="8">
        <v>1</v>
      </c>
      <c r="HY47" s="41"/>
      <c r="HZ47" s="41"/>
      <c r="IA47" s="8">
        <v>1</v>
      </c>
      <c r="IB47" s="8">
        <v>1</v>
      </c>
      <c r="IC47" s="8">
        <v>1</v>
      </c>
      <c r="ID47" s="8">
        <v>1</v>
      </c>
      <c r="IE47" s="8">
        <v>1</v>
      </c>
      <c r="IF47" s="41"/>
      <c r="IG47" s="41"/>
      <c r="IH47" s="8">
        <v>1</v>
      </c>
      <c r="II47" s="8">
        <v>1</v>
      </c>
      <c r="IJ47" s="8">
        <v>1</v>
      </c>
      <c r="IK47" s="8">
        <v>1</v>
      </c>
      <c r="IL47" s="8">
        <v>1</v>
      </c>
      <c r="IM47" s="41"/>
      <c r="IN47" s="41"/>
      <c r="IO47" s="8">
        <v>1</v>
      </c>
      <c r="IP47" s="8">
        <v>1</v>
      </c>
      <c r="IQ47" s="8">
        <v>1</v>
      </c>
      <c r="IR47" s="8">
        <v>1</v>
      </c>
      <c r="IS47" s="8">
        <v>1</v>
      </c>
      <c r="IT47" s="41"/>
      <c r="IU47" s="41"/>
      <c r="IV47" s="8">
        <v>1</v>
      </c>
      <c r="IW47" s="8">
        <v>1</v>
      </c>
      <c r="IX47" s="8">
        <v>1</v>
      </c>
      <c r="IY47" s="8">
        <v>1</v>
      </c>
      <c r="IZ47" s="38"/>
      <c r="JA47" s="41"/>
      <c r="JB47" s="41"/>
      <c r="JC47" s="8">
        <v>1</v>
      </c>
      <c r="JD47" s="8">
        <v>1</v>
      </c>
      <c r="JE47" s="8">
        <v>1</v>
      </c>
      <c r="JF47" s="8">
        <v>1</v>
      </c>
      <c r="JG47" s="8">
        <v>1</v>
      </c>
      <c r="JH47" s="41"/>
      <c r="JI47" s="41"/>
      <c r="JJ47" s="8">
        <v>1</v>
      </c>
      <c r="JK47" s="8">
        <v>1</v>
      </c>
      <c r="JL47" s="8">
        <v>1</v>
      </c>
      <c r="JM47" s="8">
        <v>1</v>
      </c>
      <c r="JN47" s="8">
        <v>1</v>
      </c>
      <c r="JO47" s="41"/>
      <c r="JP47" s="41"/>
      <c r="JQ47" s="8">
        <v>1</v>
      </c>
      <c r="JR47" s="8">
        <v>1</v>
      </c>
      <c r="JS47" s="8">
        <v>1</v>
      </c>
      <c r="JT47" s="8">
        <v>1</v>
      </c>
      <c r="JU47" s="8">
        <v>1</v>
      </c>
      <c r="JV47" s="41"/>
      <c r="JW47" s="41"/>
      <c r="JX47" s="8">
        <v>1</v>
      </c>
      <c r="JY47" s="8">
        <v>1</v>
      </c>
      <c r="JZ47" s="8">
        <v>1</v>
      </c>
      <c r="KA47" s="8">
        <v>1</v>
      </c>
      <c r="KB47" s="8">
        <v>1</v>
      </c>
      <c r="KC47" s="41"/>
      <c r="KD47" s="41"/>
      <c r="KE47" s="8">
        <v>1</v>
      </c>
      <c r="KF47" s="8">
        <v>1</v>
      </c>
      <c r="KG47" s="8">
        <v>1</v>
      </c>
      <c r="KH47" s="8">
        <v>1</v>
      </c>
      <c r="KI47" s="8">
        <v>1</v>
      </c>
      <c r="KJ47" s="41"/>
      <c r="KK47" s="41"/>
      <c r="KL47" s="8">
        <v>1</v>
      </c>
      <c r="KM47" s="8">
        <v>1</v>
      </c>
      <c r="KN47" s="8">
        <v>1</v>
      </c>
      <c r="KO47" s="8">
        <v>1</v>
      </c>
      <c r="KP47" s="8">
        <v>1</v>
      </c>
      <c r="KQ47" s="41"/>
      <c r="KR47" s="41"/>
      <c r="KS47" s="8">
        <v>1</v>
      </c>
      <c r="KT47" s="8">
        <v>1</v>
      </c>
      <c r="KU47" s="8">
        <v>1</v>
      </c>
      <c r="KV47" s="8">
        <v>1</v>
      </c>
      <c r="KW47" s="8">
        <v>1</v>
      </c>
      <c r="KX47" s="41"/>
      <c r="KY47" s="41"/>
      <c r="KZ47" s="8">
        <v>1</v>
      </c>
      <c r="LA47" s="8">
        <v>1</v>
      </c>
      <c r="LB47" s="8">
        <v>1</v>
      </c>
      <c r="LC47" s="8">
        <v>1</v>
      </c>
      <c r="LD47" s="8">
        <v>1</v>
      </c>
      <c r="LE47" s="41"/>
      <c r="LF47" s="41"/>
      <c r="LG47" s="8">
        <v>1</v>
      </c>
      <c r="LH47" s="8">
        <v>1</v>
      </c>
      <c r="LI47" s="8">
        <v>1</v>
      </c>
      <c r="LJ47" s="8">
        <v>1</v>
      </c>
      <c r="LK47" s="8">
        <v>1</v>
      </c>
      <c r="LL47" s="41"/>
      <c r="LM47" s="41"/>
      <c r="LN47" s="8">
        <v>1</v>
      </c>
      <c r="LO47" s="8">
        <v>1</v>
      </c>
      <c r="LP47" s="8">
        <v>1</v>
      </c>
      <c r="LQ47" s="8">
        <v>1</v>
      </c>
      <c r="LR47" s="8">
        <v>1</v>
      </c>
      <c r="LS47" s="41"/>
      <c r="LT47" s="41"/>
      <c r="LU47" s="8">
        <v>1</v>
      </c>
      <c r="LV47" s="8">
        <v>1</v>
      </c>
      <c r="LW47" s="8">
        <v>1</v>
      </c>
      <c r="LX47" s="8">
        <v>1</v>
      </c>
      <c r="LY47" s="8">
        <v>1</v>
      </c>
      <c r="LZ47" s="41"/>
      <c r="MA47" s="41"/>
      <c r="MB47" s="8">
        <v>1</v>
      </c>
      <c r="MC47" s="8">
        <v>1</v>
      </c>
      <c r="MD47" s="8">
        <v>1</v>
      </c>
      <c r="ME47" s="8">
        <v>1</v>
      </c>
      <c r="MF47" s="8">
        <v>1</v>
      </c>
      <c r="MG47" s="41"/>
      <c r="MH47" s="41"/>
      <c r="MI47" s="8">
        <v>1</v>
      </c>
      <c r="MJ47" s="8">
        <v>1</v>
      </c>
      <c r="MK47" s="8">
        <v>1</v>
      </c>
      <c r="ML47" s="8">
        <v>1</v>
      </c>
      <c r="MM47" s="8">
        <v>1</v>
      </c>
      <c r="MN47" s="41"/>
      <c r="MO47" s="41"/>
      <c r="MP47" s="8">
        <v>1</v>
      </c>
      <c r="MQ47" s="8">
        <v>1</v>
      </c>
      <c r="MR47" s="8">
        <v>1</v>
      </c>
      <c r="MS47" s="8">
        <v>1</v>
      </c>
      <c r="MT47" s="8">
        <v>1</v>
      </c>
      <c r="MU47" s="41"/>
      <c r="MV47" s="41"/>
      <c r="MW47" s="8">
        <v>1</v>
      </c>
      <c r="MX47" s="8">
        <v>1</v>
      </c>
      <c r="MY47" s="8">
        <v>1</v>
      </c>
      <c r="MZ47" s="8">
        <v>1</v>
      </c>
      <c r="NA47" s="8">
        <v>1</v>
      </c>
      <c r="NB47" s="41"/>
      <c r="NC47" s="41"/>
      <c r="ND47" s="8">
        <v>1</v>
      </c>
      <c r="NE47" s="8">
        <v>1</v>
      </c>
      <c r="NF47" s="8">
        <v>1</v>
      </c>
      <c r="NG47" s="8">
        <v>1</v>
      </c>
      <c r="NH47" s="8">
        <v>1</v>
      </c>
      <c r="NI47" s="41"/>
      <c r="NJ47" s="41"/>
      <c r="NK47" s="8">
        <v>1</v>
      </c>
      <c r="NL47" s="8">
        <v>1</v>
      </c>
      <c r="NM47" s="8">
        <v>1</v>
      </c>
      <c r="NN47" s="8">
        <v>1</v>
      </c>
      <c r="NO47" s="8">
        <v>1</v>
      </c>
      <c r="NP47" s="40"/>
      <c r="NQ47" s="40"/>
      <c r="NR47" s="8">
        <v>1</v>
      </c>
      <c r="NS47" s="8">
        <v>1</v>
      </c>
      <c r="NT47" s="8">
        <v>1</v>
      </c>
      <c r="NU47" s="8">
        <v>1</v>
      </c>
      <c r="NV47" s="8">
        <v>1</v>
      </c>
      <c r="NW47" s="40"/>
      <c r="NX47" s="40"/>
      <c r="NY47" s="8">
        <v>1</v>
      </c>
      <c r="NZ47" s="8">
        <v>1</v>
      </c>
      <c r="OA47" s="8">
        <v>1</v>
      </c>
      <c r="OB47" s="8"/>
      <c r="OC47" s="8">
        <v>1</v>
      </c>
      <c r="OD47" s="41"/>
      <c r="OE47" s="41"/>
      <c r="OF47" s="8">
        <v>1</v>
      </c>
      <c r="OG47" s="8">
        <v>1</v>
      </c>
      <c r="OH47" s="8">
        <v>1</v>
      </c>
      <c r="OI47" s="47"/>
    </row>
    <row r="48" spans="1:451" s="31" customFormat="1" ht="21" x14ac:dyDescent="0.3">
      <c r="A48" s="61" t="s">
        <v>541</v>
      </c>
      <c r="B48" s="62" t="s">
        <v>437</v>
      </c>
      <c r="C48" s="45"/>
      <c r="D48" s="8">
        <v>1</v>
      </c>
      <c r="E48" s="8">
        <v>1</v>
      </c>
      <c r="F48" s="8">
        <v>1</v>
      </c>
      <c r="G48" s="8">
        <v>1</v>
      </c>
      <c r="H48" s="8">
        <v>1</v>
      </c>
      <c r="I48" s="46"/>
      <c r="J48" s="46"/>
      <c r="K48" s="8">
        <v>1</v>
      </c>
      <c r="L48" s="8">
        <v>1</v>
      </c>
      <c r="M48" s="8">
        <v>1</v>
      </c>
      <c r="N48" s="8">
        <v>1</v>
      </c>
      <c r="O48" s="8">
        <v>1</v>
      </c>
      <c r="P48" s="46"/>
      <c r="Q48" s="46"/>
      <c r="R48" s="8">
        <v>1</v>
      </c>
      <c r="S48" s="8">
        <v>1</v>
      </c>
      <c r="T48" s="8">
        <v>1</v>
      </c>
      <c r="U48" s="8">
        <v>1</v>
      </c>
      <c r="V48" s="8">
        <v>1</v>
      </c>
      <c r="W48" s="46"/>
      <c r="X48" s="46"/>
      <c r="Y48" s="8">
        <v>0</v>
      </c>
      <c r="Z48" s="8">
        <v>0</v>
      </c>
      <c r="AA48" s="8"/>
      <c r="AB48" s="8">
        <v>0</v>
      </c>
      <c r="AC48" s="8">
        <v>0</v>
      </c>
      <c r="AD48" s="46"/>
      <c r="AE48" s="46"/>
      <c r="AF48" s="8">
        <v>0</v>
      </c>
      <c r="AG48" s="8">
        <v>0</v>
      </c>
      <c r="AH48" s="38"/>
      <c r="AI48" s="8">
        <v>0</v>
      </c>
      <c r="AJ48" s="8">
        <v>0</v>
      </c>
      <c r="AK48" s="8"/>
      <c r="AL48" s="8"/>
      <c r="AM48" s="109">
        <v>1</v>
      </c>
      <c r="AN48" s="109">
        <v>1</v>
      </c>
      <c r="AO48" s="8">
        <v>1</v>
      </c>
      <c r="AP48" s="8">
        <v>1</v>
      </c>
      <c r="AQ48" s="8">
        <v>1</v>
      </c>
      <c r="AR48" s="39"/>
      <c r="AS48" s="39"/>
      <c r="AT48" s="8">
        <v>1</v>
      </c>
      <c r="AU48" s="8">
        <v>1</v>
      </c>
      <c r="AV48" s="8">
        <v>1</v>
      </c>
      <c r="AW48" s="8">
        <v>1</v>
      </c>
      <c r="AX48" s="8">
        <v>1</v>
      </c>
      <c r="AY48" s="39"/>
      <c r="AZ48" s="39"/>
      <c r="BA48" s="39">
        <v>1</v>
      </c>
      <c r="BB48" s="39">
        <v>1</v>
      </c>
      <c r="BC48" s="39">
        <v>1</v>
      </c>
      <c r="BD48" s="39">
        <v>1</v>
      </c>
      <c r="BE48" s="39">
        <v>1</v>
      </c>
      <c r="BF48" s="39"/>
      <c r="BG48" s="39"/>
      <c r="BH48" s="39">
        <v>1</v>
      </c>
      <c r="BI48" s="39">
        <v>1</v>
      </c>
      <c r="BJ48" s="39">
        <v>1</v>
      </c>
      <c r="BK48" s="39">
        <v>1</v>
      </c>
      <c r="BL48" s="39">
        <v>1</v>
      </c>
      <c r="BM48" s="40"/>
      <c r="BN48" s="40"/>
      <c r="BO48" s="8">
        <v>1</v>
      </c>
      <c r="BP48" s="8">
        <v>1</v>
      </c>
      <c r="BQ48" s="8">
        <v>1</v>
      </c>
      <c r="BR48" s="8">
        <v>1</v>
      </c>
      <c r="BS48" s="8">
        <v>1</v>
      </c>
      <c r="BT48" s="40"/>
      <c r="BU48" s="40"/>
      <c r="BV48" s="8">
        <v>1</v>
      </c>
      <c r="BW48" s="8">
        <v>1</v>
      </c>
      <c r="BX48" s="8">
        <v>1</v>
      </c>
      <c r="BY48" s="8">
        <v>1</v>
      </c>
      <c r="BZ48" s="8">
        <v>1</v>
      </c>
      <c r="CA48" s="40"/>
      <c r="CB48" s="40"/>
      <c r="CC48" s="8">
        <v>1</v>
      </c>
      <c r="CD48" s="8">
        <v>1</v>
      </c>
      <c r="CE48" s="8">
        <v>1</v>
      </c>
      <c r="CF48" s="8">
        <v>1</v>
      </c>
      <c r="CG48" s="8">
        <v>1</v>
      </c>
      <c r="CH48" s="40"/>
      <c r="CI48" s="40"/>
      <c r="CJ48" s="8">
        <v>1</v>
      </c>
      <c r="CK48" s="8">
        <v>1</v>
      </c>
      <c r="CL48" s="8">
        <v>1</v>
      </c>
      <c r="CM48" s="8">
        <v>1</v>
      </c>
      <c r="CN48" s="8">
        <v>1</v>
      </c>
      <c r="CO48" s="40"/>
      <c r="CP48" s="40"/>
      <c r="CQ48" s="8">
        <v>1</v>
      </c>
      <c r="CR48" s="8">
        <v>1</v>
      </c>
      <c r="CS48" s="8">
        <v>1</v>
      </c>
      <c r="CT48" s="8">
        <v>1</v>
      </c>
      <c r="CU48" s="8">
        <v>1</v>
      </c>
      <c r="CV48" s="40"/>
      <c r="CW48" s="40"/>
      <c r="CX48" s="8">
        <v>1</v>
      </c>
      <c r="CY48" s="8">
        <v>1</v>
      </c>
      <c r="CZ48" s="8">
        <v>1</v>
      </c>
      <c r="DA48" s="8">
        <v>1</v>
      </c>
      <c r="DB48" s="8">
        <v>1</v>
      </c>
      <c r="DC48" s="40"/>
      <c r="DD48" s="40"/>
      <c r="DE48" s="8">
        <v>1</v>
      </c>
      <c r="DF48" s="8">
        <v>1</v>
      </c>
      <c r="DG48" s="8">
        <v>1</v>
      </c>
      <c r="DH48" s="8">
        <v>1</v>
      </c>
      <c r="DI48" s="8">
        <v>1</v>
      </c>
      <c r="DJ48" s="40"/>
      <c r="DK48" s="40"/>
      <c r="DL48" s="8">
        <v>1</v>
      </c>
      <c r="DM48" s="8">
        <v>1</v>
      </c>
      <c r="DN48" s="8">
        <v>1</v>
      </c>
      <c r="DO48" s="8">
        <v>1</v>
      </c>
      <c r="DP48" s="8">
        <v>1</v>
      </c>
      <c r="DQ48" s="41"/>
      <c r="DR48" s="41"/>
      <c r="DS48" s="8">
        <v>1</v>
      </c>
      <c r="DT48" s="8">
        <v>1</v>
      </c>
      <c r="DU48" s="8">
        <v>1</v>
      </c>
      <c r="DV48" s="8">
        <v>1</v>
      </c>
      <c r="DW48" s="8">
        <v>1</v>
      </c>
      <c r="DX48" s="41"/>
      <c r="DY48" s="41"/>
      <c r="DZ48" s="8">
        <v>1</v>
      </c>
      <c r="EA48" s="8">
        <v>1</v>
      </c>
      <c r="EB48" s="8">
        <v>1</v>
      </c>
      <c r="EC48" s="8">
        <v>1</v>
      </c>
      <c r="ED48" s="8">
        <v>1</v>
      </c>
      <c r="EE48" s="41"/>
      <c r="EF48" s="41"/>
      <c r="EG48" s="8">
        <v>1</v>
      </c>
      <c r="EH48" s="8">
        <v>1</v>
      </c>
      <c r="EI48" s="8">
        <v>1</v>
      </c>
      <c r="EJ48" s="8">
        <v>1</v>
      </c>
      <c r="EK48" s="8">
        <v>1</v>
      </c>
      <c r="EL48" s="41"/>
      <c r="EM48" s="41"/>
      <c r="EN48" s="38"/>
      <c r="EO48" s="8">
        <v>1</v>
      </c>
      <c r="EP48" s="8">
        <v>1</v>
      </c>
      <c r="EQ48" s="8">
        <v>1</v>
      </c>
      <c r="ER48" s="8">
        <v>1</v>
      </c>
      <c r="ES48" s="41"/>
      <c r="ET48" s="41"/>
      <c r="EU48" s="8">
        <v>1</v>
      </c>
      <c r="EV48" s="8">
        <v>1</v>
      </c>
      <c r="EW48" s="8">
        <v>1</v>
      </c>
      <c r="EX48" s="38"/>
      <c r="EY48" s="8">
        <v>1</v>
      </c>
      <c r="EZ48" s="41"/>
      <c r="FA48" s="41"/>
      <c r="FB48" s="8">
        <v>1</v>
      </c>
      <c r="FC48" s="8">
        <v>1</v>
      </c>
      <c r="FD48" s="8">
        <v>1</v>
      </c>
      <c r="FE48" s="38"/>
      <c r="FF48" s="8">
        <v>1</v>
      </c>
      <c r="FG48" s="41"/>
      <c r="FH48" s="41"/>
      <c r="FI48" s="8">
        <v>1</v>
      </c>
      <c r="FJ48" s="8">
        <v>1</v>
      </c>
      <c r="FK48" s="8">
        <v>1</v>
      </c>
      <c r="FL48" s="8">
        <v>1</v>
      </c>
      <c r="FM48" s="8">
        <v>1</v>
      </c>
      <c r="FN48" s="41"/>
      <c r="FO48" s="41"/>
      <c r="FP48" s="8">
        <v>1</v>
      </c>
      <c r="FQ48" s="8">
        <v>1</v>
      </c>
      <c r="FR48" s="8">
        <v>1</v>
      </c>
      <c r="FS48" s="8">
        <v>1</v>
      </c>
      <c r="FT48" s="8">
        <v>1</v>
      </c>
      <c r="FU48" s="41"/>
      <c r="FV48" s="41"/>
      <c r="FW48" s="8">
        <v>1</v>
      </c>
      <c r="FX48" s="8">
        <v>1</v>
      </c>
      <c r="FY48" s="8">
        <v>1</v>
      </c>
      <c r="FZ48" s="38"/>
      <c r="GA48" s="8">
        <v>1</v>
      </c>
      <c r="GB48" s="41"/>
      <c r="GC48" s="41"/>
      <c r="GD48" s="8">
        <v>1</v>
      </c>
      <c r="GE48" s="8">
        <v>1</v>
      </c>
      <c r="GF48" s="8">
        <v>1</v>
      </c>
      <c r="GG48" s="8">
        <v>1</v>
      </c>
      <c r="GH48" s="8">
        <v>1</v>
      </c>
      <c r="GI48" s="41"/>
      <c r="GJ48" s="41"/>
      <c r="GK48" s="38"/>
      <c r="GL48" s="8">
        <v>1</v>
      </c>
      <c r="GM48" s="8">
        <v>1</v>
      </c>
      <c r="GN48" s="8">
        <v>1</v>
      </c>
      <c r="GO48" s="8">
        <v>1</v>
      </c>
      <c r="GP48" s="41"/>
      <c r="GQ48" s="41"/>
      <c r="GR48" s="8">
        <v>1</v>
      </c>
      <c r="GS48" s="8">
        <v>1</v>
      </c>
      <c r="GT48" s="8">
        <v>1</v>
      </c>
      <c r="GU48" s="8">
        <v>1</v>
      </c>
      <c r="GV48" s="8">
        <v>1</v>
      </c>
      <c r="GW48" s="41"/>
      <c r="GX48" s="41"/>
      <c r="GY48" s="8">
        <v>1</v>
      </c>
      <c r="GZ48" s="8">
        <v>1</v>
      </c>
      <c r="HA48" s="8">
        <v>1</v>
      </c>
      <c r="HB48" s="8">
        <v>1</v>
      </c>
      <c r="HC48" s="8">
        <v>1</v>
      </c>
      <c r="HD48" s="41"/>
      <c r="HE48" s="41"/>
      <c r="HF48" s="8">
        <v>1</v>
      </c>
      <c r="HG48" s="8">
        <v>1</v>
      </c>
      <c r="HH48" s="8">
        <v>1</v>
      </c>
      <c r="HI48" s="8">
        <v>1</v>
      </c>
      <c r="HJ48" s="8">
        <v>1</v>
      </c>
      <c r="HK48" s="41"/>
      <c r="HL48" s="41"/>
      <c r="HM48" s="8">
        <v>1</v>
      </c>
      <c r="HN48" s="8">
        <v>1</v>
      </c>
      <c r="HO48" s="8">
        <v>1</v>
      </c>
      <c r="HP48" s="8">
        <v>1</v>
      </c>
      <c r="HQ48" s="8">
        <v>1</v>
      </c>
      <c r="HR48" s="41"/>
      <c r="HS48" s="41"/>
      <c r="HT48" s="38"/>
      <c r="HU48" s="8">
        <v>1</v>
      </c>
      <c r="HV48" s="8">
        <v>1</v>
      </c>
      <c r="HW48" s="8">
        <v>1</v>
      </c>
      <c r="HX48" s="8">
        <v>1</v>
      </c>
      <c r="HY48" s="41"/>
      <c r="HZ48" s="41"/>
      <c r="IA48" s="8">
        <v>1</v>
      </c>
      <c r="IB48" s="8">
        <v>1</v>
      </c>
      <c r="IC48" s="8">
        <v>1</v>
      </c>
      <c r="ID48" s="8">
        <v>1</v>
      </c>
      <c r="IE48" s="8">
        <v>1</v>
      </c>
      <c r="IF48" s="41"/>
      <c r="IG48" s="41"/>
      <c r="IH48" s="8">
        <v>1</v>
      </c>
      <c r="II48" s="8">
        <v>1</v>
      </c>
      <c r="IJ48" s="8">
        <v>1</v>
      </c>
      <c r="IK48" s="8">
        <v>1</v>
      </c>
      <c r="IL48" s="8">
        <v>1</v>
      </c>
      <c r="IM48" s="41"/>
      <c r="IN48" s="41"/>
      <c r="IO48" s="8">
        <v>1</v>
      </c>
      <c r="IP48" s="8">
        <v>1</v>
      </c>
      <c r="IQ48" s="8">
        <v>1</v>
      </c>
      <c r="IR48" s="8">
        <v>1</v>
      </c>
      <c r="IS48" s="8">
        <v>1</v>
      </c>
      <c r="IT48" s="41"/>
      <c r="IU48" s="41"/>
      <c r="IV48" s="8">
        <v>1</v>
      </c>
      <c r="IW48" s="8">
        <v>1</v>
      </c>
      <c r="IX48" s="8">
        <v>1</v>
      </c>
      <c r="IY48" s="8">
        <v>1</v>
      </c>
      <c r="IZ48" s="38"/>
      <c r="JA48" s="41"/>
      <c r="JB48" s="41"/>
      <c r="JC48" s="8">
        <v>1</v>
      </c>
      <c r="JD48" s="8">
        <v>1</v>
      </c>
      <c r="JE48" s="8">
        <v>1</v>
      </c>
      <c r="JF48" s="8">
        <v>1</v>
      </c>
      <c r="JG48" s="8">
        <v>1</v>
      </c>
      <c r="JH48" s="41"/>
      <c r="JI48" s="41"/>
      <c r="JJ48" s="8">
        <v>1</v>
      </c>
      <c r="JK48" s="8">
        <v>1</v>
      </c>
      <c r="JL48" s="8">
        <v>1</v>
      </c>
      <c r="JM48" s="8">
        <v>1</v>
      </c>
      <c r="JN48" s="8">
        <v>1</v>
      </c>
      <c r="JO48" s="41"/>
      <c r="JP48" s="41"/>
      <c r="JQ48" s="8">
        <v>1</v>
      </c>
      <c r="JR48" s="8">
        <v>1</v>
      </c>
      <c r="JS48" s="8">
        <v>1</v>
      </c>
      <c r="JT48" s="8">
        <v>1</v>
      </c>
      <c r="JU48" s="8">
        <v>1</v>
      </c>
      <c r="JV48" s="41"/>
      <c r="JW48" s="41"/>
      <c r="JX48" s="8">
        <v>1</v>
      </c>
      <c r="JY48" s="8">
        <v>1</v>
      </c>
      <c r="JZ48" s="8">
        <v>1</v>
      </c>
      <c r="KA48" s="8">
        <v>1</v>
      </c>
      <c r="KB48" s="8">
        <v>1</v>
      </c>
      <c r="KC48" s="41"/>
      <c r="KD48" s="41"/>
      <c r="KE48" s="8">
        <v>1</v>
      </c>
      <c r="KF48" s="8">
        <v>1</v>
      </c>
      <c r="KG48" s="8">
        <v>1</v>
      </c>
      <c r="KH48" s="8">
        <v>1</v>
      </c>
      <c r="KI48" s="8">
        <v>1</v>
      </c>
      <c r="KJ48" s="41"/>
      <c r="KK48" s="41"/>
      <c r="KL48" s="8">
        <v>1</v>
      </c>
      <c r="KM48" s="8">
        <v>1</v>
      </c>
      <c r="KN48" s="8">
        <v>1</v>
      </c>
      <c r="KO48" s="8">
        <v>1</v>
      </c>
      <c r="KP48" s="8">
        <v>1</v>
      </c>
      <c r="KQ48" s="41"/>
      <c r="KR48" s="41"/>
      <c r="KS48" s="8">
        <v>1</v>
      </c>
      <c r="KT48" s="8">
        <v>1</v>
      </c>
      <c r="KU48" s="8">
        <v>1</v>
      </c>
      <c r="KV48" s="8">
        <v>1</v>
      </c>
      <c r="KW48" s="8">
        <v>1</v>
      </c>
      <c r="KX48" s="41"/>
      <c r="KY48" s="41"/>
      <c r="KZ48" s="8">
        <v>1</v>
      </c>
      <c r="LA48" s="8">
        <v>1</v>
      </c>
      <c r="LB48" s="8">
        <v>1</v>
      </c>
      <c r="LC48" s="8">
        <v>1</v>
      </c>
      <c r="LD48" s="8">
        <v>1</v>
      </c>
      <c r="LE48" s="41"/>
      <c r="LF48" s="41"/>
      <c r="LG48" s="8">
        <v>1</v>
      </c>
      <c r="LH48" s="8">
        <v>1</v>
      </c>
      <c r="LI48" s="8">
        <v>1</v>
      </c>
      <c r="LJ48" s="8">
        <v>1</v>
      </c>
      <c r="LK48" s="8">
        <v>1</v>
      </c>
      <c r="LL48" s="41"/>
      <c r="LM48" s="41"/>
      <c r="LN48" s="8">
        <v>1</v>
      </c>
      <c r="LO48" s="8">
        <v>1</v>
      </c>
      <c r="LP48" s="8">
        <v>1</v>
      </c>
      <c r="LQ48" s="8">
        <v>1</v>
      </c>
      <c r="LR48" s="8">
        <v>1</v>
      </c>
      <c r="LS48" s="41"/>
      <c r="LT48" s="41"/>
      <c r="LU48" s="8">
        <v>1</v>
      </c>
      <c r="LV48" s="8">
        <v>1</v>
      </c>
      <c r="LW48" s="8">
        <v>1</v>
      </c>
      <c r="LX48" s="8">
        <v>1</v>
      </c>
      <c r="LY48" s="8">
        <v>1</v>
      </c>
      <c r="LZ48" s="41"/>
      <c r="MA48" s="41"/>
      <c r="MB48" s="8">
        <v>1</v>
      </c>
      <c r="MC48" s="8">
        <v>1</v>
      </c>
      <c r="MD48" s="8">
        <v>1</v>
      </c>
      <c r="ME48" s="8">
        <v>1</v>
      </c>
      <c r="MF48" s="8">
        <v>1</v>
      </c>
      <c r="MG48" s="41"/>
      <c r="MH48" s="41"/>
      <c r="MI48" s="8">
        <v>1</v>
      </c>
      <c r="MJ48" s="8">
        <v>1</v>
      </c>
      <c r="MK48" s="8">
        <v>1</v>
      </c>
      <c r="ML48" s="8">
        <v>1</v>
      </c>
      <c r="MM48" s="8">
        <v>1</v>
      </c>
      <c r="MN48" s="41"/>
      <c r="MO48" s="41"/>
      <c r="MP48" s="8">
        <v>1</v>
      </c>
      <c r="MQ48" s="8">
        <v>1</v>
      </c>
      <c r="MR48" s="8">
        <v>1</v>
      </c>
      <c r="MS48" s="8">
        <v>1</v>
      </c>
      <c r="MT48" s="8">
        <v>1</v>
      </c>
      <c r="MU48" s="41"/>
      <c r="MV48" s="41"/>
      <c r="MW48" s="8">
        <v>1</v>
      </c>
      <c r="MX48" s="8">
        <v>1</v>
      </c>
      <c r="MY48" s="8">
        <v>1</v>
      </c>
      <c r="MZ48" s="8">
        <v>1</v>
      </c>
      <c r="NA48" s="8">
        <v>1</v>
      </c>
      <c r="NB48" s="41"/>
      <c r="NC48" s="41"/>
      <c r="ND48" s="8">
        <v>1</v>
      </c>
      <c r="NE48" s="8">
        <v>1</v>
      </c>
      <c r="NF48" s="8">
        <v>1</v>
      </c>
      <c r="NG48" s="8">
        <v>1</v>
      </c>
      <c r="NH48" s="8">
        <v>1</v>
      </c>
      <c r="NI48" s="41"/>
      <c r="NJ48" s="41"/>
      <c r="NK48" s="8">
        <v>1</v>
      </c>
      <c r="NL48" s="8">
        <v>1</v>
      </c>
      <c r="NM48" s="8">
        <v>1</v>
      </c>
      <c r="NN48" s="8">
        <v>1</v>
      </c>
      <c r="NO48" s="8">
        <v>1</v>
      </c>
      <c r="NP48" s="40"/>
      <c r="NQ48" s="40"/>
      <c r="NR48" s="8">
        <v>1</v>
      </c>
      <c r="NS48" s="8">
        <v>1</v>
      </c>
      <c r="NT48" s="8">
        <v>1</v>
      </c>
      <c r="NU48" s="8">
        <v>1</v>
      </c>
      <c r="NV48" s="8">
        <v>1</v>
      </c>
      <c r="NW48" s="40"/>
      <c r="NX48" s="40"/>
      <c r="NY48" s="8">
        <v>1</v>
      </c>
      <c r="NZ48" s="8">
        <v>1</v>
      </c>
      <c r="OA48" s="8">
        <v>1</v>
      </c>
      <c r="OB48" s="8"/>
      <c r="OC48" s="8">
        <v>1</v>
      </c>
      <c r="OD48" s="41"/>
      <c r="OE48" s="41"/>
      <c r="OF48" s="8">
        <v>1</v>
      </c>
      <c r="OG48" s="8">
        <v>1</v>
      </c>
      <c r="OH48" s="8">
        <v>1</v>
      </c>
      <c r="OI48" s="47"/>
    </row>
    <row r="49" spans="1:399" s="31" customFormat="1" ht="21" x14ac:dyDescent="0.3">
      <c r="A49" s="61" t="s">
        <v>542</v>
      </c>
      <c r="B49" s="62" t="s">
        <v>438</v>
      </c>
      <c r="C49" s="45"/>
      <c r="D49" s="8">
        <v>1</v>
      </c>
      <c r="E49" s="8">
        <v>1</v>
      </c>
      <c r="F49" s="8">
        <v>1</v>
      </c>
      <c r="G49" s="8">
        <v>1</v>
      </c>
      <c r="H49" s="8">
        <v>1</v>
      </c>
      <c r="I49" s="46"/>
      <c r="J49" s="46"/>
      <c r="K49" s="8">
        <v>1</v>
      </c>
      <c r="L49" s="8">
        <v>1</v>
      </c>
      <c r="M49" s="8">
        <v>1</v>
      </c>
      <c r="N49" s="8">
        <v>1</v>
      </c>
      <c r="O49" s="8">
        <v>1</v>
      </c>
      <c r="P49" s="46"/>
      <c r="Q49" s="46"/>
      <c r="R49" s="8">
        <v>1</v>
      </c>
      <c r="S49" s="8">
        <v>1</v>
      </c>
      <c r="T49" s="8">
        <v>1</v>
      </c>
      <c r="U49" s="8">
        <v>1</v>
      </c>
      <c r="V49" s="8">
        <v>1</v>
      </c>
      <c r="W49" s="46"/>
      <c r="X49" s="46"/>
      <c r="Y49" s="8">
        <v>1</v>
      </c>
      <c r="Z49" s="8">
        <v>1</v>
      </c>
      <c r="AA49" s="8"/>
      <c r="AB49" s="8">
        <v>1</v>
      </c>
      <c r="AC49" s="8">
        <v>1</v>
      </c>
      <c r="AD49" s="46"/>
      <c r="AE49" s="46"/>
      <c r="AF49" s="8">
        <v>1</v>
      </c>
      <c r="AG49" s="8">
        <v>1</v>
      </c>
      <c r="AH49" s="38"/>
      <c r="AI49" s="8">
        <v>1</v>
      </c>
      <c r="AJ49" s="8">
        <v>1</v>
      </c>
      <c r="AK49" s="8"/>
      <c r="AL49" s="8"/>
      <c r="AM49" s="109">
        <v>1</v>
      </c>
      <c r="AN49" s="109">
        <v>1</v>
      </c>
      <c r="AO49" s="8">
        <v>1</v>
      </c>
      <c r="AP49" s="8">
        <v>1</v>
      </c>
      <c r="AQ49" s="8">
        <v>1</v>
      </c>
      <c r="AR49" s="39"/>
      <c r="AS49" s="39"/>
      <c r="AT49" s="8">
        <v>1</v>
      </c>
      <c r="AU49" s="8">
        <v>1</v>
      </c>
      <c r="AV49" s="8">
        <v>1</v>
      </c>
      <c r="AW49" s="8">
        <v>1</v>
      </c>
      <c r="AX49" s="8">
        <v>1</v>
      </c>
      <c r="AY49" s="39"/>
      <c r="AZ49" s="39"/>
      <c r="BA49" s="39">
        <v>1</v>
      </c>
      <c r="BB49" s="39">
        <v>1</v>
      </c>
      <c r="BC49" s="39">
        <v>1</v>
      </c>
      <c r="BD49" s="39">
        <v>1</v>
      </c>
      <c r="BE49" s="39">
        <v>1</v>
      </c>
      <c r="BF49" s="39"/>
      <c r="BG49" s="39"/>
      <c r="BH49" s="39">
        <v>1</v>
      </c>
      <c r="BI49" s="39">
        <v>1</v>
      </c>
      <c r="BJ49" s="39">
        <v>1</v>
      </c>
      <c r="BK49" s="39">
        <v>1</v>
      </c>
      <c r="BL49" s="39">
        <v>1</v>
      </c>
      <c r="BM49" s="40"/>
      <c r="BN49" s="40"/>
      <c r="BO49" s="8">
        <v>1</v>
      </c>
      <c r="BP49" s="8">
        <v>1</v>
      </c>
      <c r="BQ49" s="8">
        <v>1</v>
      </c>
      <c r="BR49" s="8">
        <v>1</v>
      </c>
      <c r="BS49" s="8">
        <v>1</v>
      </c>
      <c r="BT49" s="40"/>
      <c r="BU49" s="40"/>
      <c r="BV49" s="8">
        <v>1</v>
      </c>
      <c r="BW49" s="8">
        <v>1</v>
      </c>
      <c r="BX49" s="8">
        <v>1</v>
      </c>
      <c r="BY49" s="8">
        <v>1</v>
      </c>
      <c r="BZ49" s="8">
        <v>1</v>
      </c>
      <c r="CA49" s="40"/>
      <c r="CB49" s="40"/>
      <c r="CC49" s="8">
        <v>1</v>
      </c>
      <c r="CD49" s="8">
        <v>1</v>
      </c>
      <c r="CE49" s="8">
        <v>1</v>
      </c>
      <c r="CF49" s="8">
        <v>1</v>
      </c>
      <c r="CG49" s="8">
        <v>1</v>
      </c>
      <c r="CH49" s="40"/>
      <c r="CI49" s="40"/>
      <c r="CJ49" s="8">
        <v>1</v>
      </c>
      <c r="CK49" s="8">
        <v>1</v>
      </c>
      <c r="CL49" s="8">
        <v>1</v>
      </c>
      <c r="CM49" s="8">
        <v>1</v>
      </c>
      <c r="CN49" s="8">
        <v>1</v>
      </c>
      <c r="CO49" s="40"/>
      <c r="CP49" s="40"/>
      <c r="CQ49" s="8">
        <v>1</v>
      </c>
      <c r="CR49" s="8">
        <v>1</v>
      </c>
      <c r="CS49" s="8">
        <v>1</v>
      </c>
      <c r="CT49" s="8">
        <v>1</v>
      </c>
      <c r="CU49" s="8">
        <v>1</v>
      </c>
      <c r="CV49" s="40"/>
      <c r="CW49" s="40"/>
      <c r="CX49" s="8">
        <v>1</v>
      </c>
      <c r="CY49" s="8">
        <v>1</v>
      </c>
      <c r="CZ49" s="8">
        <v>1</v>
      </c>
      <c r="DA49" s="8">
        <v>1</v>
      </c>
      <c r="DB49" s="8">
        <v>1</v>
      </c>
      <c r="DC49" s="40"/>
      <c r="DD49" s="40"/>
      <c r="DE49" s="8">
        <v>1</v>
      </c>
      <c r="DF49" s="8">
        <v>1</v>
      </c>
      <c r="DG49" s="8">
        <v>1</v>
      </c>
      <c r="DH49" s="8">
        <v>1</v>
      </c>
      <c r="DI49" s="8">
        <v>1</v>
      </c>
      <c r="DJ49" s="40"/>
      <c r="DK49" s="40"/>
      <c r="DL49" s="8">
        <v>1</v>
      </c>
      <c r="DM49" s="8">
        <v>1</v>
      </c>
      <c r="DN49" s="8">
        <v>1</v>
      </c>
      <c r="DO49" s="8">
        <v>1</v>
      </c>
      <c r="DP49" s="8">
        <v>1</v>
      </c>
      <c r="DQ49" s="41"/>
      <c r="DR49" s="41"/>
      <c r="DS49" s="8">
        <v>1</v>
      </c>
      <c r="DT49" s="8">
        <v>1</v>
      </c>
      <c r="DU49" s="8">
        <v>1</v>
      </c>
      <c r="DV49" s="8">
        <v>1</v>
      </c>
      <c r="DW49" s="8">
        <v>1</v>
      </c>
      <c r="DX49" s="41"/>
      <c r="DY49" s="41"/>
      <c r="DZ49" s="8">
        <v>1</v>
      </c>
      <c r="EA49" s="8">
        <v>1</v>
      </c>
      <c r="EB49" s="8">
        <v>1</v>
      </c>
      <c r="EC49" s="8">
        <v>1</v>
      </c>
      <c r="ED49" s="8">
        <v>1</v>
      </c>
      <c r="EE49" s="41"/>
      <c r="EF49" s="41"/>
      <c r="EG49" s="8">
        <v>1</v>
      </c>
      <c r="EH49" s="8">
        <v>1</v>
      </c>
      <c r="EI49" s="8">
        <v>1</v>
      </c>
      <c r="EJ49" s="8">
        <v>1</v>
      </c>
      <c r="EK49" s="8">
        <v>1</v>
      </c>
      <c r="EL49" s="41"/>
      <c r="EM49" s="41"/>
      <c r="EN49" s="38"/>
      <c r="EO49" s="8">
        <v>1</v>
      </c>
      <c r="EP49" s="8">
        <v>1</v>
      </c>
      <c r="EQ49" s="8">
        <v>1</v>
      </c>
      <c r="ER49" s="8">
        <v>1</v>
      </c>
      <c r="ES49" s="41"/>
      <c r="ET49" s="41"/>
      <c r="EU49" s="8">
        <v>1</v>
      </c>
      <c r="EV49" s="8">
        <v>1</v>
      </c>
      <c r="EW49" s="8">
        <v>1</v>
      </c>
      <c r="EX49" s="38"/>
      <c r="EY49" s="8">
        <v>1</v>
      </c>
      <c r="EZ49" s="41"/>
      <c r="FA49" s="41"/>
      <c r="FB49" s="8">
        <v>1</v>
      </c>
      <c r="FC49" s="8">
        <v>1</v>
      </c>
      <c r="FD49" s="8">
        <v>1</v>
      </c>
      <c r="FE49" s="38"/>
      <c r="FF49" s="8">
        <v>1</v>
      </c>
      <c r="FG49" s="41"/>
      <c r="FH49" s="41"/>
      <c r="FI49" s="8">
        <v>1</v>
      </c>
      <c r="FJ49" s="8">
        <v>1</v>
      </c>
      <c r="FK49" s="8">
        <v>1</v>
      </c>
      <c r="FL49" s="8">
        <v>1</v>
      </c>
      <c r="FM49" s="8">
        <v>1</v>
      </c>
      <c r="FN49" s="41"/>
      <c r="FO49" s="41"/>
      <c r="FP49" s="8">
        <v>1</v>
      </c>
      <c r="FQ49" s="8">
        <v>1</v>
      </c>
      <c r="FR49" s="8">
        <v>1</v>
      </c>
      <c r="FS49" s="8">
        <v>1</v>
      </c>
      <c r="FT49" s="8">
        <v>1</v>
      </c>
      <c r="FU49" s="41"/>
      <c r="FV49" s="41"/>
      <c r="FW49" s="8">
        <v>1</v>
      </c>
      <c r="FX49" s="8">
        <v>1</v>
      </c>
      <c r="FY49" s="8">
        <v>1</v>
      </c>
      <c r="FZ49" s="38"/>
      <c r="GA49" s="8">
        <v>1</v>
      </c>
      <c r="GB49" s="41"/>
      <c r="GC49" s="41"/>
      <c r="GD49" s="8">
        <v>1</v>
      </c>
      <c r="GE49" s="8">
        <v>1</v>
      </c>
      <c r="GF49" s="8">
        <v>1</v>
      </c>
      <c r="GG49" s="8">
        <v>1</v>
      </c>
      <c r="GH49" s="8">
        <v>1</v>
      </c>
      <c r="GI49" s="41"/>
      <c r="GJ49" s="41"/>
      <c r="GK49" s="38"/>
      <c r="GL49" s="8">
        <v>1</v>
      </c>
      <c r="GM49" s="8">
        <v>1</v>
      </c>
      <c r="GN49" s="8">
        <v>1</v>
      </c>
      <c r="GO49" s="8">
        <v>1</v>
      </c>
      <c r="GP49" s="41"/>
      <c r="GQ49" s="41"/>
      <c r="GR49" s="8">
        <v>1</v>
      </c>
      <c r="GS49" s="8">
        <v>1</v>
      </c>
      <c r="GT49" s="8">
        <v>1</v>
      </c>
      <c r="GU49" s="8">
        <v>1</v>
      </c>
      <c r="GV49" s="8">
        <v>1</v>
      </c>
      <c r="GW49" s="41"/>
      <c r="GX49" s="41"/>
      <c r="GY49" s="8">
        <v>1</v>
      </c>
      <c r="GZ49" s="8">
        <v>1</v>
      </c>
      <c r="HA49" s="8">
        <v>1</v>
      </c>
      <c r="HB49" s="8">
        <v>1</v>
      </c>
      <c r="HC49" s="8">
        <v>1</v>
      </c>
      <c r="HD49" s="41"/>
      <c r="HE49" s="41"/>
      <c r="HF49" s="8">
        <v>1</v>
      </c>
      <c r="HG49" s="8">
        <v>1</v>
      </c>
      <c r="HH49" s="8">
        <v>1</v>
      </c>
      <c r="HI49" s="8">
        <v>1</v>
      </c>
      <c r="HJ49" s="8">
        <v>1</v>
      </c>
      <c r="HK49" s="41"/>
      <c r="HL49" s="41"/>
      <c r="HM49" s="8">
        <v>1</v>
      </c>
      <c r="HN49" s="8">
        <v>1</v>
      </c>
      <c r="HO49" s="8">
        <v>1</v>
      </c>
      <c r="HP49" s="8">
        <v>1</v>
      </c>
      <c r="HQ49" s="8">
        <v>1</v>
      </c>
      <c r="HR49" s="41"/>
      <c r="HS49" s="41"/>
      <c r="HT49" s="38"/>
      <c r="HU49" s="8">
        <v>1</v>
      </c>
      <c r="HV49" s="8">
        <v>1</v>
      </c>
      <c r="HW49" s="8">
        <v>1</v>
      </c>
      <c r="HX49" s="8">
        <v>1</v>
      </c>
      <c r="HY49" s="41"/>
      <c r="HZ49" s="41"/>
      <c r="IA49" s="8">
        <v>1</v>
      </c>
      <c r="IB49" s="8">
        <v>1</v>
      </c>
      <c r="IC49" s="8">
        <v>1</v>
      </c>
      <c r="ID49" s="8">
        <v>1</v>
      </c>
      <c r="IE49" s="8">
        <v>1</v>
      </c>
      <c r="IF49" s="41"/>
      <c r="IG49" s="41"/>
      <c r="IH49" s="8">
        <v>1</v>
      </c>
      <c r="II49" s="8">
        <v>1</v>
      </c>
      <c r="IJ49" s="8">
        <v>1</v>
      </c>
      <c r="IK49" s="8">
        <v>1</v>
      </c>
      <c r="IL49" s="8">
        <v>1</v>
      </c>
      <c r="IM49" s="41"/>
      <c r="IN49" s="41"/>
      <c r="IO49" s="8">
        <v>1</v>
      </c>
      <c r="IP49" s="8">
        <v>1</v>
      </c>
      <c r="IQ49" s="8">
        <v>1</v>
      </c>
      <c r="IR49" s="8">
        <v>1</v>
      </c>
      <c r="IS49" s="8">
        <v>1</v>
      </c>
      <c r="IT49" s="41"/>
      <c r="IU49" s="41"/>
      <c r="IV49" s="8">
        <v>1</v>
      </c>
      <c r="IW49" s="8">
        <v>1</v>
      </c>
      <c r="IX49" s="8">
        <v>1</v>
      </c>
      <c r="IY49" s="8">
        <v>1</v>
      </c>
      <c r="IZ49" s="38"/>
      <c r="JA49" s="41"/>
      <c r="JB49" s="41"/>
      <c r="JC49" s="8">
        <v>1</v>
      </c>
      <c r="JD49" s="8">
        <v>1</v>
      </c>
      <c r="JE49" s="8">
        <v>1</v>
      </c>
      <c r="JF49" s="8">
        <v>1</v>
      </c>
      <c r="JG49" s="8">
        <v>1</v>
      </c>
      <c r="JH49" s="41"/>
      <c r="JI49" s="41"/>
      <c r="JJ49" s="8">
        <v>1</v>
      </c>
      <c r="JK49" s="8">
        <v>1</v>
      </c>
      <c r="JL49" s="8">
        <v>1</v>
      </c>
      <c r="JM49" s="8">
        <v>1</v>
      </c>
      <c r="JN49" s="8">
        <v>1</v>
      </c>
      <c r="JO49" s="41"/>
      <c r="JP49" s="41"/>
      <c r="JQ49" s="8">
        <v>1</v>
      </c>
      <c r="JR49" s="8">
        <v>1</v>
      </c>
      <c r="JS49" s="8">
        <v>1</v>
      </c>
      <c r="JT49" s="8">
        <v>1</v>
      </c>
      <c r="JU49" s="8">
        <v>1</v>
      </c>
      <c r="JV49" s="41"/>
      <c r="JW49" s="41"/>
      <c r="JX49" s="8">
        <v>1</v>
      </c>
      <c r="JY49" s="8">
        <v>1</v>
      </c>
      <c r="JZ49" s="8">
        <v>1</v>
      </c>
      <c r="KA49" s="8">
        <v>1</v>
      </c>
      <c r="KB49" s="8">
        <v>1</v>
      </c>
      <c r="KC49" s="41"/>
      <c r="KD49" s="41"/>
      <c r="KE49" s="8">
        <v>1</v>
      </c>
      <c r="KF49" s="8">
        <v>1</v>
      </c>
      <c r="KG49" s="8">
        <v>1</v>
      </c>
      <c r="KH49" s="8">
        <v>1</v>
      </c>
      <c r="KI49" s="8">
        <v>1</v>
      </c>
      <c r="KJ49" s="41"/>
      <c r="KK49" s="41"/>
      <c r="KL49" s="8">
        <v>1</v>
      </c>
      <c r="KM49" s="8">
        <v>1</v>
      </c>
      <c r="KN49" s="8">
        <v>1</v>
      </c>
      <c r="KO49" s="8">
        <v>1</v>
      </c>
      <c r="KP49" s="8">
        <v>1</v>
      </c>
      <c r="KQ49" s="41"/>
      <c r="KR49" s="41"/>
      <c r="KS49" s="8">
        <v>1</v>
      </c>
      <c r="KT49" s="8">
        <v>1</v>
      </c>
      <c r="KU49" s="8">
        <v>1</v>
      </c>
      <c r="KV49" s="8">
        <v>1</v>
      </c>
      <c r="KW49" s="8">
        <v>1</v>
      </c>
      <c r="KX49" s="41"/>
      <c r="KY49" s="41"/>
      <c r="KZ49" s="8">
        <v>1</v>
      </c>
      <c r="LA49" s="8">
        <v>1</v>
      </c>
      <c r="LB49" s="8">
        <v>1</v>
      </c>
      <c r="LC49" s="8">
        <v>1</v>
      </c>
      <c r="LD49" s="8">
        <v>1</v>
      </c>
      <c r="LE49" s="41"/>
      <c r="LF49" s="41"/>
      <c r="LG49" s="8">
        <v>1</v>
      </c>
      <c r="LH49" s="8">
        <v>1</v>
      </c>
      <c r="LI49" s="8">
        <v>1</v>
      </c>
      <c r="LJ49" s="8">
        <v>1</v>
      </c>
      <c r="LK49" s="8">
        <v>1</v>
      </c>
      <c r="LL49" s="41"/>
      <c r="LM49" s="41"/>
      <c r="LN49" s="8">
        <v>1</v>
      </c>
      <c r="LO49" s="8">
        <v>1</v>
      </c>
      <c r="LP49" s="8">
        <v>1</v>
      </c>
      <c r="LQ49" s="8">
        <v>1</v>
      </c>
      <c r="LR49" s="8">
        <v>1</v>
      </c>
      <c r="LS49" s="41"/>
      <c r="LT49" s="41"/>
      <c r="LU49" s="8">
        <v>1</v>
      </c>
      <c r="LV49" s="8">
        <v>1</v>
      </c>
      <c r="LW49" s="8">
        <v>1</v>
      </c>
      <c r="LX49" s="8">
        <v>1</v>
      </c>
      <c r="LY49" s="8">
        <v>1</v>
      </c>
      <c r="LZ49" s="41"/>
      <c r="MA49" s="41"/>
      <c r="MB49" s="8">
        <v>1</v>
      </c>
      <c r="MC49" s="8">
        <v>1</v>
      </c>
      <c r="MD49" s="8">
        <v>1</v>
      </c>
      <c r="ME49" s="8">
        <v>1</v>
      </c>
      <c r="MF49" s="8">
        <v>1</v>
      </c>
      <c r="MG49" s="41"/>
      <c r="MH49" s="41"/>
      <c r="MI49" s="8">
        <v>1</v>
      </c>
      <c r="MJ49" s="8">
        <v>1</v>
      </c>
      <c r="MK49" s="8">
        <v>1</v>
      </c>
      <c r="ML49" s="8">
        <v>1</v>
      </c>
      <c r="MM49" s="8">
        <v>1</v>
      </c>
      <c r="MN49" s="41"/>
      <c r="MO49" s="41"/>
      <c r="MP49" s="8">
        <v>1</v>
      </c>
      <c r="MQ49" s="8">
        <v>1</v>
      </c>
      <c r="MR49" s="8">
        <v>1</v>
      </c>
      <c r="MS49" s="8">
        <v>1</v>
      </c>
      <c r="MT49" s="8">
        <v>1</v>
      </c>
      <c r="MU49" s="41"/>
      <c r="MV49" s="41"/>
      <c r="MW49" s="8">
        <v>1</v>
      </c>
      <c r="MX49" s="8">
        <v>1</v>
      </c>
      <c r="MY49" s="8">
        <v>1</v>
      </c>
      <c r="MZ49" s="8">
        <v>1</v>
      </c>
      <c r="NA49" s="8">
        <v>1</v>
      </c>
      <c r="NB49" s="41"/>
      <c r="NC49" s="41"/>
      <c r="ND49" s="8">
        <v>1</v>
      </c>
      <c r="NE49" s="8">
        <v>1</v>
      </c>
      <c r="NF49" s="8">
        <v>1</v>
      </c>
      <c r="NG49" s="8">
        <v>1</v>
      </c>
      <c r="NH49" s="8">
        <v>1</v>
      </c>
      <c r="NI49" s="41"/>
      <c r="NJ49" s="41"/>
      <c r="NK49" s="8">
        <v>1</v>
      </c>
      <c r="NL49" s="8">
        <v>1</v>
      </c>
      <c r="NM49" s="8">
        <v>1</v>
      </c>
      <c r="NN49" s="8">
        <v>1</v>
      </c>
      <c r="NO49" s="8">
        <v>1</v>
      </c>
      <c r="NP49" s="40"/>
      <c r="NQ49" s="40"/>
      <c r="NR49" s="8">
        <v>1</v>
      </c>
      <c r="NS49" s="8">
        <v>1</v>
      </c>
      <c r="NT49" s="8">
        <v>1</v>
      </c>
      <c r="NU49" s="8">
        <v>1</v>
      </c>
      <c r="NV49" s="8">
        <v>1</v>
      </c>
      <c r="NW49" s="40"/>
      <c r="NX49" s="40"/>
      <c r="NY49" s="8">
        <v>1</v>
      </c>
      <c r="NZ49" s="8">
        <v>1</v>
      </c>
      <c r="OA49" s="8">
        <v>1</v>
      </c>
      <c r="OB49" s="8"/>
      <c r="OC49" s="8">
        <v>1</v>
      </c>
      <c r="OD49" s="41"/>
      <c r="OE49" s="41"/>
      <c r="OF49" s="8">
        <v>1</v>
      </c>
      <c r="OG49" s="8">
        <v>1</v>
      </c>
      <c r="OH49" s="8">
        <v>1</v>
      </c>
      <c r="OI49" s="47"/>
    </row>
    <row r="50" spans="1:399" s="4" customFormat="1" ht="21" x14ac:dyDescent="0.3">
      <c r="A50" s="61" t="s">
        <v>543</v>
      </c>
      <c r="B50" s="62" t="s">
        <v>438</v>
      </c>
      <c r="C50" s="45"/>
      <c r="D50" s="8">
        <v>1</v>
      </c>
      <c r="E50" s="8">
        <v>1</v>
      </c>
      <c r="F50" s="8">
        <v>1</v>
      </c>
      <c r="G50" s="8">
        <v>1</v>
      </c>
      <c r="H50" s="8">
        <v>1</v>
      </c>
      <c r="I50" s="46"/>
      <c r="J50" s="46"/>
      <c r="K50" s="8">
        <v>1</v>
      </c>
      <c r="L50" s="8">
        <v>1</v>
      </c>
      <c r="M50" s="8">
        <v>1</v>
      </c>
      <c r="N50" s="8">
        <v>1</v>
      </c>
      <c r="O50" s="8">
        <v>1</v>
      </c>
      <c r="P50" s="46"/>
      <c r="Q50" s="46"/>
      <c r="R50" s="8">
        <v>1</v>
      </c>
      <c r="S50" s="8">
        <v>1</v>
      </c>
      <c r="T50" s="8">
        <v>1</v>
      </c>
      <c r="U50" s="8">
        <v>1</v>
      </c>
      <c r="V50" s="8">
        <v>1</v>
      </c>
      <c r="W50" s="46"/>
      <c r="X50" s="46"/>
      <c r="Y50" s="8">
        <v>1</v>
      </c>
      <c r="Z50" s="8">
        <v>1</v>
      </c>
      <c r="AA50" s="8"/>
      <c r="AB50" s="8">
        <v>1</v>
      </c>
      <c r="AC50" s="8">
        <v>1</v>
      </c>
      <c r="AD50" s="46"/>
      <c r="AE50" s="46"/>
      <c r="AF50" s="8">
        <v>1</v>
      </c>
      <c r="AG50" s="8">
        <v>1</v>
      </c>
      <c r="AH50" s="38"/>
      <c r="AI50" s="8">
        <v>1</v>
      </c>
      <c r="AJ50" s="8">
        <v>1</v>
      </c>
      <c r="AK50" s="8"/>
      <c r="AL50" s="8"/>
      <c r="AM50" s="109">
        <v>1</v>
      </c>
      <c r="AN50" s="109">
        <v>1</v>
      </c>
      <c r="AO50" s="8">
        <v>1</v>
      </c>
      <c r="AP50" s="8">
        <v>1</v>
      </c>
      <c r="AQ50" s="8">
        <v>1</v>
      </c>
      <c r="AR50" s="39"/>
      <c r="AS50" s="39"/>
      <c r="AT50" s="8">
        <v>1</v>
      </c>
      <c r="AU50" s="8">
        <v>1</v>
      </c>
      <c r="AV50" s="8">
        <v>1</v>
      </c>
      <c r="AW50" s="8">
        <v>1</v>
      </c>
      <c r="AX50" s="8">
        <v>1</v>
      </c>
      <c r="AY50" s="39"/>
      <c r="AZ50" s="39"/>
      <c r="BA50" s="39">
        <v>1</v>
      </c>
      <c r="BB50" s="39">
        <v>1</v>
      </c>
      <c r="BC50" s="39">
        <v>1</v>
      </c>
      <c r="BD50" s="39">
        <v>1</v>
      </c>
      <c r="BE50" s="39">
        <v>1</v>
      </c>
      <c r="BF50" s="39"/>
      <c r="BG50" s="39"/>
      <c r="BH50" s="39">
        <v>1</v>
      </c>
      <c r="BI50" s="39">
        <v>1</v>
      </c>
      <c r="BJ50" s="39">
        <v>1</v>
      </c>
      <c r="BK50" s="39">
        <v>1</v>
      </c>
      <c r="BL50" s="39">
        <v>1</v>
      </c>
      <c r="BM50" s="40"/>
      <c r="BN50" s="40"/>
      <c r="BO50" s="8">
        <v>1</v>
      </c>
      <c r="BP50" s="8">
        <v>1</v>
      </c>
      <c r="BQ50" s="8">
        <v>1</v>
      </c>
      <c r="BR50" s="8">
        <v>1</v>
      </c>
      <c r="BS50" s="8">
        <v>1</v>
      </c>
      <c r="BT50" s="40"/>
      <c r="BU50" s="40"/>
      <c r="BV50" s="8">
        <v>1</v>
      </c>
      <c r="BW50" s="8">
        <v>1</v>
      </c>
      <c r="BX50" s="8">
        <v>1</v>
      </c>
      <c r="BY50" s="8">
        <v>1</v>
      </c>
      <c r="BZ50" s="8">
        <v>1</v>
      </c>
      <c r="CA50" s="40"/>
      <c r="CB50" s="40"/>
      <c r="CC50" s="8">
        <v>1</v>
      </c>
      <c r="CD50" s="8">
        <v>1</v>
      </c>
      <c r="CE50" s="8">
        <v>1</v>
      </c>
      <c r="CF50" s="8">
        <v>1</v>
      </c>
      <c r="CG50" s="8">
        <v>1</v>
      </c>
      <c r="CH50" s="40"/>
      <c r="CI50" s="40"/>
      <c r="CJ50" s="8">
        <v>1</v>
      </c>
      <c r="CK50" s="8">
        <v>1</v>
      </c>
      <c r="CL50" s="8">
        <v>1</v>
      </c>
      <c r="CM50" s="8">
        <v>1</v>
      </c>
      <c r="CN50" s="8">
        <v>1</v>
      </c>
      <c r="CO50" s="40"/>
      <c r="CP50" s="40"/>
      <c r="CQ50" s="8">
        <v>1</v>
      </c>
      <c r="CR50" s="8">
        <v>1</v>
      </c>
      <c r="CS50" s="8"/>
      <c r="CT50" s="8">
        <v>1</v>
      </c>
      <c r="CU50" s="8">
        <v>1</v>
      </c>
      <c r="CV50" s="40"/>
      <c r="CW50" s="40"/>
      <c r="CX50" s="8">
        <v>1</v>
      </c>
      <c r="CY50" s="8">
        <v>1</v>
      </c>
      <c r="CZ50" s="8">
        <v>1</v>
      </c>
      <c r="DA50" s="8"/>
      <c r="DB50" s="8">
        <v>1</v>
      </c>
      <c r="DC50" s="40"/>
      <c r="DD50" s="40"/>
      <c r="DE50" s="8">
        <v>1</v>
      </c>
      <c r="DF50" s="8">
        <v>1</v>
      </c>
      <c r="DG50" s="8">
        <v>1</v>
      </c>
      <c r="DH50" s="8">
        <v>1</v>
      </c>
      <c r="DI50" s="8">
        <v>1</v>
      </c>
      <c r="DJ50" s="40"/>
      <c r="DK50" s="40"/>
      <c r="DL50" s="8">
        <v>1</v>
      </c>
      <c r="DM50" s="8">
        <v>1</v>
      </c>
      <c r="DN50" s="8">
        <v>1</v>
      </c>
      <c r="DO50" s="8">
        <v>1</v>
      </c>
      <c r="DP50" s="8">
        <v>1</v>
      </c>
      <c r="DQ50" s="41"/>
      <c r="DR50" s="41"/>
      <c r="DS50" s="8">
        <v>1</v>
      </c>
      <c r="DT50" s="8">
        <v>1</v>
      </c>
      <c r="DU50" s="8">
        <v>1</v>
      </c>
      <c r="DV50" s="8">
        <v>1</v>
      </c>
      <c r="DW50" s="8">
        <v>1</v>
      </c>
      <c r="DX50" s="41"/>
      <c r="DY50" s="41"/>
      <c r="DZ50" s="8">
        <v>1</v>
      </c>
      <c r="EA50" s="8">
        <v>1</v>
      </c>
      <c r="EB50" s="8">
        <v>1</v>
      </c>
      <c r="EC50" s="8">
        <v>1</v>
      </c>
      <c r="ED50" s="8">
        <v>1</v>
      </c>
      <c r="EE50" s="41"/>
      <c r="EF50" s="41"/>
      <c r="EG50" s="8">
        <v>1</v>
      </c>
      <c r="EH50" s="8">
        <v>1</v>
      </c>
      <c r="EI50" s="8">
        <v>1</v>
      </c>
      <c r="EJ50" s="8">
        <v>1</v>
      </c>
      <c r="EK50" s="8">
        <v>1</v>
      </c>
      <c r="EL50" s="41"/>
      <c r="EM50" s="41"/>
      <c r="EN50" s="38"/>
      <c r="EO50" s="8">
        <v>1</v>
      </c>
      <c r="EP50" s="8">
        <v>1</v>
      </c>
      <c r="EQ50" s="8">
        <v>1</v>
      </c>
      <c r="ER50" s="8">
        <v>1</v>
      </c>
      <c r="ES50" s="41"/>
      <c r="ET50" s="41"/>
      <c r="EU50" s="8">
        <v>1</v>
      </c>
      <c r="EV50" s="8">
        <v>1</v>
      </c>
      <c r="EW50" s="8">
        <v>1</v>
      </c>
      <c r="EX50" s="38"/>
      <c r="EY50" s="8">
        <v>1</v>
      </c>
      <c r="EZ50" s="41"/>
      <c r="FA50" s="41"/>
      <c r="FB50" s="8">
        <v>1</v>
      </c>
      <c r="FC50" s="8">
        <v>1</v>
      </c>
      <c r="FD50" s="8">
        <v>1</v>
      </c>
      <c r="FE50" s="38"/>
      <c r="FF50" s="8">
        <v>1</v>
      </c>
      <c r="FG50" s="41"/>
      <c r="FH50" s="41"/>
      <c r="FI50" s="8">
        <v>1</v>
      </c>
      <c r="FJ50" s="8">
        <v>1</v>
      </c>
      <c r="FK50" s="8">
        <v>1</v>
      </c>
      <c r="FL50" s="8">
        <v>1</v>
      </c>
      <c r="FM50" s="8">
        <v>1</v>
      </c>
      <c r="FN50" s="41"/>
      <c r="FO50" s="41"/>
      <c r="FP50" s="8">
        <v>1</v>
      </c>
      <c r="FQ50" s="8">
        <v>1</v>
      </c>
      <c r="FR50" s="8">
        <v>1</v>
      </c>
      <c r="FS50" s="8">
        <v>1</v>
      </c>
      <c r="FT50" s="8">
        <v>1</v>
      </c>
      <c r="FU50" s="41"/>
      <c r="FV50" s="41"/>
      <c r="FW50" s="8">
        <v>1</v>
      </c>
      <c r="FX50" s="8">
        <v>1</v>
      </c>
      <c r="FY50" s="8">
        <v>1</v>
      </c>
      <c r="FZ50" s="38"/>
      <c r="GA50" s="8">
        <v>1</v>
      </c>
      <c r="GB50" s="41"/>
      <c r="GC50" s="41"/>
      <c r="GD50" s="8">
        <v>1</v>
      </c>
      <c r="GE50" s="8">
        <v>1</v>
      </c>
      <c r="GF50" s="8">
        <v>1</v>
      </c>
      <c r="GG50" s="8">
        <v>1</v>
      </c>
      <c r="GH50" s="8">
        <v>1</v>
      </c>
      <c r="GI50" s="41"/>
      <c r="GJ50" s="41"/>
      <c r="GK50" s="38"/>
      <c r="GL50" s="8">
        <v>1</v>
      </c>
      <c r="GM50" s="8"/>
      <c r="GN50" s="8">
        <v>1</v>
      </c>
      <c r="GO50" s="8">
        <v>1</v>
      </c>
      <c r="GP50" s="41"/>
      <c r="GQ50" s="41"/>
      <c r="GR50" s="8">
        <v>1</v>
      </c>
      <c r="GS50" s="8">
        <v>1</v>
      </c>
      <c r="GT50" s="8">
        <v>1</v>
      </c>
      <c r="GU50" s="8">
        <v>1</v>
      </c>
      <c r="GV50" s="8">
        <v>1</v>
      </c>
      <c r="GW50" s="41"/>
      <c r="GX50" s="41"/>
      <c r="GY50" s="8">
        <v>1</v>
      </c>
      <c r="GZ50" s="8">
        <v>1</v>
      </c>
      <c r="HA50" s="8">
        <v>1</v>
      </c>
      <c r="HB50" s="8">
        <v>1</v>
      </c>
      <c r="HC50" s="8">
        <v>1</v>
      </c>
      <c r="HD50" s="41"/>
      <c r="HE50" s="41"/>
      <c r="HF50" s="8">
        <v>1</v>
      </c>
      <c r="HG50" s="8">
        <v>1</v>
      </c>
      <c r="HH50" s="8">
        <v>1</v>
      </c>
      <c r="HI50" s="8">
        <v>1</v>
      </c>
      <c r="HJ50" s="8">
        <v>1</v>
      </c>
      <c r="HK50" s="41"/>
      <c r="HL50" s="41"/>
      <c r="HM50" s="8">
        <v>1</v>
      </c>
      <c r="HN50" s="8">
        <v>1</v>
      </c>
      <c r="HO50" s="8">
        <v>1</v>
      </c>
      <c r="HP50" s="8">
        <v>1</v>
      </c>
      <c r="HQ50" s="8">
        <v>1</v>
      </c>
      <c r="HR50" s="41"/>
      <c r="HS50" s="41"/>
      <c r="HT50" s="38"/>
      <c r="HU50" s="8">
        <v>1</v>
      </c>
      <c r="HV50" s="8">
        <v>1</v>
      </c>
      <c r="HW50" s="8">
        <v>1</v>
      </c>
      <c r="HX50" s="8">
        <v>1</v>
      </c>
      <c r="HY50" s="41"/>
      <c r="HZ50" s="41"/>
      <c r="IA50" s="8">
        <v>1</v>
      </c>
      <c r="IB50" s="8">
        <v>1</v>
      </c>
      <c r="IC50" s="8">
        <v>1</v>
      </c>
      <c r="ID50" s="8">
        <v>1</v>
      </c>
      <c r="IE50" s="8">
        <v>1</v>
      </c>
      <c r="IF50" s="41"/>
      <c r="IG50" s="41"/>
      <c r="IH50" s="8">
        <v>1</v>
      </c>
      <c r="II50" s="8">
        <v>1</v>
      </c>
      <c r="IJ50" s="8">
        <v>1</v>
      </c>
      <c r="IK50" s="8">
        <v>1</v>
      </c>
      <c r="IL50" s="8">
        <v>1</v>
      </c>
      <c r="IM50" s="41"/>
      <c r="IN50" s="41"/>
      <c r="IO50" s="8">
        <v>1</v>
      </c>
      <c r="IP50" s="8">
        <v>1</v>
      </c>
      <c r="IQ50" s="8">
        <v>1</v>
      </c>
      <c r="IR50" s="8">
        <v>1</v>
      </c>
      <c r="IS50" s="8">
        <v>1</v>
      </c>
      <c r="IT50" s="41"/>
      <c r="IU50" s="41"/>
      <c r="IV50" s="8">
        <v>1</v>
      </c>
      <c r="IW50" s="8">
        <v>1</v>
      </c>
      <c r="IX50" s="8">
        <v>1</v>
      </c>
      <c r="IY50" s="8">
        <v>1</v>
      </c>
      <c r="IZ50" s="38"/>
      <c r="JA50" s="41"/>
      <c r="JB50" s="41"/>
      <c r="JC50" s="8">
        <v>1</v>
      </c>
      <c r="JD50" s="8">
        <v>1</v>
      </c>
      <c r="JE50" s="8">
        <v>1</v>
      </c>
      <c r="JF50" s="8">
        <v>1</v>
      </c>
      <c r="JG50" s="8">
        <v>1</v>
      </c>
      <c r="JH50" s="41"/>
      <c r="JI50" s="41"/>
      <c r="JJ50" s="8">
        <v>1</v>
      </c>
      <c r="JK50" s="8">
        <v>1</v>
      </c>
      <c r="JL50" s="8">
        <v>1</v>
      </c>
      <c r="JM50" s="8">
        <v>1</v>
      </c>
      <c r="JN50" s="8">
        <v>1</v>
      </c>
      <c r="JO50" s="41"/>
      <c r="JP50" s="41"/>
      <c r="JQ50" s="8">
        <v>1</v>
      </c>
      <c r="JR50" s="8">
        <v>1</v>
      </c>
      <c r="JS50" s="8">
        <v>1</v>
      </c>
      <c r="JT50" s="8">
        <v>1</v>
      </c>
      <c r="JU50" s="8">
        <v>1</v>
      </c>
      <c r="JV50" s="41"/>
      <c r="JW50" s="41"/>
      <c r="JX50" s="8">
        <v>1</v>
      </c>
      <c r="JY50" s="8">
        <v>1</v>
      </c>
      <c r="JZ50" s="8">
        <v>1</v>
      </c>
      <c r="KA50" s="8">
        <v>1</v>
      </c>
      <c r="KB50" s="8">
        <v>1</v>
      </c>
      <c r="KC50" s="41"/>
      <c r="KD50" s="41"/>
      <c r="KE50" s="8">
        <v>1</v>
      </c>
      <c r="KF50" s="8">
        <v>1</v>
      </c>
      <c r="KG50" s="8">
        <v>1</v>
      </c>
      <c r="KH50" s="8">
        <v>1</v>
      </c>
      <c r="KI50" s="8">
        <v>1</v>
      </c>
      <c r="KJ50" s="41"/>
      <c r="KK50" s="41"/>
      <c r="KL50" s="8">
        <v>1</v>
      </c>
      <c r="KM50" s="8">
        <v>1</v>
      </c>
      <c r="KN50" s="8"/>
      <c r="KO50" s="8">
        <v>1</v>
      </c>
      <c r="KP50" s="8">
        <v>1</v>
      </c>
      <c r="KQ50" s="41"/>
      <c r="KR50" s="41"/>
      <c r="KS50" s="8">
        <v>1</v>
      </c>
      <c r="KT50" s="8">
        <v>1</v>
      </c>
      <c r="KU50" s="8">
        <v>1</v>
      </c>
      <c r="KV50" s="8">
        <v>1</v>
      </c>
      <c r="KW50" s="8">
        <v>1</v>
      </c>
      <c r="KX50" s="41"/>
      <c r="KY50" s="41"/>
      <c r="KZ50" s="8">
        <v>1</v>
      </c>
      <c r="LA50" s="8">
        <v>1</v>
      </c>
      <c r="LB50" s="8">
        <v>1</v>
      </c>
      <c r="LC50" s="8">
        <v>1</v>
      </c>
      <c r="LD50" s="8">
        <v>1</v>
      </c>
      <c r="LE50" s="41"/>
      <c r="LF50" s="41"/>
      <c r="LG50" s="8">
        <v>1</v>
      </c>
      <c r="LH50" s="8">
        <v>1</v>
      </c>
      <c r="LI50" s="8">
        <v>1</v>
      </c>
      <c r="LJ50" s="8">
        <v>1</v>
      </c>
      <c r="LK50" s="8">
        <v>1</v>
      </c>
      <c r="LL50" s="41"/>
      <c r="LM50" s="41"/>
      <c r="LN50" s="8">
        <v>1</v>
      </c>
      <c r="LO50" s="8">
        <v>1</v>
      </c>
      <c r="LP50" s="8">
        <v>1</v>
      </c>
      <c r="LQ50" s="8">
        <v>1</v>
      </c>
      <c r="LR50" s="8">
        <v>1</v>
      </c>
      <c r="LS50" s="41"/>
      <c r="LT50" s="41"/>
      <c r="LU50" s="8">
        <v>1</v>
      </c>
      <c r="LV50" s="8">
        <v>1</v>
      </c>
      <c r="LW50" s="8">
        <v>1</v>
      </c>
      <c r="LX50" s="8">
        <v>1</v>
      </c>
      <c r="LY50" s="8">
        <v>1</v>
      </c>
      <c r="LZ50" s="41"/>
      <c r="MA50" s="41"/>
      <c r="MB50" s="8">
        <v>1</v>
      </c>
      <c r="MC50" s="8">
        <v>1</v>
      </c>
      <c r="MD50" s="8">
        <v>1</v>
      </c>
      <c r="ME50" s="8">
        <v>1</v>
      </c>
      <c r="MF50" s="8">
        <v>1</v>
      </c>
      <c r="MG50" s="41"/>
      <c r="MH50" s="41"/>
      <c r="MI50" s="8">
        <v>1</v>
      </c>
      <c r="MJ50" s="8">
        <v>1</v>
      </c>
      <c r="MK50" s="8">
        <v>1</v>
      </c>
      <c r="ML50" s="8">
        <v>1</v>
      </c>
      <c r="MM50" s="8">
        <v>1</v>
      </c>
      <c r="MN50" s="41"/>
      <c r="MO50" s="41"/>
      <c r="MP50" s="8">
        <v>1</v>
      </c>
      <c r="MQ50" s="8">
        <v>1</v>
      </c>
      <c r="MR50" s="8">
        <v>1</v>
      </c>
      <c r="MS50" s="8">
        <v>1</v>
      </c>
      <c r="MT50" s="8">
        <v>1</v>
      </c>
      <c r="MU50" s="41"/>
      <c r="MV50" s="41"/>
      <c r="MW50" s="8">
        <v>1</v>
      </c>
      <c r="MX50" s="8">
        <v>1</v>
      </c>
      <c r="MY50" s="8">
        <v>1</v>
      </c>
      <c r="MZ50" s="8">
        <v>1</v>
      </c>
      <c r="NA50" s="8">
        <v>1</v>
      </c>
      <c r="NB50" s="41"/>
      <c r="NC50" s="41"/>
      <c r="ND50" s="8">
        <v>1</v>
      </c>
      <c r="NE50" s="8">
        <v>1</v>
      </c>
      <c r="NF50" s="8">
        <v>1</v>
      </c>
      <c r="NG50" s="8">
        <v>1</v>
      </c>
      <c r="NH50" s="8">
        <v>1</v>
      </c>
      <c r="NI50" s="41"/>
      <c r="NJ50" s="41"/>
      <c r="NK50" s="8">
        <v>1</v>
      </c>
      <c r="NL50" s="8">
        <v>1</v>
      </c>
      <c r="NM50" s="8">
        <v>1</v>
      </c>
      <c r="NN50" s="8">
        <v>1</v>
      </c>
      <c r="NO50" s="8">
        <v>1</v>
      </c>
      <c r="NP50" s="40"/>
      <c r="NQ50" s="40"/>
      <c r="NR50" s="8">
        <v>1</v>
      </c>
      <c r="NS50" s="8">
        <v>1</v>
      </c>
      <c r="NT50" s="8">
        <v>1</v>
      </c>
      <c r="NU50" s="8">
        <v>1</v>
      </c>
      <c r="NV50" s="8">
        <v>1</v>
      </c>
      <c r="NW50" s="40"/>
      <c r="NX50" s="40"/>
      <c r="NY50" s="8">
        <v>1</v>
      </c>
      <c r="NZ50" s="8">
        <v>1</v>
      </c>
      <c r="OA50" s="8">
        <v>1</v>
      </c>
      <c r="OB50" s="8"/>
      <c r="OC50" s="8">
        <v>1</v>
      </c>
      <c r="OD50" s="41"/>
      <c r="OE50" s="41"/>
      <c r="OF50" s="8">
        <v>1</v>
      </c>
      <c r="OG50" s="8">
        <v>1</v>
      </c>
      <c r="OH50" s="8">
        <v>1</v>
      </c>
      <c r="OI50" s="48"/>
    </row>
    <row r="51" spans="1:399" s="29" customFormat="1" ht="21" x14ac:dyDescent="0.3">
      <c r="A51" s="27" t="s">
        <v>439</v>
      </c>
      <c r="B51" s="26">
        <f>SUBTOTAL(103,SuiviEquipes[Equipe])</f>
        <v>34</v>
      </c>
      <c r="C51" s="28">
        <f>SUBTOTAL(109,SuiviEquipes[Colonne1])</f>
        <v>0</v>
      </c>
      <c r="D51" s="28">
        <f>SUBTOTAL(109,SuiviEquipes[Colonne2])</f>
        <v>34</v>
      </c>
      <c r="E51" s="28">
        <f>SUBTOTAL(109,SuiviEquipes[Colonne3])</f>
        <v>34</v>
      </c>
      <c r="F51" s="28">
        <f>SUBTOTAL(109,SuiviEquipes[Colonne4])</f>
        <v>34</v>
      </c>
      <c r="G51" s="28">
        <f>SUBTOTAL(109,SuiviEquipes[Colonne5])</f>
        <v>33</v>
      </c>
      <c r="H51" s="28">
        <f>SUBTOTAL(109,SuiviEquipes[Colonne6])</f>
        <v>32</v>
      </c>
      <c r="I51" s="28">
        <f>SUBTOTAL(109,SuiviEquipes[Colonne7])</f>
        <v>0</v>
      </c>
      <c r="J51" s="28">
        <f>SUBTOTAL(109,SuiviEquipes[Colonne8])</f>
        <v>0</v>
      </c>
      <c r="K51" s="28">
        <f>SUBTOTAL(109,SuiviEquipes[Colonne9])</f>
        <v>33</v>
      </c>
      <c r="L51" s="28">
        <f>SUBTOTAL(109,SuiviEquipes[Colonne10])</f>
        <v>33</v>
      </c>
      <c r="M51" s="28">
        <f>SUBTOTAL(109,SuiviEquipes[Colonne11])</f>
        <v>33</v>
      </c>
      <c r="N51" s="28">
        <f>SUBTOTAL(109,SuiviEquipes[Colonne12])</f>
        <v>34</v>
      </c>
      <c r="O51" s="28">
        <f>SUBTOTAL(109,SuiviEquipes[Colonne13])</f>
        <v>33</v>
      </c>
      <c r="P51" s="28">
        <f>SUBTOTAL(109,SuiviEquipes[Colonne14])</f>
        <v>0</v>
      </c>
      <c r="Q51" s="28">
        <f>SUBTOTAL(109,SuiviEquipes[Colonne15])</f>
        <v>0</v>
      </c>
      <c r="R51" s="28">
        <f>SUBTOTAL(109,SuiviEquipes[Colonne16])</f>
        <v>34</v>
      </c>
      <c r="S51" s="28">
        <f>SUBTOTAL(109,SuiviEquipes[Colonne17])</f>
        <v>32</v>
      </c>
      <c r="T51" s="28">
        <f>SUBTOTAL(109,SuiviEquipes[Colonne18])</f>
        <v>32</v>
      </c>
      <c r="U51" s="28">
        <f>SUBTOTAL(109,SuiviEquipes[Colonne19])</f>
        <v>30</v>
      </c>
      <c r="V51" s="28">
        <f>SUBTOTAL(109,SuiviEquipes[Colonne20])</f>
        <v>31</v>
      </c>
      <c r="W51" s="28">
        <f>SUBTOTAL(109,SuiviEquipes[Colonne21])</f>
        <v>0</v>
      </c>
      <c r="X51" s="28">
        <f>SUBTOTAL(109,SuiviEquipes[Colonne22])</f>
        <v>0</v>
      </c>
      <c r="Y51" s="28">
        <f>SUBTOTAL(109,SuiviEquipes[Colonne23])</f>
        <v>16</v>
      </c>
      <c r="Z51" s="28">
        <f>SUBTOTAL(109,SuiviEquipes[Colonne24])</f>
        <v>14</v>
      </c>
      <c r="AA51" s="28">
        <f>SUBTOTAL(109,SuiviEquipes[Colonne25])</f>
        <v>0</v>
      </c>
      <c r="AB51" s="28">
        <f>SUBTOTAL(109,SuiviEquipes[Colonne26])</f>
        <v>12.5</v>
      </c>
      <c r="AC51" s="28">
        <f>SUBTOTAL(109,SuiviEquipes[Colonne27])</f>
        <v>13</v>
      </c>
      <c r="AD51" s="28">
        <f>SUBTOTAL(109,SuiviEquipes[Colonne28])</f>
        <v>0</v>
      </c>
      <c r="AE51" s="28">
        <f>SUBTOTAL(109,SuiviEquipes[Colonne29])</f>
        <v>0</v>
      </c>
      <c r="AF51" s="28">
        <f>SUBTOTAL(109,SuiviEquipes[Colonne30])</f>
        <v>16</v>
      </c>
      <c r="AG51" s="28">
        <f>SUBTOTAL(109,SuiviEquipes[Colonne31])</f>
        <v>15</v>
      </c>
      <c r="AH51" s="28">
        <f>SUBTOTAL(109,SuiviEquipes[Colonne32])</f>
        <v>0</v>
      </c>
      <c r="AI51" s="28">
        <f>SUBTOTAL(109,SuiviEquipes[Colonne33])</f>
        <v>19</v>
      </c>
      <c r="AJ51" s="28">
        <f>SUBTOTAL(109,SuiviEquipes[Colonne34])</f>
        <v>20</v>
      </c>
      <c r="AK51" s="28">
        <f>SUBTOTAL(109,SuiviEquipes[Colonne35])</f>
        <v>0</v>
      </c>
      <c r="AL51" s="28">
        <f>SUBTOTAL(109,SuiviEquipes[Colonne36])</f>
        <v>0</v>
      </c>
      <c r="AM51" s="28">
        <f>SUBTOTAL(109,SuiviEquipes[Colonne37])</f>
        <v>34</v>
      </c>
      <c r="AN51" s="28">
        <f>SUBTOTAL(109,SuiviEquipes[Colonne38])</f>
        <v>34</v>
      </c>
      <c r="AO51" s="28">
        <f>SUBTOTAL(109,SuiviEquipes[Colonne39])</f>
        <v>33</v>
      </c>
      <c r="AP51" s="28">
        <f>SUBTOTAL(109,SuiviEquipes[Colonne40])</f>
        <v>33</v>
      </c>
      <c r="AQ51" s="28">
        <f>SUBTOTAL(109,SuiviEquipes[Colonne41])</f>
        <v>32</v>
      </c>
      <c r="AR51" s="28">
        <f>SUBTOTAL(109,SuiviEquipes[Colonne42])</f>
        <v>0</v>
      </c>
      <c r="AS51" s="28">
        <f>SUBTOTAL(109,SuiviEquipes[Colonne43])</f>
        <v>0</v>
      </c>
      <c r="AT51" s="28">
        <f>SUBTOTAL(109,SuiviEquipes[Colonne44])</f>
        <v>32</v>
      </c>
      <c r="AU51" s="28">
        <f>SUBTOTAL(109,SuiviEquipes[Colonne45])</f>
        <v>31</v>
      </c>
      <c r="AV51" s="28">
        <f>SUBTOTAL(109,SuiviEquipes[Colonne46])</f>
        <v>32</v>
      </c>
      <c r="AW51" s="28">
        <f>SUBTOTAL(109,SuiviEquipes[Colonne47])</f>
        <v>32</v>
      </c>
      <c r="AX51" s="28">
        <f>SUBTOTAL(109,SuiviEquipes[Colonne48])</f>
        <v>32</v>
      </c>
      <c r="AY51" s="28">
        <f>SUBTOTAL(109,SuiviEquipes[Colonne49])</f>
        <v>0</v>
      </c>
      <c r="AZ51" s="28">
        <f>SUBTOTAL(109,SuiviEquipes[Colonne50])</f>
        <v>0</v>
      </c>
      <c r="BA51" s="28">
        <f>SUBTOTAL(109,SuiviEquipes[Colonne51])</f>
        <v>31</v>
      </c>
      <c r="BB51" s="28">
        <f>SUBTOTAL(109,SuiviEquipes[Colonne52])</f>
        <v>32</v>
      </c>
      <c r="BC51" s="28">
        <f>SUBTOTAL(109,SuiviEquipes[Colonne53])</f>
        <v>32</v>
      </c>
      <c r="BD51" s="28">
        <f>SUBTOTAL(109,SuiviEquipes[Colonne54])</f>
        <v>32</v>
      </c>
      <c r="BE51" s="28">
        <f>SUBTOTAL(109,SuiviEquipes[Colonne55])</f>
        <v>31</v>
      </c>
      <c r="BF51" s="28">
        <f>SUBTOTAL(109,SuiviEquipes[Colonne56])</f>
        <v>0</v>
      </c>
      <c r="BG51" s="28">
        <f>SUBTOTAL(109,SuiviEquipes[Colonne57])</f>
        <v>0</v>
      </c>
      <c r="BH51" s="28">
        <f>SUBTOTAL(109,SuiviEquipes[Colonne58])</f>
        <v>32</v>
      </c>
      <c r="BI51" s="28">
        <f>SUBTOTAL(109,SuiviEquipes[Colonne59])</f>
        <v>32</v>
      </c>
      <c r="BJ51" s="28">
        <f>SUBTOTAL(109,SuiviEquipes[Colonne60])</f>
        <v>32</v>
      </c>
      <c r="BK51" s="28">
        <f>SUBTOTAL(109,SuiviEquipes[Colonne61])</f>
        <v>32</v>
      </c>
      <c r="BL51" s="28">
        <f>SUBTOTAL(109,SuiviEquipes[Colonne62])</f>
        <v>32</v>
      </c>
      <c r="BM51" s="28">
        <f>SUBTOTAL(109,SuiviEquipes[Colonne63])</f>
        <v>0</v>
      </c>
      <c r="BN51" s="28">
        <f>SUBTOTAL(109,SuiviEquipes[Colonne64])</f>
        <v>0</v>
      </c>
      <c r="BO51" s="28">
        <f>SUBTOTAL(109,SuiviEquipes[Colonne65])</f>
        <v>31</v>
      </c>
      <c r="BP51" s="28">
        <f>SUBTOTAL(109,SuiviEquipes[Colonne66])</f>
        <v>30</v>
      </c>
      <c r="BQ51" s="28">
        <f>SUBTOTAL(109,SuiviEquipes[Colonne67])</f>
        <v>31</v>
      </c>
      <c r="BR51" s="28">
        <f>SUBTOTAL(109,SuiviEquipes[Colonne68])</f>
        <v>31</v>
      </c>
      <c r="BS51" s="28">
        <f>SUBTOTAL(109,SuiviEquipes[Colonne69])</f>
        <v>30</v>
      </c>
      <c r="BT51" s="28">
        <f>SUBTOTAL(109,SuiviEquipes[Colonne70])</f>
        <v>0</v>
      </c>
      <c r="BU51" s="28">
        <f>SUBTOTAL(109,SuiviEquipes[Colonne71])</f>
        <v>0</v>
      </c>
      <c r="BV51" s="28">
        <f>SUBTOTAL(109,SuiviEquipes[Colonne72])</f>
        <v>33</v>
      </c>
      <c r="BW51" s="28">
        <f>SUBTOTAL(109,SuiviEquipes[Colonne73])</f>
        <v>32</v>
      </c>
      <c r="BX51" s="28">
        <f>SUBTOTAL(109,SuiviEquipes[Colonne74])</f>
        <v>33</v>
      </c>
      <c r="BY51" s="28">
        <f>SUBTOTAL(109,SuiviEquipes[Colonne75])</f>
        <v>32.5</v>
      </c>
      <c r="BZ51" s="28">
        <f>SUBTOTAL(109,SuiviEquipes[Colonne76])</f>
        <v>33</v>
      </c>
      <c r="CA51" s="28">
        <f>SUBTOTAL(109,SuiviEquipes[Colonne77])</f>
        <v>0</v>
      </c>
      <c r="CB51" s="28">
        <f>SUBTOTAL(109,SuiviEquipes[Colonne78])</f>
        <v>0</v>
      </c>
      <c r="CC51" s="28">
        <f>SUBTOTAL(109,SuiviEquipes[Colonne79])</f>
        <v>32</v>
      </c>
      <c r="CD51" s="28">
        <f>SUBTOTAL(109,SuiviEquipes[Colonne80])</f>
        <v>32</v>
      </c>
      <c r="CE51" s="28">
        <f>SUBTOTAL(109,SuiviEquipes[Colonne81])</f>
        <v>31</v>
      </c>
      <c r="CF51" s="28">
        <f>SUBTOTAL(109,SuiviEquipes[Colonne82])</f>
        <v>32</v>
      </c>
      <c r="CG51" s="28">
        <f>SUBTOTAL(109,SuiviEquipes[Colonne83])</f>
        <v>32</v>
      </c>
      <c r="CH51" s="28">
        <f>SUBTOTAL(109,SuiviEquipes[Colonne84])</f>
        <v>0</v>
      </c>
      <c r="CI51" s="28">
        <f>SUBTOTAL(109,SuiviEquipes[Colonne85])</f>
        <v>0</v>
      </c>
      <c r="CJ51" s="28">
        <f>SUBTOTAL(109,SuiviEquipes[Colonne86])</f>
        <v>30</v>
      </c>
      <c r="CK51" s="28">
        <f>SUBTOTAL(109,SuiviEquipes[Colonne87])</f>
        <v>30</v>
      </c>
      <c r="CL51" s="28">
        <f>SUBTOTAL(109,SuiviEquipes[Colonne88])</f>
        <v>30</v>
      </c>
      <c r="CM51" s="28">
        <f>SUBTOTAL(109,SuiviEquipes[Colonne89])</f>
        <v>30</v>
      </c>
      <c r="CN51" s="28">
        <f>SUBTOTAL(109,SuiviEquipes[Colonne90])</f>
        <v>30</v>
      </c>
      <c r="CO51" s="28">
        <f>SUBTOTAL(109,SuiviEquipes[Colonne91])</f>
        <v>0</v>
      </c>
      <c r="CP51" s="28">
        <f>SUBTOTAL(109,SuiviEquipes[Colonne92])</f>
        <v>0</v>
      </c>
      <c r="CQ51" s="28">
        <f>SUBTOTAL(109,SuiviEquipes[Colonne93])</f>
        <v>33</v>
      </c>
      <c r="CR51" s="28">
        <f>SUBTOTAL(109,SuiviEquipes[Colonne94])</f>
        <v>33</v>
      </c>
      <c r="CS51" s="28">
        <f>SUBTOTAL(109,SuiviEquipes[Colonne95])</f>
        <v>32</v>
      </c>
      <c r="CT51" s="28">
        <f>SUBTOTAL(109,SuiviEquipes[Colonne96])</f>
        <v>33</v>
      </c>
      <c r="CU51" s="28">
        <f>SUBTOTAL(109,SuiviEquipes[Colonne97])</f>
        <v>32</v>
      </c>
      <c r="CV51" s="28">
        <f>SUBTOTAL(109,SuiviEquipes[Colonne98])</f>
        <v>0</v>
      </c>
      <c r="CW51" s="28">
        <f>SUBTOTAL(109,SuiviEquipes[Colonne99])</f>
        <v>0</v>
      </c>
      <c r="CX51" s="28">
        <f>SUBTOTAL(109,SuiviEquipes[Colonne100])</f>
        <v>33</v>
      </c>
      <c r="CY51" s="28">
        <f>SUBTOTAL(109,SuiviEquipes[Colonne101])</f>
        <v>33</v>
      </c>
      <c r="CZ51" s="28">
        <f>SUBTOTAL(109,SuiviEquipes[Colonne102])</f>
        <v>34</v>
      </c>
      <c r="DA51" s="28">
        <f>SUBTOTAL(109,SuiviEquipes[Colonne103])</f>
        <v>33</v>
      </c>
      <c r="DB51" s="28">
        <f>SUBTOTAL(109,SuiviEquipes[Colonne104])</f>
        <v>33</v>
      </c>
      <c r="DC51" s="28">
        <f>SUBTOTAL(109,SuiviEquipes[Colonne105])</f>
        <v>0</v>
      </c>
      <c r="DD51" s="28">
        <f>SUBTOTAL(109,SuiviEquipes[Colonne106])</f>
        <v>0</v>
      </c>
      <c r="DE51" s="28">
        <f>SUBTOTAL(109,SuiviEquipes[Colonne107])</f>
        <v>34</v>
      </c>
      <c r="DF51" s="28">
        <f>SUBTOTAL(109,SuiviEquipes[Colonne108])</f>
        <v>34</v>
      </c>
      <c r="DG51" s="28">
        <f>SUBTOTAL(109,SuiviEquipes[Colonne109])</f>
        <v>34</v>
      </c>
      <c r="DH51" s="28">
        <f>SUBTOTAL(109,SuiviEquipes[Colonne110])</f>
        <v>34</v>
      </c>
      <c r="DI51" s="28">
        <f>SUBTOTAL(109,SuiviEquipes[Colonne111])</f>
        <v>34</v>
      </c>
      <c r="DJ51" s="28">
        <f>SUBTOTAL(109,SuiviEquipes[Colonne112])</f>
        <v>0</v>
      </c>
      <c r="DK51" s="28">
        <f>SUBTOTAL(109,SuiviEquipes[Colonne113])</f>
        <v>0</v>
      </c>
      <c r="DL51" s="28">
        <f>SUBTOTAL(109,SuiviEquipes[Colonne114])</f>
        <v>34</v>
      </c>
      <c r="DM51" s="28">
        <f>SUBTOTAL(109,SuiviEquipes[Colonne115])</f>
        <v>34</v>
      </c>
      <c r="DN51" s="28">
        <f>SUBTOTAL(109,SuiviEquipes[Colonne116])</f>
        <v>34</v>
      </c>
      <c r="DO51" s="28">
        <f>SUBTOTAL(109,SuiviEquipes[Colonne117])</f>
        <v>34</v>
      </c>
      <c r="DP51" s="28">
        <f>SUBTOTAL(109,SuiviEquipes[Colonne118])</f>
        <v>34</v>
      </c>
      <c r="DQ51" s="28">
        <f>SUBTOTAL(109,SuiviEquipes[Colonne119])</f>
        <v>0</v>
      </c>
      <c r="DR51" s="28">
        <f>SUBTOTAL(109,SuiviEquipes[Colonne120])</f>
        <v>0</v>
      </c>
      <c r="DS51" s="28">
        <f>SUBTOTAL(109,SuiviEquipes[Colonne121])</f>
        <v>34</v>
      </c>
      <c r="DT51" s="28">
        <f>SUBTOTAL(109,SuiviEquipes[Colonne122])</f>
        <v>34</v>
      </c>
      <c r="DU51" s="28">
        <f>SUBTOTAL(109,SuiviEquipes[Colonne123])</f>
        <v>34</v>
      </c>
      <c r="DV51" s="28">
        <f>SUBTOTAL(109,SuiviEquipes[Colonne124])</f>
        <v>34</v>
      </c>
      <c r="DW51" s="28">
        <f>SUBTOTAL(109,SuiviEquipes[Colonne125])</f>
        <v>34</v>
      </c>
      <c r="DX51" s="28">
        <f>SUBTOTAL(109,SuiviEquipes[Colonne126])</f>
        <v>0</v>
      </c>
      <c r="DY51" s="28">
        <f>SUBTOTAL(109,SuiviEquipes[Colonne127])</f>
        <v>0</v>
      </c>
      <c r="DZ51" s="28">
        <f>SUBTOTAL(109,SuiviEquipes[Colonne128])</f>
        <v>34</v>
      </c>
      <c r="EA51" s="28">
        <f>SUBTOTAL(109,SuiviEquipes[Colonne129])</f>
        <v>34</v>
      </c>
      <c r="EB51" s="28">
        <f>SUBTOTAL(109,SuiviEquipes[Colonne130])</f>
        <v>34</v>
      </c>
      <c r="EC51" s="28">
        <f>SUBTOTAL(109,SuiviEquipes[Colonne131])</f>
        <v>34</v>
      </c>
      <c r="ED51" s="28">
        <f>SUBTOTAL(109,SuiviEquipes[Colonne132])</f>
        <v>34</v>
      </c>
      <c r="EE51" s="28">
        <f>SUBTOTAL(109,SuiviEquipes[Colonne133])</f>
        <v>0</v>
      </c>
      <c r="EF51" s="28">
        <f>SUBTOTAL(109,SuiviEquipes[Colonne134])</f>
        <v>0</v>
      </c>
      <c r="EG51" s="28">
        <f>SUBTOTAL(109,SuiviEquipes[Colonne135])</f>
        <v>34</v>
      </c>
      <c r="EH51" s="28">
        <f>SUBTOTAL(109,SuiviEquipes[Colonne136])</f>
        <v>34</v>
      </c>
      <c r="EI51" s="28">
        <f>SUBTOTAL(109,SuiviEquipes[Colonne137])</f>
        <v>34</v>
      </c>
      <c r="EJ51" s="28">
        <f>SUBTOTAL(109,SuiviEquipes[Colonne138])</f>
        <v>34</v>
      </c>
      <c r="EK51" s="28">
        <f>SUBTOTAL(109,SuiviEquipes[Colonne139])</f>
        <v>34</v>
      </c>
      <c r="EL51" s="28">
        <f>SUBTOTAL(109,SuiviEquipes[Colonne140])</f>
        <v>0</v>
      </c>
      <c r="EM51" s="28">
        <f>SUBTOTAL(109,SuiviEquipes[Colonne141])</f>
        <v>0</v>
      </c>
      <c r="EN51" s="28">
        <f>SUBTOTAL(109,SuiviEquipes[Colonne142])</f>
        <v>0</v>
      </c>
      <c r="EO51" s="28">
        <f>SUBTOTAL(109,SuiviEquipes[Colonne143])</f>
        <v>32</v>
      </c>
      <c r="EP51" s="28">
        <f>SUBTOTAL(109,SuiviEquipes[Colonne144])</f>
        <v>32</v>
      </c>
      <c r="EQ51" s="28">
        <f>SUBTOTAL(109,SuiviEquipes[Colonne145])</f>
        <v>32</v>
      </c>
      <c r="ER51" s="28">
        <f>SUBTOTAL(109,SuiviEquipes[Colonne146])</f>
        <v>32</v>
      </c>
      <c r="ES51" s="28">
        <f>SUBTOTAL(109,SuiviEquipes[Colonne147])</f>
        <v>0</v>
      </c>
      <c r="ET51" s="28">
        <f>SUBTOTAL(109,SuiviEquipes[Colonne148])</f>
        <v>0</v>
      </c>
      <c r="EU51" s="28">
        <f>SUBTOTAL(109,SuiviEquipes[Colonne149])</f>
        <v>34</v>
      </c>
      <c r="EV51" s="28">
        <f>SUBTOTAL(109,SuiviEquipes[Colonne150])</f>
        <v>34</v>
      </c>
      <c r="EW51" s="28">
        <f>SUBTOTAL(109,SuiviEquipes[Colonne151])</f>
        <v>34</v>
      </c>
      <c r="EX51" s="28">
        <f>SUBTOTAL(109,SuiviEquipes[Colonne152])</f>
        <v>0</v>
      </c>
      <c r="EY51" s="28">
        <f>SUBTOTAL(109,SuiviEquipes[Colonne153])</f>
        <v>33</v>
      </c>
      <c r="EZ51" s="28">
        <f>SUBTOTAL(109,SuiviEquipes[Colonne154])</f>
        <v>0</v>
      </c>
      <c r="FA51" s="28">
        <f>SUBTOTAL(109,SuiviEquipes[Colonne155])</f>
        <v>0</v>
      </c>
      <c r="FB51" s="28">
        <f>SUBTOTAL(109,SuiviEquipes[Colonne156])</f>
        <v>34</v>
      </c>
      <c r="FC51" s="28">
        <f>SUBTOTAL(109,SuiviEquipes[Colonne157])</f>
        <v>34</v>
      </c>
      <c r="FD51" s="28">
        <f>SUBTOTAL(109,SuiviEquipes[Colonne158])</f>
        <v>34</v>
      </c>
      <c r="FE51" s="28">
        <f>SUBTOTAL(109,SuiviEquipes[Colonne159])</f>
        <v>0</v>
      </c>
      <c r="FF51" s="28">
        <f>SUBTOTAL(109,SuiviEquipes[Colonne160])</f>
        <v>33</v>
      </c>
      <c r="FG51" s="28">
        <f>SUBTOTAL(109,SuiviEquipes[Colonne161])</f>
        <v>0</v>
      </c>
      <c r="FH51" s="28">
        <f>SUBTOTAL(109,SuiviEquipes[Colonne162])</f>
        <v>0</v>
      </c>
      <c r="FI51" s="28">
        <f>SUBTOTAL(109,SuiviEquipes[Colonne163])</f>
        <v>34</v>
      </c>
      <c r="FJ51" s="28">
        <f>SUBTOTAL(109,SuiviEquipes[Colonne164])</f>
        <v>34</v>
      </c>
      <c r="FK51" s="28">
        <f>SUBTOTAL(109,SuiviEquipes[Colonne165])</f>
        <v>34</v>
      </c>
      <c r="FL51" s="28">
        <f>SUBTOTAL(109,SuiviEquipes[Colonne166])</f>
        <v>34</v>
      </c>
      <c r="FM51" s="28">
        <f>SUBTOTAL(109,SuiviEquipes[Colonne167])</f>
        <v>34</v>
      </c>
      <c r="FN51" s="28">
        <f>SUBTOTAL(109,SuiviEquipes[Colonne168])</f>
        <v>0</v>
      </c>
      <c r="FO51" s="28">
        <f>SUBTOTAL(109,SuiviEquipes[Colonne169])</f>
        <v>0</v>
      </c>
      <c r="FP51" s="28">
        <f>SUBTOTAL(109,SuiviEquipes[Colonne170])</f>
        <v>34</v>
      </c>
      <c r="FQ51" s="28">
        <f>SUBTOTAL(109,SuiviEquipes[Colonne171])</f>
        <v>34</v>
      </c>
      <c r="FR51" s="28">
        <f>SUBTOTAL(109,SuiviEquipes[Colonne172])</f>
        <v>34</v>
      </c>
      <c r="FS51" s="28">
        <f>SUBTOTAL(109,SuiviEquipes[Colonne173])</f>
        <v>33</v>
      </c>
      <c r="FT51" s="28">
        <f>SUBTOTAL(109,SuiviEquipes[Colonne174])</f>
        <v>34</v>
      </c>
      <c r="FU51" s="28">
        <f>SUBTOTAL(109,SuiviEquipes[Colonne175])</f>
        <v>0</v>
      </c>
      <c r="FV51" s="28">
        <f>SUBTOTAL(109,SuiviEquipes[Colonne176])</f>
        <v>0</v>
      </c>
      <c r="FW51" s="28">
        <f>SUBTOTAL(109,SuiviEquipes[Colonne177])</f>
        <v>34</v>
      </c>
      <c r="FX51" s="28">
        <f>SUBTOTAL(109,SuiviEquipes[Colonne178])</f>
        <v>34</v>
      </c>
      <c r="FY51" s="28">
        <f>SUBTOTAL(109,SuiviEquipes[Colonne179])</f>
        <v>34</v>
      </c>
      <c r="FZ51" s="28">
        <f>SUBTOTAL(109,SuiviEquipes[Colonne180])</f>
        <v>0</v>
      </c>
      <c r="GA51" s="28">
        <f>SUBTOTAL(109,SuiviEquipes[Colonne181])</f>
        <v>32</v>
      </c>
      <c r="GB51" s="28">
        <f>SUBTOTAL(109,SuiviEquipes[Colonne182])</f>
        <v>0</v>
      </c>
      <c r="GC51" s="28">
        <f>SUBTOTAL(109,SuiviEquipes[Colonne183])</f>
        <v>0</v>
      </c>
      <c r="GD51" s="28">
        <f>SUBTOTAL(109,SuiviEquipes[Colonne184])</f>
        <v>34</v>
      </c>
      <c r="GE51" s="28">
        <f>SUBTOTAL(109,SuiviEquipes[Colonne185])</f>
        <v>34</v>
      </c>
      <c r="GF51" s="28">
        <f>SUBTOTAL(109,SuiviEquipes[Colonne186])</f>
        <v>34</v>
      </c>
      <c r="GG51" s="28">
        <f>SUBTOTAL(109,SuiviEquipes[Colonne187])</f>
        <v>34</v>
      </c>
      <c r="GH51" s="28">
        <f>SUBTOTAL(109,SuiviEquipes[Colonne188])</f>
        <v>34</v>
      </c>
      <c r="GI51" s="28">
        <f>SUBTOTAL(109,SuiviEquipes[Colonne189])</f>
        <v>0</v>
      </c>
      <c r="GJ51" s="28">
        <f>SUBTOTAL(109,SuiviEquipes[Colonne190])</f>
        <v>0</v>
      </c>
      <c r="GK51" s="28">
        <f>SUBTOTAL(109,SuiviEquipes[Colonne191])</f>
        <v>0</v>
      </c>
      <c r="GL51" s="28">
        <f>SUBTOTAL(109,SuiviEquipes[Colonne192])</f>
        <v>34</v>
      </c>
      <c r="GM51" s="28">
        <f>SUBTOTAL(109,SuiviEquipes[Colonne193])</f>
        <v>33</v>
      </c>
      <c r="GN51" s="28">
        <f>SUBTOTAL(109,SuiviEquipes[Colonne194])</f>
        <v>34</v>
      </c>
      <c r="GO51" s="28">
        <f>SUBTOTAL(109,SuiviEquipes[Colonne195])</f>
        <v>34</v>
      </c>
      <c r="GP51" s="28">
        <f>SUBTOTAL(109,SuiviEquipes[Colonne196])</f>
        <v>0</v>
      </c>
      <c r="GQ51" s="28">
        <f>SUBTOTAL(109,SuiviEquipes[Colonne197])</f>
        <v>0</v>
      </c>
      <c r="GR51" s="28">
        <f>SUBTOTAL(109,SuiviEquipes[Colonne198])</f>
        <v>34</v>
      </c>
      <c r="GS51" s="28">
        <f>SUBTOTAL(109,SuiviEquipes[Colonne199])</f>
        <v>34</v>
      </c>
      <c r="GT51" s="28">
        <f>SUBTOTAL(109,SuiviEquipes[Colonne200])</f>
        <v>34</v>
      </c>
      <c r="GU51" s="28">
        <f>SUBTOTAL(109,SuiviEquipes[Colonne201])</f>
        <v>34</v>
      </c>
      <c r="GV51" s="28">
        <f>SUBTOTAL(109,SuiviEquipes[Colonne202])</f>
        <v>34</v>
      </c>
      <c r="GW51" s="28">
        <f>SUBTOTAL(109,SuiviEquipes[Colonne203])</f>
        <v>0</v>
      </c>
      <c r="GX51" s="28">
        <f>SUBTOTAL(109,SuiviEquipes[Colonne204])</f>
        <v>0</v>
      </c>
      <c r="GY51" s="28">
        <f>SUBTOTAL(109,SuiviEquipes[Colonne205])</f>
        <v>34</v>
      </c>
      <c r="GZ51" s="28">
        <f>SUBTOTAL(109,SuiviEquipes[Colonne206])</f>
        <v>34</v>
      </c>
      <c r="HA51" s="28">
        <f>SUBTOTAL(109,SuiviEquipes[Colonne207])</f>
        <v>34</v>
      </c>
      <c r="HB51" s="28">
        <f>SUBTOTAL(109,SuiviEquipes[Colonne208])</f>
        <v>34</v>
      </c>
      <c r="HC51" s="28">
        <f>SUBTOTAL(109,SuiviEquipes[Colonne209])</f>
        <v>34</v>
      </c>
      <c r="HD51" s="28">
        <f>SUBTOTAL(109,SuiviEquipes[Colonne210])</f>
        <v>0</v>
      </c>
      <c r="HE51" s="28">
        <f>SUBTOTAL(109,SuiviEquipes[Colonne211])</f>
        <v>0</v>
      </c>
      <c r="HF51" s="28">
        <f>SUBTOTAL(109,SuiviEquipes[Colonne212])</f>
        <v>34</v>
      </c>
      <c r="HG51" s="28">
        <f>SUBTOTAL(109,SuiviEquipes[Colonne213])</f>
        <v>34</v>
      </c>
      <c r="HH51" s="28">
        <f>SUBTOTAL(109,SuiviEquipes[Colonne214])</f>
        <v>34</v>
      </c>
      <c r="HI51" s="28">
        <f>SUBTOTAL(109,SuiviEquipes[Colonne215])</f>
        <v>34</v>
      </c>
      <c r="HJ51" s="28">
        <f>SUBTOTAL(109,SuiviEquipes[Colonne216])</f>
        <v>34</v>
      </c>
      <c r="HK51" s="28">
        <f>SUBTOTAL(109,SuiviEquipes[Colonne217])</f>
        <v>0</v>
      </c>
      <c r="HL51" s="28">
        <f>SUBTOTAL(109,SuiviEquipes[Colonne218])</f>
        <v>0</v>
      </c>
      <c r="HM51" s="28">
        <f>SUBTOTAL(109,SuiviEquipes[Colonne219])</f>
        <v>34</v>
      </c>
      <c r="HN51" s="28">
        <f>SUBTOTAL(109,SuiviEquipes[Colonne220])</f>
        <v>34</v>
      </c>
      <c r="HO51" s="28">
        <f>SUBTOTAL(109,SuiviEquipes[Colonne221])</f>
        <v>34</v>
      </c>
      <c r="HP51" s="28">
        <f>SUBTOTAL(109,SuiviEquipes[Colonne222])</f>
        <v>34</v>
      </c>
      <c r="HQ51" s="28">
        <f>SUBTOTAL(109,SuiviEquipes[Colonne223])</f>
        <v>33</v>
      </c>
      <c r="HR51" s="28">
        <f>SUBTOTAL(109,SuiviEquipes[Colonne224])</f>
        <v>0</v>
      </c>
      <c r="HS51" s="28">
        <f>SUBTOTAL(109,SuiviEquipes[Colonne225])</f>
        <v>0</v>
      </c>
      <c r="HT51" s="28">
        <f>SUBTOTAL(109,SuiviEquipes[Colonne226])</f>
        <v>0</v>
      </c>
      <c r="HU51" s="28">
        <f>SUBTOTAL(109,SuiviEquipes[Colonne227])</f>
        <v>33</v>
      </c>
      <c r="HV51" s="28">
        <f>SUBTOTAL(109,SuiviEquipes[Colonne228])</f>
        <v>33</v>
      </c>
      <c r="HW51" s="28">
        <f>SUBTOTAL(109,SuiviEquipes[Colonne229])</f>
        <v>33</v>
      </c>
      <c r="HX51" s="28">
        <f>SUBTOTAL(109,SuiviEquipes[Colonne230])</f>
        <v>33</v>
      </c>
      <c r="HY51" s="28">
        <f>SUBTOTAL(109,SuiviEquipes[Colonne231])</f>
        <v>0</v>
      </c>
      <c r="HZ51" s="28">
        <f>SUBTOTAL(109,SuiviEquipes[Colonne232])</f>
        <v>0</v>
      </c>
      <c r="IA51" s="28">
        <f>SUBTOTAL(109,SuiviEquipes[Colonne233])</f>
        <v>34</v>
      </c>
      <c r="IB51" s="28">
        <f>SUBTOTAL(109,SuiviEquipes[Colonne234])</f>
        <v>34</v>
      </c>
      <c r="IC51" s="28">
        <f>SUBTOTAL(109,SuiviEquipes[Colonne235])</f>
        <v>34</v>
      </c>
      <c r="ID51" s="28">
        <f>SUBTOTAL(109,SuiviEquipes[Colonne236])</f>
        <v>34</v>
      </c>
      <c r="IE51" s="28">
        <f>SUBTOTAL(109,SuiviEquipes[Colonne237])</f>
        <v>34</v>
      </c>
      <c r="IF51" s="28">
        <f>SUBTOTAL(109,SuiviEquipes[Colonne238])</f>
        <v>0</v>
      </c>
      <c r="IG51" s="28">
        <f>SUBTOTAL(109,SuiviEquipes[Colonne239])</f>
        <v>0</v>
      </c>
      <c r="IH51" s="28">
        <f>SUBTOTAL(109,SuiviEquipes[Colonne240])</f>
        <v>34</v>
      </c>
      <c r="II51" s="28">
        <f>SUBTOTAL(109,SuiviEquipes[Colonne241])</f>
        <v>34</v>
      </c>
      <c r="IJ51" s="28">
        <f>SUBTOTAL(109,SuiviEquipes[Colonne242])</f>
        <v>34</v>
      </c>
      <c r="IK51" s="28">
        <f>SUBTOTAL(109,SuiviEquipes[Colonne243])</f>
        <v>34</v>
      </c>
      <c r="IL51" s="28">
        <f>SUBTOTAL(109,SuiviEquipes[Colonne244])</f>
        <v>34</v>
      </c>
      <c r="IM51" s="28">
        <f>SUBTOTAL(109,SuiviEquipes[Colonne245])</f>
        <v>0</v>
      </c>
      <c r="IN51" s="28">
        <f>SUBTOTAL(109,SuiviEquipes[Colonne246])</f>
        <v>0</v>
      </c>
      <c r="IO51" s="28">
        <f>SUBTOTAL(109,SuiviEquipes[Colonne247])</f>
        <v>33</v>
      </c>
      <c r="IP51" s="28">
        <f>SUBTOTAL(109,SuiviEquipes[Colonne248])</f>
        <v>33</v>
      </c>
      <c r="IQ51" s="28">
        <f>SUBTOTAL(109,SuiviEquipes[Colonne249])</f>
        <v>33</v>
      </c>
      <c r="IR51" s="28">
        <f>SUBTOTAL(109,SuiviEquipes[Colonne250])</f>
        <v>33</v>
      </c>
      <c r="IS51" s="28">
        <f>SUBTOTAL(109,SuiviEquipes[Colonne251])</f>
        <v>33</v>
      </c>
      <c r="IT51" s="28">
        <f>SUBTOTAL(109,SuiviEquipes[Colonne252])</f>
        <v>0</v>
      </c>
      <c r="IU51" s="28">
        <f>SUBTOTAL(109,SuiviEquipes[Colonne253])</f>
        <v>0</v>
      </c>
      <c r="IV51" s="28">
        <f>SUBTOTAL(109,SuiviEquipes[Colonne254])</f>
        <v>33</v>
      </c>
      <c r="IW51" s="28">
        <f>SUBTOTAL(109,SuiviEquipes[Colonne255])</f>
        <v>33</v>
      </c>
      <c r="IX51" s="28">
        <f>SUBTOTAL(109,SuiviEquipes[Colonne256])</f>
        <v>33</v>
      </c>
      <c r="IY51" s="28">
        <f>SUBTOTAL(109,SuiviEquipes[Colonne257])</f>
        <v>33</v>
      </c>
      <c r="IZ51" s="28">
        <f>SUBTOTAL(109,SuiviEquipes[Colonne258])</f>
        <v>0</v>
      </c>
      <c r="JA51" s="28">
        <f>SUBTOTAL(109,SuiviEquipes[Colonne259])</f>
        <v>0</v>
      </c>
      <c r="JB51" s="28">
        <f>SUBTOTAL(109,SuiviEquipes[Colonne260])</f>
        <v>0</v>
      </c>
      <c r="JC51" s="28">
        <f>SUBTOTAL(109,SuiviEquipes[Colonne261])</f>
        <v>34</v>
      </c>
      <c r="JD51" s="28">
        <f>SUBTOTAL(109,SuiviEquipes[Colonne262])</f>
        <v>34</v>
      </c>
      <c r="JE51" s="28">
        <f>SUBTOTAL(109,SuiviEquipes[Colonne263])</f>
        <v>34</v>
      </c>
      <c r="JF51" s="28">
        <f>SUBTOTAL(109,SuiviEquipes[Colonne264])</f>
        <v>34</v>
      </c>
      <c r="JG51" s="28">
        <f>SUBTOTAL(109,SuiviEquipes[Colonne265])</f>
        <v>34</v>
      </c>
      <c r="JH51" s="28">
        <f>SUBTOTAL(109,SuiviEquipes[Colonne266])</f>
        <v>0</v>
      </c>
      <c r="JI51" s="28">
        <f>SUBTOTAL(109,SuiviEquipes[Colonne267])</f>
        <v>0</v>
      </c>
      <c r="JJ51" s="28">
        <f>SUBTOTAL(109,SuiviEquipes[Colonne268])</f>
        <v>34</v>
      </c>
      <c r="JK51" s="28">
        <f>SUBTOTAL(109,SuiviEquipes[Colonne269])</f>
        <v>34</v>
      </c>
      <c r="JL51" s="28">
        <f>SUBTOTAL(109,SuiviEquipes[Colonne270])</f>
        <v>34</v>
      </c>
      <c r="JM51" s="28">
        <f>SUBTOTAL(109,SuiviEquipes[Colonne271])</f>
        <v>34</v>
      </c>
      <c r="JN51" s="28">
        <f>SUBTOTAL(109,SuiviEquipes[Colonne272])</f>
        <v>34</v>
      </c>
      <c r="JO51" s="28">
        <f>SUBTOTAL(109,SuiviEquipes[Colonne273])</f>
        <v>0</v>
      </c>
      <c r="JP51" s="28">
        <f>SUBTOTAL(109,SuiviEquipes[Colonne274])</f>
        <v>0</v>
      </c>
      <c r="JQ51" s="28">
        <f>SUBTOTAL(109,SuiviEquipes[Colonne275])</f>
        <v>34</v>
      </c>
      <c r="JR51" s="28">
        <f>SUBTOTAL(109,SuiviEquipes[Colonne276])</f>
        <v>34</v>
      </c>
      <c r="JS51" s="28">
        <f>SUBTOTAL(109,SuiviEquipes[Colonne277])</f>
        <v>34</v>
      </c>
      <c r="JT51" s="28">
        <f>SUBTOTAL(109,SuiviEquipes[Colonne278])</f>
        <v>34</v>
      </c>
      <c r="JU51" s="28">
        <f>SUBTOTAL(109,SuiviEquipes[Colonne279])</f>
        <v>34</v>
      </c>
      <c r="JV51" s="28">
        <f>SUBTOTAL(109,SuiviEquipes[Colonne280])</f>
        <v>0</v>
      </c>
      <c r="JW51" s="28">
        <f>SUBTOTAL(109,SuiviEquipes[Colonne281])</f>
        <v>0</v>
      </c>
      <c r="JX51" s="28">
        <f>SUBTOTAL(109,SuiviEquipes[Colonne282])</f>
        <v>34</v>
      </c>
      <c r="JY51" s="28">
        <f>SUBTOTAL(109,SuiviEquipes[Colonne283])</f>
        <v>34</v>
      </c>
      <c r="JZ51" s="28">
        <f>SUBTOTAL(109,SuiviEquipes[Colonne284])</f>
        <v>34</v>
      </c>
      <c r="KA51" s="28">
        <f>SUBTOTAL(109,SuiviEquipes[Colonne285])</f>
        <v>34</v>
      </c>
      <c r="KB51" s="28">
        <f>SUBTOTAL(109,SuiviEquipes[Colonne286])</f>
        <v>34</v>
      </c>
      <c r="KC51" s="28">
        <f>SUBTOTAL(109,SuiviEquipes[Colonne287])</f>
        <v>0</v>
      </c>
      <c r="KD51" s="28">
        <f>SUBTOTAL(109,SuiviEquipes[Colonne288])</f>
        <v>0</v>
      </c>
      <c r="KE51" s="28">
        <f>SUBTOTAL(109,SuiviEquipes[Colonne289])</f>
        <v>34</v>
      </c>
      <c r="KF51" s="28">
        <f>SUBTOTAL(109,SuiviEquipes[Colonne290])</f>
        <v>34</v>
      </c>
      <c r="KG51" s="28">
        <f>SUBTOTAL(109,SuiviEquipes[Colonne291])</f>
        <v>34</v>
      </c>
      <c r="KH51" s="28">
        <f>SUBTOTAL(109,SuiviEquipes[Colonne292])</f>
        <v>34</v>
      </c>
      <c r="KI51" s="28">
        <f>SUBTOTAL(109,SuiviEquipes[Colonne293])</f>
        <v>34</v>
      </c>
      <c r="KJ51" s="28">
        <f>SUBTOTAL(109,SuiviEquipes[Colonne294])</f>
        <v>0</v>
      </c>
      <c r="KK51" s="28">
        <f>SUBTOTAL(109,SuiviEquipes[Colonne295])</f>
        <v>0</v>
      </c>
      <c r="KL51" s="28">
        <f>SUBTOTAL(109,SuiviEquipes[Colonne296])</f>
        <v>34</v>
      </c>
      <c r="KM51" s="28">
        <f>SUBTOTAL(109,SuiviEquipes[Colonne297])</f>
        <v>34</v>
      </c>
      <c r="KN51" s="28">
        <f>SUBTOTAL(109,SuiviEquipes[Colonne298])</f>
        <v>33</v>
      </c>
      <c r="KO51" s="28">
        <f>SUBTOTAL(109,SuiviEquipes[Colonne299])</f>
        <v>34</v>
      </c>
      <c r="KP51" s="28">
        <f>SUBTOTAL(109,SuiviEquipes[Colonne300])</f>
        <v>34</v>
      </c>
      <c r="KQ51" s="28">
        <f>SUBTOTAL(109,SuiviEquipes[Colonne301])</f>
        <v>0</v>
      </c>
      <c r="KR51" s="28">
        <f>SUBTOTAL(109,SuiviEquipes[Colonne302])</f>
        <v>0</v>
      </c>
      <c r="KS51" s="28">
        <f>SUBTOTAL(109,SuiviEquipes[Colonne303])</f>
        <v>34</v>
      </c>
      <c r="KT51" s="28">
        <f>SUBTOTAL(109,SuiviEquipes[Colonne304])</f>
        <v>34</v>
      </c>
      <c r="KU51" s="28">
        <f>SUBTOTAL(109,SuiviEquipes[Colonne305])</f>
        <v>34</v>
      </c>
      <c r="KV51" s="28">
        <f>SUBTOTAL(109,SuiviEquipes[Colonne306])</f>
        <v>34</v>
      </c>
      <c r="KW51" s="28">
        <f>SUBTOTAL(109,SuiviEquipes[Colonne307])</f>
        <v>34</v>
      </c>
      <c r="KX51" s="28">
        <f>SUBTOTAL(109,SuiviEquipes[Colonne308])</f>
        <v>0</v>
      </c>
      <c r="KY51" s="28">
        <f>SUBTOTAL(109,SuiviEquipes[Colonne309])</f>
        <v>0</v>
      </c>
      <c r="KZ51" s="28">
        <f>SUBTOTAL(109,SuiviEquipes[Colonne310])</f>
        <v>34</v>
      </c>
      <c r="LA51" s="28">
        <f>SUBTOTAL(109,SuiviEquipes[Colonne311])</f>
        <v>34</v>
      </c>
      <c r="LB51" s="28">
        <f>SUBTOTAL(109,SuiviEquipes[Colonne312])</f>
        <v>34</v>
      </c>
      <c r="LC51" s="28">
        <f>SUBTOTAL(109,SuiviEquipes[Colonne313])</f>
        <v>34</v>
      </c>
      <c r="LD51" s="28">
        <f>SUBTOTAL(109,SuiviEquipes[Colonne314])</f>
        <v>34</v>
      </c>
      <c r="LE51" s="28">
        <f>SUBTOTAL(109,SuiviEquipes[Colonne315])</f>
        <v>0</v>
      </c>
      <c r="LF51" s="28">
        <f>SUBTOTAL(109,SuiviEquipes[Colonne316])</f>
        <v>0</v>
      </c>
      <c r="LG51" s="28">
        <f>SUBTOTAL(109,SuiviEquipes[Colonne317])</f>
        <v>34</v>
      </c>
      <c r="LH51" s="28">
        <f>SUBTOTAL(109,SuiviEquipes[Colonne318])</f>
        <v>34</v>
      </c>
      <c r="LI51" s="28">
        <f>SUBTOTAL(109,SuiviEquipes[Colonne319])</f>
        <v>34</v>
      </c>
      <c r="LJ51" s="28">
        <f>SUBTOTAL(109,SuiviEquipes[Colonne320])</f>
        <v>33</v>
      </c>
      <c r="LK51" s="28">
        <f>SUBTOTAL(109,SuiviEquipes[Colonne321])</f>
        <v>34</v>
      </c>
      <c r="LL51" s="28">
        <f>SUBTOTAL(109,SuiviEquipes[Colonne322])</f>
        <v>0</v>
      </c>
      <c r="LM51" s="28">
        <f>SUBTOTAL(109,SuiviEquipes[Colonne323])</f>
        <v>0</v>
      </c>
      <c r="LN51" s="28">
        <f>SUBTOTAL(109,SuiviEquipes[Colonne324])</f>
        <v>34</v>
      </c>
      <c r="LO51" s="28">
        <f>SUBTOTAL(109,SuiviEquipes[Colonne325])</f>
        <v>34</v>
      </c>
      <c r="LP51" s="28">
        <f>SUBTOTAL(109,SuiviEquipes[Colonne326])</f>
        <v>34</v>
      </c>
      <c r="LQ51" s="28">
        <f>SUBTOTAL(109,SuiviEquipes[Colonne327])</f>
        <v>34</v>
      </c>
      <c r="LR51" s="28">
        <f>SUBTOTAL(109,SuiviEquipes[Colonne328])</f>
        <v>34</v>
      </c>
      <c r="LS51" s="28">
        <f>SUBTOTAL(109,SuiviEquipes[Colonne329])</f>
        <v>0</v>
      </c>
      <c r="LT51" s="28">
        <f>SUBTOTAL(109,SuiviEquipes[Colonne330])</f>
        <v>0</v>
      </c>
      <c r="LU51" s="28">
        <f>SUBTOTAL(109,SuiviEquipes[Colonne331])</f>
        <v>34</v>
      </c>
      <c r="LV51" s="28">
        <f>SUBTOTAL(109,SuiviEquipes[Colonne332])</f>
        <v>34</v>
      </c>
      <c r="LW51" s="28">
        <f>SUBTOTAL(109,SuiviEquipes[Colonne333])</f>
        <v>34</v>
      </c>
      <c r="LX51" s="28">
        <f>SUBTOTAL(109,SuiviEquipes[Colonne334])</f>
        <v>34</v>
      </c>
      <c r="LY51" s="28">
        <f>SUBTOTAL(109,SuiviEquipes[Colonne335])</f>
        <v>34</v>
      </c>
      <c r="LZ51" s="28">
        <f>SUBTOTAL(109,SuiviEquipes[Colonne336])</f>
        <v>0</v>
      </c>
      <c r="MA51" s="28">
        <f>SUBTOTAL(109,SuiviEquipes[Colonne337])</f>
        <v>0</v>
      </c>
      <c r="MB51" s="28">
        <f>SUBTOTAL(109,SuiviEquipes[Colonne338])</f>
        <v>34</v>
      </c>
      <c r="MC51" s="28">
        <f>SUBTOTAL(109,SuiviEquipes[Colonne339])</f>
        <v>34</v>
      </c>
      <c r="MD51" s="28">
        <f>SUBTOTAL(109,SuiviEquipes[Colonne340])</f>
        <v>34</v>
      </c>
      <c r="ME51" s="28">
        <f>SUBTOTAL(109,SuiviEquipes[Colonne341])</f>
        <v>34</v>
      </c>
      <c r="MF51" s="28">
        <f>SUBTOTAL(109,SuiviEquipes[Colonne342])</f>
        <v>34</v>
      </c>
      <c r="MG51" s="28">
        <f>SUBTOTAL(109,SuiviEquipes[Colonne343])</f>
        <v>0</v>
      </c>
      <c r="MH51" s="28">
        <f>SUBTOTAL(109,SuiviEquipes[Colonne344])</f>
        <v>0</v>
      </c>
      <c r="MI51" s="28">
        <f>SUBTOTAL(109,SuiviEquipes[Colonne345])</f>
        <v>34</v>
      </c>
      <c r="MJ51" s="28">
        <f>SUBTOTAL(109,SuiviEquipes[Colonne346])</f>
        <v>34</v>
      </c>
      <c r="MK51" s="28">
        <f>SUBTOTAL(109,SuiviEquipes[Colonne347])</f>
        <v>34</v>
      </c>
      <c r="ML51" s="28">
        <f>SUBTOTAL(109,SuiviEquipes[Colonne348])</f>
        <v>34</v>
      </c>
      <c r="MM51" s="28">
        <f>SUBTOTAL(109,SuiviEquipes[Colonne349])</f>
        <v>34</v>
      </c>
      <c r="MN51" s="28">
        <f>SUBTOTAL(109,SuiviEquipes[Colonne350])</f>
        <v>0</v>
      </c>
      <c r="MO51" s="28">
        <f>SUBTOTAL(109,SuiviEquipes[Colonne351])</f>
        <v>0</v>
      </c>
      <c r="MP51" s="28">
        <f>SUBTOTAL(109,SuiviEquipes[Colonne352])</f>
        <v>34</v>
      </c>
      <c r="MQ51" s="28">
        <f>SUBTOTAL(109,SuiviEquipes[Colonne353])</f>
        <v>34</v>
      </c>
      <c r="MR51" s="28">
        <f>SUBTOTAL(109,SuiviEquipes[Colonne354])</f>
        <v>34</v>
      </c>
      <c r="MS51" s="28">
        <f>SUBTOTAL(109,SuiviEquipes[Colonne355])</f>
        <v>34</v>
      </c>
      <c r="MT51" s="28">
        <f>SUBTOTAL(109,SuiviEquipes[Colonne356])</f>
        <v>34</v>
      </c>
      <c r="MU51" s="28">
        <f>SUBTOTAL(109,SuiviEquipes[Colonne357])</f>
        <v>0</v>
      </c>
      <c r="MV51" s="28">
        <f>SUBTOTAL(109,SuiviEquipes[Colonne358])</f>
        <v>0</v>
      </c>
      <c r="MW51" s="28">
        <f>SUBTOTAL(109,SuiviEquipes[Colonne359])</f>
        <v>34</v>
      </c>
      <c r="MX51" s="28">
        <f>SUBTOTAL(109,SuiviEquipes[Colonne360])</f>
        <v>34</v>
      </c>
      <c r="MY51" s="28">
        <f>SUBTOTAL(109,SuiviEquipes[Colonne361])</f>
        <v>34</v>
      </c>
      <c r="MZ51" s="28">
        <f>SUBTOTAL(109,SuiviEquipes[Colonne362])</f>
        <v>34</v>
      </c>
      <c r="NA51" s="28">
        <f>SUBTOTAL(109,SuiviEquipes[Colonne363])</f>
        <v>34</v>
      </c>
      <c r="NB51" s="28">
        <f>SUBTOTAL(109,SuiviEquipes[Colonne364])</f>
        <v>0</v>
      </c>
      <c r="NC51" s="28">
        <f>SUBTOTAL(109,SuiviEquipes[Colonne365])</f>
        <v>0</v>
      </c>
      <c r="ND51" s="28">
        <f>SUBTOTAL(109,SuiviEquipes[Colonne366])</f>
        <v>34</v>
      </c>
      <c r="NE51" s="28">
        <f>SUBTOTAL(109,SuiviEquipes[Colonne367])</f>
        <v>34</v>
      </c>
      <c r="NF51" s="28">
        <f>SUBTOTAL(109,SuiviEquipes[Colonne368])</f>
        <v>34</v>
      </c>
      <c r="NG51" s="28">
        <f>SUBTOTAL(109,SuiviEquipes[Colonne369])</f>
        <v>34</v>
      </c>
      <c r="NH51" s="28">
        <f>SUBTOTAL(109,SuiviEquipes[Colonne370])</f>
        <v>34</v>
      </c>
      <c r="NI51" s="28">
        <f>SUBTOTAL(109,SuiviEquipes[Colonne371])</f>
        <v>0</v>
      </c>
      <c r="NJ51" s="28">
        <f>SUBTOTAL(109,SuiviEquipes[Colonne372])</f>
        <v>0</v>
      </c>
      <c r="NK51" s="28">
        <f>SUBTOTAL(109,SuiviEquipes[Colonne373])</f>
        <v>34</v>
      </c>
      <c r="NL51" s="28">
        <f>SUBTOTAL(109,SuiviEquipes[Colonne374])</f>
        <v>34</v>
      </c>
      <c r="NM51" s="28">
        <f>SUBTOTAL(109,SuiviEquipes[Colonne375])</f>
        <v>34</v>
      </c>
      <c r="NN51" s="28">
        <f>SUBTOTAL(109,SuiviEquipes[Colonne376])</f>
        <v>34</v>
      </c>
      <c r="NO51" s="28">
        <f>SUBTOTAL(109,SuiviEquipes[Colonne377])</f>
        <v>34</v>
      </c>
      <c r="NP51" s="28">
        <f>SUBTOTAL(109,SuiviEquipes[Colonne378])</f>
        <v>0</v>
      </c>
      <c r="NQ51" s="28">
        <f>SUBTOTAL(109,SuiviEquipes[Colonne379])</f>
        <v>0</v>
      </c>
      <c r="NR51" s="28">
        <f>SUBTOTAL(109,SuiviEquipes[Colonne380])</f>
        <v>34</v>
      </c>
      <c r="NS51" s="28">
        <f>SUBTOTAL(109,SuiviEquipes[Colonne381])</f>
        <v>34</v>
      </c>
      <c r="NT51" s="28">
        <f>SUBTOTAL(109,SuiviEquipes[Colonne382])</f>
        <v>34</v>
      </c>
      <c r="NU51" s="28">
        <f>SUBTOTAL(109,SuiviEquipes[Colonne383])</f>
        <v>34</v>
      </c>
      <c r="NV51" s="28">
        <f>SUBTOTAL(109,SuiviEquipes[Colonne384])</f>
        <v>33.5</v>
      </c>
      <c r="NW51" s="28">
        <f>SUBTOTAL(109,SuiviEquipes[Colonne385])</f>
        <v>0</v>
      </c>
      <c r="NX51" s="28">
        <f>SUBTOTAL(109,SuiviEquipes[Colonne386])</f>
        <v>0</v>
      </c>
      <c r="NY51" s="28">
        <f>SUBTOTAL(109,SuiviEquipes[Colonne387])</f>
        <v>31</v>
      </c>
      <c r="NZ51" s="28">
        <f>SUBTOTAL(109,SuiviEquipes[Colonne388])</f>
        <v>30</v>
      </c>
      <c r="OA51" s="28">
        <f>SUBTOTAL(109,SuiviEquipes[Colonne389])</f>
        <v>30</v>
      </c>
      <c r="OB51" s="28">
        <f>SUBTOTAL(109,SuiviEquipes[Colonne390])</f>
        <v>0</v>
      </c>
      <c r="OC51" s="28">
        <f>SUBTOTAL(109,SuiviEquipes[Colonne391])</f>
        <v>31</v>
      </c>
      <c r="OD51" s="28">
        <f>SUBTOTAL(109,SuiviEquipes[Colonne392])</f>
        <v>0</v>
      </c>
      <c r="OE51" s="28">
        <f>SUBTOTAL(109,SuiviEquipes[Colonne393])</f>
        <v>0</v>
      </c>
      <c r="OF51" s="28">
        <f>SUBTOTAL(109,SuiviEquipes[Colonne394])</f>
        <v>31</v>
      </c>
      <c r="OG51" s="28">
        <f>SUBTOTAL(109,SuiviEquipes[Colonne395])</f>
        <v>31</v>
      </c>
      <c r="OH51" s="28">
        <f>SUBTOTAL(109,SuiviEquipes[Colonne396])</f>
        <v>32</v>
      </c>
    </row>
    <row r="52" spans="1:399" s="3" customFormat="1" x14ac:dyDescent="0.3">
      <c r="A52" s="4"/>
      <c r="B52" s="4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8"/>
      <c r="AJ52" s="18"/>
      <c r="AK52" s="18"/>
      <c r="AL52" s="18"/>
      <c r="AM52" s="18"/>
      <c r="AN52" s="18"/>
      <c r="AO52" s="18"/>
      <c r="AP52" s="18"/>
      <c r="AQ52" s="18"/>
      <c r="AR52" s="18"/>
      <c r="AS52" s="18"/>
      <c r="AT52" s="18"/>
      <c r="AU52" s="18"/>
      <c r="AV52" s="18"/>
      <c r="AW52" s="18"/>
      <c r="AX52" s="18"/>
      <c r="AY52" s="18"/>
      <c r="AZ52" s="18"/>
      <c r="BA52" s="18"/>
      <c r="BB52" s="18"/>
      <c r="BC52" s="18"/>
      <c r="BD52" s="18"/>
      <c r="BE52" s="18"/>
      <c r="BF52" s="18"/>
      <c r="BG52" s="18"/>
      <c r="BH52" s="18"/>
      <c r="BI52" s="18"/>
      <c r="BJ52" s="18"/>
      <c r="BK52" s="18"/>
      <c r="BL52" s="18"/>
      <c r="BM52" s="18"/>
      <c r="BN52" s="18"/>
      <c r="BO52" s="18"/>
      <c r="BP52" s="18"/>
      <c r="BQ52" s="18"/>
      <c r="BR52" s="18"/>
      <c r="BS52" s="18"/>
      <c r="BT52" s="19"/>
      <c r="BU52" s="18"/>
      <c r="BV52" s="18"/>
      <c r="BW52" s="18"/>
      <c r="BX52" s="18"/>
      <c r="BY52" s="18"/>
      <c r="BZ52" s="18"/>
      <c r="CA52" s="18"/>
      <c r="CB52" s="18"/>
      <c r="CC52" s="18"/>
      <c r="CD52" s="18"/>
      <c r="CE52" s="18"/>
      <c r="CF52" s="18"/>
      <c r="CG52" s="18"/>
      <c r="CH52" s="18"/>
      <c r="CI52" s="18"/>
      <c r="CJ52" s="18"/>
      <c r="CK52" s="18"/>
      <c r="CL52" s="18"/>
      <c r="CM52" s="18"/>
      <c r="CN52" s="18"/>
      <c r="CO52" s="18"/>
      <c r="CP52" s="18"/>
      <c r="CQ52" s="18"/>
      <c r="CR52" s="18"/>
      <c r="CS52" s="18"/>
      <c r="CT52" s="18"/>
      <c r="CU52" s="18"/>
      <c r="CV52" s="18"/>
      <c r="CW52" s="18"/>
      <c r="CX52" s="18"/>
      <c r="CY52" s="18"/>
      <c r="CZ52" s="18"/>
      <c r="DA52" s="18"/>
      <c r="DB52" s="18"/>
      <c r="DC52" s="18"/>
      <c r="DD52" s="18"/>
      <c r="DE52" s="18"/>
      <c r="DF52" s="18"/>
      <c r="DG52" s="18"/>
      <c r="DH52" s="18"/>
      <c r="DI52" s="18"/>
      <c r="DJ52" s="18"/>
      <c r="DK52" s="18"/>
      <c r="DL52" s="18"/>
      <c r="DM52" s="18"/>
      <c r="DN52" s="17"/>
      <c r="DO52" s="17"/>
      <c r="DP52" s="17"/>
      <c r="DQ52" s="17"/>
      <c r="DR52" s="17"/>
      <c r="DS52" s="17"/>
      <c r="DT52" s="17"/>
      <c r="DU52" s="17"/>
      <c r="DV52" s="17"/>
      <c r="DW52" s="17"/>
      <c r="DX52" s="17"/>
      <c r="DY52" s="17"/>
      <c r="DZ52" s="17"/>
      <c r="EA52" s="17"/>
      <c r="EB52" s="17"/>
      <c r="EC52" s="17"/>
      <c r="ED52" s="17"/>
      <c r="EE52" s="17"/>
      <c r="EF52" s="17"/>
      <c r="EG52" s="17"/>
      <c r="EH52" s="17"/>
      <c r="EI52" s="17"/>
      <c r="EJ52" s="17"/>
      <c r="EK52" s="17"/>
      <c r="EL52" s="17"/>
      <c r="EM52" s="17"/>
      <c r="EN52" s="17"/>
      <c r="EO52" s="17"/>
      <c r="EP52" s="17"/>
      <c r="EQ52" s="17"/>
      <c r="ER52" s="17"/>
      <c r="ES52" s="17"/>
      <c r="ET52" s="17"/>
      <c r="EU52" s="17"/>
      <c r="EV52" s="17"/>
      <c r="EW52" s="17"/>
      <c r="EX52" s="17"/>
      <c r="EY52" s="17"/>
      <c r="EZ52" s="17"/>
      <c r="FA52" s="17"/>
      <c r="FB52" s="17"/>
      <c r="FC52" s="17"/>
      <c r="FD52" s="17"/>
      <c r="FE52" s="17"/>
      <c r="FF52" s="17"/>
      <c r="FG52" s="17"/>
      <c r="FH52" s="17"/>
      <c r="FI52" s="17"/>
      <c r="FJ52" s="17"/>
      <c r="FK52" s="17"/>
      <c r="FL52" s="17"/>
      <c r="FM52" s="17"/>
      <c r="FN52" s="17"/>
      <c r="FO52" s="17"/>
      <c r="FP52" s="17"/>
      <c r="FQ52" s="17"/>
      <c r="FR52" s="17"/>
      <c r="FS52" s="17"/>
      <c r="FT52" s="17"/>
      <c r="FU52" s="17"/>
      <c r="FV52" s="17"/>
      <c r="FW52" s="17"/>
      <c r="FX52" s="17"/>
      <c r="FY52" s="17"/>
      <c r="FZ52" s="17"/>
      <c r="GA52" s="17"/>
      <c r="GB52" s="17"/>
      <c r="GC52" s="17"/>
      <c r="GD52" s="17"/>
      <c r="GE52" s="17"/>
      <c r="GF52" s="17"/>
      <c r="GG52" s="17"/>
      <c r="GH52" s="17"/>
      <c r="GI52" s="17"/>
      <c r="GJ52" s="17"/>
      <c r="GK52" s="17"/>
      <c r="GL52" s="17"/>
      <c r="GM52" s="17"/>
      <c r="GN52" s="17"/>
      <c r="GO52" s="17"/>
      <c r="GP52" s="17"/>
      <c r="GQ52" s="17"/>
      <c r="GR52" s="17"/>
      <c r="GS52" s="17"/>
      <c r="GT52" s="17"/>
      <c r="GU52" s="17"/>
      <c r="GV52" s="17"/>
      <c r="GW52" s="17"/>
      <c r="GX52" s="17"/>
      <c r="GY52" s="17"/>
      <c r="GZ52" s="17"/>
      <c r="HA52" s="17"/>
      <c r="HB52" s="17"/>
      <c r="HC52" s="17"/>
      <c r="HD52" s="17"/>
      <c r="HE52" s="17"/>
      <c r="HF52" s="17"/>
      <c r="HG52" s="17"/>
      <c r="HH52" s="17"/>
      <c r="HI52" s="17"/>
      <c r="HJ52" s="17"/>
      <c r="HK52" s="17"/>
      <c r="HL52" s="17"/>
      <c r="HM52" s="17"/>
      <c r="HN52" s="17"/>
      <c r="HO52" s="17"/>
      <c r="HP52" s="17"/>
      <c r="HQ52" s="17"/>
      <c r="HR52" s="17"/>
      <c r="HS52" s="17"/>
      <c r="HT52" s="17"/>
      <c r="HU52" s="17"/>
      <c r="HV52" s="17"/>
      <c r="HW52" s="17"/>
      <c r="HX52" s="17"/>
      <c r="HY52" s="17"/>
      <c r="HZ52" s="17"/>
      <c r="IA52" s="17"/>
      <c r="IB52" s="17"/>
      <c r="IC52" s="17"/>
      <c r="ID52" s="17"/>
      <c r="IE52" s="17"/>
      <c r="IF52" s="17"/>
      <c r="IG52" s="17"/>
      <c r="IH52" s="17"/>
      <c r="II52" s="17"/>
      <c r="IJ52" s="17"/>
      <c r="IK52" s="17"/>
      <c r="IL52" s="17"/>
      <c r="IM52" s="17"/>
      <c r="IN52" s="17"/>
      <c r="IO52" s="17"/>
      <c r="IP52" s="17"/>
      <c r="IQ52" s="17"/>
      <c r="IR52" s="17"/>
      <c r="IS52" s="17"/>
      <c r="IT52" s="17"/>
      <c r="IU52" s="17"/>
      <c r="IV52" s="17"/>
      <c r="IW52" s="17"/>
      <c r="IX52" s="17"/>
      <c r="IY52" s="17"/>
      <c r="IZ52" s="17"/>
      <c r="JA52" s="17"/>
      <c r="JB52" s="17"/>
      <c r="JC52" s="17"/>
      <c r="JD52" s="17"/>
      <c r="JE52" s="17"/>
      <c r="JF52" s="17"/>
      <c r="JG52" s="17"/>
      <c r="JH52" s="17"/>
      <c r="JI52" s="17"/>
      <c r="JJ52" s="17"/>
      <c r="JK52" s="17"/>
      <c r="JL52" s="17"/>
      <c r="JM52" s="17"/>
      <c r="JN52" s="17"/>
      <c r="JO52" s="17"/>
      <c r="JP52" s="17"/>
      <c r="JQ52" s="17"/>
      <c r="JR52" s="17"/>
      <c r="JS52" s="17"/>
      <c r="JT52" s="17"/>
      <c r="JU52" s="17"/>
      <c r="JV52" s="17"/>
      <c r="JW52" s="17"/>
      <c r="JX52" s="17"/>
      <c r="JY52" s="17"/>
      <c r="JZ52" s="17"/>
      <c r="KA52" s="17"/>
      <c r="KB52" s="17"/>
      <c r="KC52" s="17"/>
      <c r="KD52" s="17"/>
      <c r="KE52" s="17"/>
      <c r="KF52" s="17"/>
      <c r="KG52" s="17"/>
      <c r="KH52" s="17"/>
      <c r="KI52" s="17"/>
      <c r="KJ52" s="17"/>
      <c r="KK52" s="17"/>
      <c r="KL52" s="17"/>
      <c r="KM52" s="17"/>
      <c r="KN52" s="17"/>
      <c r="KO52" s="17"/>
      <c r="KP52" s="17"/>
      <c r="KQ52" s="17"/>
      <c r="KR52" s="17"/>
      <c r="KS52" s="17"/>
      <c r="KT52" s="17"/>
      <c r="KU52" s="17"/>
      <c r="KV52" s="17"/>
      <c r="KW52" s="17"/>
      <c r="KX52" s="17"/>
      <c r="KY52" s="17"/>
      <c r="KZ52" s="17"/>
      <c r="LA52" s="17"/>
      <c r="LB52" s="17"/>
      <c r="LC52" s="17"/>
      <c r="LD52" s="17"/>
      <c r="LE52" s="17"/>
      <c r="LF52" s="17"/>
      <c r="LG52" s="17"/>
      <c r="LH52" s="17"/>
      <c r="LI52" s="17"/>
      <c r="LJ52" s="17"/>
      <c r="LK52" s="17"/>
      <c r="LL52" s="17"/>
      <c r="LM52" s="17"/>
      <c r="LN52" s="17"/>
      <c r="LO52" s="17"/>
      <c r="LP52" s="17"/>
      <c r="LQ52" s="17"/>
      <c r="LR52" s="17"/>
      <c r="LS52" s="17"/>
      <c r="LT52" s="17"/>
      <c r="LU52" s="17"/>
      <c r="LV52" s="17"/>
      <c r="LW52" s="17"/>
      <c r="LX52" s="17"/>
      <c r="LY52" s="17"/>
      <c r="LZ52" s="17"/>
      <c r="MA52" s="17"/>
      <c r="MB52" s="17"/>
      <c r="MC52" s="17"/>
      <c r="MD52" s="17"/>
      <c r="ME52" s="17"/>
      <c r="MF52" s="17"/>
      <c r="MG52" s="17"/>
      <c r="MH52" s="17"/>
      <c r="MI52" s="17"/>
      <c r="MJ52" s="17"/>
      <c r="MK52" s="17"/>
      <c r="ML52" s="17"/>
      <c r="MM52" s="17"/>
      <c r="MN52" s="17"/>
      <c r="MO52" s="17"/>
      <c r="MP52" s="17"/>
      <c r="MQ52" s="17"/>
      <c r="MR52" s="17"/>
      <c r="MS52" s="17"/>
      <c r="MT52" s="17"/>
      <c r="MU52" s="17"/>
      <c r="MV52" s="17"/>
      <c r="MW52" s="17"/>
      <c r="MX52" s="17"/>
      <c r="MY52" s="17"/>
      <c r="MZ52" s="17"/>
      <c r="NA52" s="17"/>
      <c r="NB52" s="17"/>
      <c r="NC52" s="17"/>
      <c r="ND52" s="17"/>
      <c r="NE52" s="17"/>
      <c r="NF52" s="17"/>
      <c r="NG52" s="17"/>
      <c r="NH52" s="17"/>
      <c r="NI52" s="17"/>
      <c r="NJ52" s="17"/>
      <c r="NK52" s="17"/>
      <c r="NL52" s="18"/>
      <c r="NM52" s="18"/>
      <c r="NN52" s="18"/>
      <c r="NO52" s="18"/>
      <c r="NP52" s="18"/>
      <c r="NQ52" s="18"/>
      <c r="NR52" s="18"/>
      <c r="NS52" s="18"/>
      <c r="NT52" s="18"/>
      <c r="NU52" s="18"/>
      <c r="NV52" s="18"/>
      <c r="NW52" s="18"/>
      <c r="NX52" s="18"/>
      <c r="NY52" s="18"/>
      <c r="NZ52" s="17"/>
      <c r="OA52" s="17"/>
      <c r="OB52" s="17"/>
      <c r="OC52" s="17"/>
      <c r="OD52" s="17"/>
      <c r="OE52" s="17"/>
      <c r="OF52" s="17"/>
      <c r="OG52" s="17"/>
      <c r="OH52" s="17"/>
    </row>
    <row r="53" spans="1:399" s="3" customFormat="1" x14ac:dyDescent="0.3">
      <c r="C53" s="20"/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  <c r="AA53" s="20"/>
      <c r="AB53" s="20"/>
      <c r="AC53" s="20"/>
      <c r="AD53" s="20"/>
      <c r="AE53" s="20"/>
      <c r="AF53" s="20"/>
      <c r="AG53" s="20"/>
      <c r="AH53" s="20"/>
      <c r="AI53" s="16"/>
      <c r="AJ53" s="16"/>
      <c r="AK53" s="16"/>
      <c r="AL53" s="16"/>
      <c r="AM53" s="16"/>
      <c r="AN53" s="16"/>
      <c r="AO53" s="16"/>
      <c r="AP53" s="16"/>
      <c r="AQ53" s="16"/>
      <c r="AR53" s="16"/>
      <c r="AS53" s="16"/>
      <c r="AT53" s="16"/>
      <c r="AU53" s="16"/>
      <c r="AV53" s="16"/>
      <c r="AW53" s="16"/>
      <c r="AX53" s="16"/>
      <c r="AY53" s="16"/>
      <c r="AZ53" s="16"/>
      <c r="BA53" s="16"/>
      <c r="BB53" s="16"/>
      <c r="BC53" s="16"/>
      <c r="BD53" s="16"/>
      <c r="BE53" s="16"/>
      <c r="BF53" s="16"/>
      <c r="BG53" s="16"/>
      <c r="BH53" s="16"/>
      <c r="BI53" s="16"/>
      <c r="BJ53" s="16"/>
      <c r="BK53" s="16"/>
      <c r="BL53" s="16"/>
      <c r="BM53" s="16"/>
      <c r="BN53" s="16"/>
      <c r="BO53" s="16"/>
      <c r="BP53" s="16"/>
      <c r="BQ53" s="16"/>
      <c r="BR53" s="16"/>
      <c r="BS53" s="16"/>
      <c r="BT53" s="16"/>
      <c r="BU53" s="16"/>
      <c r="BV53" s="16"/>
      <c r="BW53" s="16"/>
      <c r="BX53" s="16"/>
      <c r="BY53" s="16"/>
      <c r="BZ53" s="16"/>
      <c r="CA53" s="16"/>
      <c r="CB53" s="16"/>
      <c r="CC53" s="16"/>
      <c r="CD53" s="16"/>
      <c r="CE53" s="16"/>
      <c r="CF53" s="16"/>
      <c r="CG53" s="16"/>
      <c r="CH53" s="16"/>
      <c r="CI53" s="16"/>
      <c r="CJ53" s="16"/>
      <c r="CK53" s="16"/>
      <c r="CL53" s="16"/>
      <c r="CM53" s="16"/>
      <c r="CN53" s="16"/>
      <c r="CO53" s="16"/>
      <c r="CP53" s="16"/>
      <c r="CQ53" s="16"/>
      <c r="CR53" s="16"/>
      <c r="CS53" s="16"/>
      <c r="CT53" s="16"/>
      <c r="CU53" s="16"/>
      <c r="CV53" s="16"/>
      <c r="CW53" s="16"/>
      <c r="CX53" s="16"/>
      <c r="CY53" s="16"/>
      <c r="CZ53" s="16"/>
      <c r="DA53" s="16"/>
      <c r="DB53" s="16"/>
      <c r="DC53" s="16"/>
      <c r="DD53" s="16"/>
      <c r="DE53" s="16"/>
      <c r="DF53" s="16"/>
      <c r="DG53" s="16"/>
      <c r="DH53" s="16"/>
      <c r="DI53" s="16"/>
      <c r="DJ53" s="16"/>
      <c r="DK53" s="16"/>
      <c r="DL53" s="16"/>
      <c r="DM53" s="16"/>
      <c r="DN53" s="20"/>
      <c r="DO53" s="20"/>
      <c r="DP53" s="20"/>
      <c r="DQ53" s="20"/>
      <c r="DR53" s="20"/>
      <c r="DS53" s="20"/>
      <c r="DT53" s="20"/>
      <c r="DU53" s="20"/>
      <c r="DV53" s="20"/>
      <c r="DW53" s="20"/>
      <c r="DX53" s="20"/>
      <c r="DY53" s="20"/>
      <c r="DZ53" s="20"/>
      <c r="EA53" s="20"/>
      <c r="EB53" s="20"/>
      <c r="EC53" s="20"/>
      <c r="ED53" s="20"/>
      <c r="EE53" s="20"/>
      <c r="EF53" s="20"/>
      <c r="EG53" s="20"/>
      <c r="EH53" s="20"/>
      <c r="EI53" s="20"/>
      <c r="EJ53" s="20"/>
      <c r="EK53" s="20"/>
      <c r="EL53" s="20"/>
      <c r="EM53" s="20"/>
      <c r="EN53" s="20"/>
      <c r="EO53" s="20"/>
      <c r="EP53" s="20"/>
      <c r="EQ53" s="20"/>
      <c r="ER53" s="20"/>
      <c r="ES53" s="20"/>
      <c r="ET53" s="20"/>
      <c r="EU53" s="20"/>
      <c r="EV53" s="20"/>
      <c r="EW53" s="20"/>
      <c r="EX53" s="20"/>
      <c r="EY53" s="20"/>
      <c r="EZ53" s="20"/>
      <c r="FA53" s="20"/>
      <c r="FB53" s="20"/>
      <c r="FC53" s="20"/>
      <c r="FD53" s="20"/>
      <c r="FE53" s="20"/>
      <c r="FF53" s="20"/>
      <c r="FG53" s="20"/>
      <c r="FH53" s="20"/>
      <c r="FI53" s="20"/>
      <c r="FJ53" s="20"/>
      <c r="FK53" s="20"/>
      <c r="FL53" s="20"/>
      <c r="FM53" s="20"/>
      <c r="FN53" s="20"/>
      <c r="FO53" s="20"/>
      <c r="FP53" s="20"/>
      <c r="FQ53" s="20"/>
      <c r="FR53" s="20"/>
      <c r="FS53" s="20"/>
      <c r="FT53" s="20"/>
      <c r="FU53" s="20"/>
      <c r="FV53" s="20"/>
      <c r="FW53" s="20"/>
      <c r="FX53" s="20"/>
      <c r="FY53" s="20"/>
      <c r="FZ53" s="20"/>
      <c r="GA53" s="20"/>
      <c r="GB53" s="20"/>
      <c r="GC53" s="20"/>
      <c r="GD53" s="20"/>
      <c r="GE53" s="20"/>
      <c r="GF53" s="20"/>
      <c r="GG53" s="20"/>
      <c r="GH53" s="20"/>
      <c r="GI53" s="20"/>
      <c r="GJ53" s="20"/>
      <c r="GK53" s="20"/>
      <c r="GL53" s="20"/>
      <c r="GM53" s="20"/>
      <c r="GN53" s="20"/>
      <c r="GO53" s="20"/>
      <c r="GP53" s="20"/>
      <c r="GQ53" s="20"/>
      <c r="GR53" s="20"/>
      <c r="GS53" s="20"/>
      <c r="GT53" s="20"/>
      <c r="GU53" s="20"/>
      <c r="GV53" s="20"/>
      <c r="GW53" s="20"/>
      <c r="GX53" s="20"/>
      <c r="GY53" s="20"/>
      <c r="GZ53" s="20"/>
      <c r="HA53" s="20"/>
      <c r="HB53" s="20"/>
      <c r="HC53" s="20"/>
      <c r="HD53" s="20"/>
      <c r="HE53" s="20"/>
      <c r="HF53" s="20"/>
      <c r="HG53" s="20"/>
      <c r="HH53" s="20"/>
      <c r="HI53" s="20"/>
      <c r="HJ53" s="20"/>
      <c r="HK53" s="20"/>
      <c r="HL53" s="20"/>
      <c r="HM53" s="20"/>
      <c r="HN53" s="20"/>
      <c r="HO53" s="20"/>
      <c r="HP53" s="20"/>
      <c r="HQ53" s="20"/>
      <c r="HR53" s="20"/>
      <c r="HS53" s="20"/>
      <c r="HT53" s="20"/>
      <c r="HU53" s="20"/>
      <c r="HV53" s="20"/>
      <c r="HW53" s="20"/>
      <c r="HX53" s="20"/>
      <c r="HY53" s="20"/>
      <c r="HZ53" s="20"/>
      <c r="IA53" s="20"/>
      <c r="IB53" s="20"/>
      <c r="IC53" s="20"/>
      <c r="ID53" s="20"/>
      <c r="IE53" s="20"/>
      <c r="IF53" s="20"/>
      <c r="IG53" s="20"/>
      <c r="IH53" s="20"/>
      <c r="II53" s="20"/>
      <c r="IJ53" s="20"/>
      <c r="IK53" s="20"/>
      <c r="IL53" s="20"/>
      <c r="IM53" s="20"/>
      <c r="IN53" s="20"/>
      <c r="IO53" s="20"/>
      <c r="IP53" s="20"/>
      <c r="IQ53" s="20"/>
      <c r="IR53" s="20"/>
      <c r="IS53" s="20"/>
      <c r="IT53" s="20"/>
      <c r="IU53" s="20"/>
      <c r="IV53" s="20"/>
      <c r="IW53" s="20"/>
      <c r="IX53" s="20"/>
      <c r="IY53" s="20"/>
      <c r="IZ53" s="20"/>
      <c r="JA53" s="20"/>
      <c r="JB53" s="20"/>
      <c r="JC53" s="20"/>
      <c r="JD53" s="20"/>
      <c r="JE53" s="20"/>
      <c r="JF53" s="20"/>
      <c r="JG53" s="20"/>
      <c r="JH53" s="20"/>
      <c r="JI53" s="20"/>
      <c r="JJ53" s="20"/>
      <c r="JK53" s="20"/>
      <c r="JL53" s="20"/>
      <c r="JM53" s="20"/>
      <c r="JN53" s="20"/>
      <c r="JO53" s="20"/>
      <c r="JP53" s="20"/>
      <c r="JQ53" s="20"/>
      <c r="JR53" s="20"/>
      <c r="JS53" s="20"/>
      <c r="JT53" s="20"/>
      <c r="JU53" s="20"/>
      <c r="JV53" s="20"/>
      <c r="JW53" s="20"/>
      <c r="JX53" s="20"/>
      <c r="JY53" s="20"/>
      <c r="JZ53" s="20"/>
      <c r="KA53" s="20"/>
      <c r="KB53" s="20"/>
      <c r="KC53" s="20"/>
      <c r="KD53" s="20"/>
      <c r="KE53" s="20"/>
      <c r="KF53" s="20"/>
      <c r="KG53" s="20"/>
      <c r="KH53" s="20"/>
      <c r="KI53" s="20"/>
      <c r="KJ53" s="20"/>
      <c r="KK53" s="20"/>
      <c r="KL53" s="20"/>
      <c r="KM53" s="20"/>
      <c r="KN53" s="20"/>
      <c r="KO53" s="20"/>
      <c r="KP53" s="20"/>
      <c r="KQ53" s="20"/>
      <c r="KR53" s="20"/>
      <c r="KS53" s="20"/>
      <c r="KT53" s="20"/>
      <c r="KU53" s="20"/>
      <c r="KV53" s="20"/>
      <c r="KW53" s="20"/>
      <c r="KX53" s="20"/>
      <c r="KY53" s="20"/>
      <c r="KZ53" s="20"/>
      <c r="LA53" s="20"/>
      <c r="LB53" s="20"/>
      <c r="LC53" s="20"/>
      <c r="LD53" s="20"/>
      <c r="LE53" s="20"/>
      <c r="LF53" s="20"/>
      <c r="LG53" s="20"/>
      <c r="LH53" s="20"/>
      <c r="LI53" s="20"/>
      <c r="LJ53" s="20"/>
      <c r="LK53" s="20"/>
      <c r="LL53" s="20"/>
      <c r="LM53" s="20"/>
      <c r="LN53" s="20"/>
      <c r="LO53" s="20"/>
      <c r="LP53" s="20"/>
      <c r="LQ53" s="20"/>
      <c r="LR53" s="20"/>
      <c r="LS53" s="20"/>
      <c r="LT53" s="20"/>
      <c r="LU53" s="20"/>
      <c r="LV53" s="20"/>
      <c r="LW53" s="20"/>
      <c r="LX53" s="20"/>
      <c r="LY53" s="20"/>
      <c r="LZ53" s="20"/>
      <c r="MA53" s="20"/>
      <c r="MB53" s="20"/>
      <c r="MC53" s="20"/>
      <c r="MD53" s="20"/>
      <c r="ME53" s="20"/>
      <c r="MF53" s="20"/>
      <c r="MG53" s="20"/>
      <c r="MH53" s="20"/>
      <c r="MI53" s="20"/>
      <c r="MJ53" s="20"/>
      <c r="MK53" s="20"/>
      <c r="ML53" s="20"/>
      <c r="MM53" s="20"/>
      <c r="MN53" s="20"/>
      <c r="MO53" s="20"/>
      <c r="MP53" s="20"/>
      <c r="MQ53" s="20"/>
      <c r="MR53" s="20"/>
      <c r="MS53" s="20"/>
      <c r="MT53" s="20"/>
      <c r="MU53" s="20"/>
      <c r="MV53" s="20"/>
      <c r="MW53" s="20"/>
      <c r="MX53" s="20"/>
      <c r="MY53" s="20"/>
      <c r="MZ53" s="20"/>
      <c r="NA53" s="20"/>
      <c r="NB53" s="20"/>
      <c r="NC53" s="20"/>
      <c r="ND53" s="20"/>
      <c r="NE53" s="20"/>
      <c r="NF53" s="20"/>
      <c r="NG53" s="20"/>
      <c r="NH53" s="20"/>
      <c r="NI53" s="20"/>
      <c r="NJ53" s="20"/>
      <c r="NK53" s="20"/>
      <c r="NL53" s="16"/>
      <c r="NM53" s="16"/>
      <c r="NN53" s="16"/>
      <c r="NO53" s="16"/>
      <c r="NP53" s="16"/>
      <c r="NQ53" s="16"/>
      <c r="NR53" s="16"/>
      <c r="NS53" s="16"/>
      <c r="NT53" s="16"/>
      <c r="NU53" s="16"/>
      <c r="NV53" s="16"/>
      <c r="NW53" s="16"/>
      <c r="NX53" s="16"/>
      <c r="NY53" s="16"/>
      <c r="NZ53" s="20"/>
      <c r="OA53" s="20"/>
      <c r="OB53" s="20"/>
      <c r="OC53" s="20"/>
      <c r="OD53" s="20"/>
      <c r="OE53" s="20"/>
      <c r="OF53" s="20"/>
      <c r="OG53" s="20"/>
      <c r="OH53" s="20"/>
    </row>
    <row r="54" spans="1:399" s="3" customFormat="1" x14ac:dyDescent="0.3"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  <c r="AC54" s="20"/>
      <c r="AD54" s="20"/>
      <c r="AE54" s="20"/>
      <c r="AF54" s="20"/>
      <c r="AG54" s="20"/>
      <c r="AH54" s="20"/>
      <c r="AI54" s="16"/>
      <c r="AJ54" s="16"/>
      <c r="AK54" s="16"/>
      <c r="AL54" s="16"/>
      <c r="AM54" s="16"/>
      <c r="AN54" s="16"/>
      <c r="AO54" s="16"/>
      <c r="AP54" s="16"/>
      <c r="AQ54" s="16"/>
      <c r="AR54" s="16"/>
      <c r="AS54" s="16"/>
      <c r="AT54" s="16"/>
      <c r="AU54" s="16"/>
      <c r="AV54" s="16"/>
      <c r="AW54" s="16"/>
      <c r="AX54" s="16"/>
      <c r="AY54" s="16"/>
      <c r="AZ54" s="16"/>
      <c r="BA54" s="16"/>
      <c r="BB54" s="16"/>
      <c r="BC54" s="16"/>
      <c r="BD54" s="16"/>
      <c r="BE54" s="16"/>
      <c r="BF54" s="16"/>
      <c r="BG54" s="16"/>
      <c r="BH54" s="16"/>
      <c r="BI54" s="16"/>
      <c r="BJ54" s="16"/>
      <c r="BK54" s="16"/>
      <c r="BL54" s="16"/>
      <c r="BM54" s="16"/>
      <c r="BN54" s="16"/>
      <c r="BO54" s="16"/>
      <c r="BP54" s="16"/>
      <c r="BQ54" s="16"/>
      <c r="BR54" s="16"/>
      <c r="BS54" s="16"/>
      <c r="BT54" s="16"/>
      <c r="BU54" s="16"/>
      <c r="BV54" s="16"/>
      <c r="BW54" s="16"/>
      <c r="BX54" s="16"/>
      <c r="BY54" s="16"/>
      <c r="BZ54" s="16"/>
      <c r="CA54" s="16"/>
      <c r="CB54" s="16"/>
      <c r="CC54" s="16"/>
      <c r="CD54" s="16"/>
      <c r="CE54" s="16"/>
      <c r="CF54" s="16"/>
      <c r="CG54" s="16"/>
      <c r="CH54" s="16"/>
      <c r="CI54" s="16"/>
      <c r="CJ54" s="16"/>
      <c r="CK54" s="16"/>
      <c r="CL54" s="16"/>
      <c r="CM54" s="16"/>
      <c r="CN54" s="16"/>
      <c r="CO54" s="16"/>
      <c r="CP54" s="16"/>
      <c r="CQ54" s="16"/>
      <c r="CR54" s="16"/>
      <c r="CS54" s="16"/>
      <c r="CT54" s="16"/>
      <c r="CU54" s="16"/>
      <c r="CV54" s="16"/>
      <c r="CW54" s="16"/>
      <c r="CX54" s="16"/>
      <c r="CY54" s="16"/>
      <c r="CZ54" s="16"/>
      <c r="DA54" s="16"/>
      <c r="DB54" s="16"/>
      <c r="DC54" s="16"/>
      <c r="DD54" s="16"/>
      <c r="DE54" s="16"/>
      <c r="DF54" s="16"/>
      <c r="DG54" s="16"/>
      <c r="DH54" s="16"/>
      <c r="DI54" s="16"/>
      <c r="DJ54" s="16"/>
      <c r="DK54" s="16"/>
      <c r="DL54" s="16"/>
      <c r="DM54" s="16"/>
      <c r="DN54" s="20"/>
      <c r="DO54" s="20"/>
      <c r="DP54" s="20"/>
      <c r="DQ54" s="20"/>
      <c r="DR54" s="20"/>
      <c r="DS54" s="20"/>
      <c r="DT54" s="20"/>
      <c r="DU54" s="20"/>
      <c r="DV54" s="20"/>
      <c r="DW54" s="20"/>
      <c r="DX54" s="20"/>
      <c r="DY54" s="20"/>
      <c r="DZ54" s="20"/>
      <c r="EA54" s="20"/>
      <c r="EB54" s="20"/>
      <c r="EC54" s="20"/>
      <c r="ED54" s="20"/>
      <c r="EE54" s="20"/>
      <c r="EF54" s="20"/>
      <c r="EG54" s="20"/>
      <c r="EH54" s="20"/>
      <c r="EI54" s="20"/>
      <c r="EJ54" s="20"/>
      <c r="EK54" s="20"/>
      <c r="EL54" s="20"/>
      <c r="EM54" s="20"/>
      <c r="EN54" s="20"/>
      <c r="EO54" s="20"/>
      <c r="EP54" s="20"/>
      <c r="EQ54" s="20"/>
      <c r="ER54" s="20"/>
      <c r="ES54" s="20"/>
      <c r="ET54" s="20"/>
      <c r="EU54" s="20"/>
      <c r="EV54" s="20"/>
      <c r="EW54" s="20"/>
      <c r="EX54" s="20"/>
      <c r="EY54" s="20"/>
      <c r="EZ54" s="20"/>
      <c r="FA54" s="20"/>
      <c r="FB54" s="20"/>
      <c r="FC54" s="20"/>
      <c r="FD54" s="20"/>
      <c r="FE54" s="20"/>
      <c r="FF54" s="20"/>
      <c r="FG54" s="20"/>
      <c r="FH54" s="20"/>
      <c r="FI54" s="20"/>
      <c r="FJ54" s="20"/>
      <c r="FK54" s="20"/>
      <c r="FL54" s="20"/>
      <c r="FM54" s="20"/>
      <c r="FN54" s="20"/>
      <c r="FO54" s="20"/>
      <c r="FP54" s="20"/>
      <c r="FQ54" s="20"/>
      <c r="FR54" s="20"/>
      <c r="FS54" s="20"/>
      <c r="FT54" s="20"/>
      <c r="FU54" s="20"/>
      <c r="FV54" s="20"/>
      <c r="FW54" s="20"/>
      <c r="FX54" s="20"/>
      <c r="FY54" s="20"/>
      <c r="FZ54" s="20"/>
      <c r="GA54" s="20"/>
      <c r="GB54" s="20"/>
      <c r="GC54" s="20"/>
      <c r="GD54" s="20"/>
      <c r="GE54" s="20"/>
      <c r="GF54" s="20"/>
      <c r="GG54" s="20"/>
      <c r="GH54" s="20"/>
      <c r="GI54" s="20"/>
      <c r="GJ54" s="20"/>
      <c r="GK54" s="20"/>
      <c r="GL54" s="20"/>
      <c r="GM54" s="20"/>
      <c r="GN54" s="20"/>
      <c r="GO54" s="20"/>
      <c r="GP54" s="20"/>
      <c r="GQ54" s="20"/>
      <c r="GR54" s="20"/>
      <c r="GS54" s="20"/>
      <c r="GT54" s="20"/>
      <c r="GU54" s="20"/>
      <c r="GV54" s="20"/>
      <c r="GW54" s="20"/>
      <c r="GX54" s="20"/>
      <c r="GY54" s="20"/>
      <c r="GZ54" s="20"/>
      <c r="HA54" s="20"/>
      <c r="HB54" s="20"/>
      <c r="HC54" s="20"/>
      <c r="HD54" s="20"/>
      <c r="HE54" s="20"/>
      <c r="HF54" s="20"/>
      <c r="HG54" s="20"/>
      <c r="HH54" s="20"/>
      <c r="HI54" s="20"/>
      <c r="HJ54" s="20"/>
      <c r="HK54" s="20"/>
      <c r="HL54" s="20"/>
      <c r="HM54" s="20"/>
      <c r="HN54" s="20"/>
      <c r="HO54" s="20"/>
      <c r="HP54" s="20"/>
      <c r="HQ54" s="20"/>
      <c r="HR54" s="20"/>
      <c r="HS54" s="20"/>
      <c r="HT54" s="20"/>
      <c r="HU54" s="20"/>
      <c r="HV54" s="20"/>
      <c r="HW54" s="20"/>
      <c r="HX54" s="20"/>
      <c r="HY54" s="20"/>
      <c r="HZ54" s="20"/>
      <c r="IA54" s="20"/>
      <c r="IB54" s="20"/>
      <c r="IC54" s="20"/>
      <c r="ID54" s="20"/>
      <c r="IE54" s="20"/>
      <c r="IF54" s="20"/>
      <c r="IG54" s="20"/>
      <c r="IH54" s="20"/>
      <c r="II54" s="20"/>
      <c r="IJ54" s="20"/>
      <c r="IK54" s="20"/>
      <c r="IL54" s="20"/>
      <c r="IM54" s="20"/>
      <c r="IN54" s="20"/>
      <c r="IO54" s="20"/>
      <c r="IP54" s="20"/>
      <c r="IQ54" s="20"/>
      <c r="IR54" s="20"/>
      <c r="IS54" s="20"/>
      <c r="IT54" s="20"/>
      <c r="IU54" s="20"/>
      <c r="IV54" s="20"/>
      <c r="IW54" s="20"/>
      <c r="IX54" s="20"/>
      <c r="IY54" s="20"/>
      <c r="IZ54" s="20"/>
      <c r="JA54" s="20"/>
      <c r="JB54" s="20"/>
      <c r="JC54" s="20"/>
      <c r="JD54" s="20"/>
      <c r="JE54" s="20"/>
      <c r="JF54" s="20"/>
      <c r="JG54" s="20"/>
      <c r="JH54" s="20"/>
      <c r="JI54" s="20"/>
      <c r="JJ54" s="20"/>
      <c r="JK54" s="20"/>
      <c r="JL54" s="20"/>
      <c r="JM54" s="20"/>
      <c r="JN54" s="20"/>
      <c r="JO54" s="20"/>
      <c r="JP54" s="20"/>
      <c r="JQ54" s="20"/>
      <c r="JR54" s="20"/>
      <c r="JS54" s="20"/>
      <c r="JT54" s="20"/>
      <c r="JU54" s="20"/>
      <c r="JV54" s="20"/>
      <c r="JW54" s="20"/>
      <c r="JX54" s="20"/>
      <c r="JY54" s="20"/>
      <c r="JZ54" s="20"/>
      <c r="KA54" s="20"/>
      <c r="KB54" s="20"/>
      <c r="KC54" s="20"/>
      <c r="KD54" s="20"/>
      <c r="KE54" s="20"/>
      <c r="KF54" s="20"/>
      <c r="KG54" s="20"/>
      <c r="KH54" s="20"/>
      <c r="KI54" s="20"/>
      <c r="KJ54" s="20"/>
      <c r="KK54" s="20"/>
      <c r="KL54" s="20"/>
      <c r="KM54" s="20"/>
      <c r="KN54" s="20"/>
      <c r="KO54" s="20"/>
      <c r="KP54" s="20"/>
      <c r="KQ54" s="20"/>
      <c r="KR54" s="20"/>
      <c r="KS54" s="20"/>
      <c r="KT54" s="20"/>
      <c r="KU54" s="20"/>
      <c r="KV54" s="20"/>
      <c r="KW54" s="20"/>
      <c r="KX54" s="20"/>
      <c r="KY54" s="20"/>
      <c r="KZ54" s="20"/>
      <c r="LA54" s="20"/>
      <c r="LB54" s="20"/>
      <c r="LC54" s="20"/>
      <c r="LD54" s="20"/>
      <c r="LE54" s="20"/>
      <c r="LF54" s="20"/>
      <c r="LG54" s="20"/>
      <c r="LH54" s="20"/>
      <c r="LI54" s="20"/>
      <c r="LJ54" s="20"/>
      <c r="LK54" s="20"/>
      <c r="LL54" s="20"/>
      <c r="LM54" s="20"/>
      <c r="LN54" s="20"/>
      <c r="LO54" s="20"/>
      <c r="LP54" s="20"/>
      <c r="LQ54" s="20"/>
      <c r="LR54" s="20"/>
      <c r="LS54" s="20"/>
      <c r="LT54" s="20"/>
      <c r="LU54" s="20"/>
      <c r="LV54" s="20"/>
      <c r="LW54" s="20"/>
      <c r="LX54" s="20"/>
      <c r="LY54" s="20"/>
      <c r="LZ54" s="20"/>
      <c r="MA54" s="20"/>
      <c r="MB54" s="20"/>
      <c r="MC54" s="20"/>
      <c r="MD54" s="20"/>
      <c r="ME54" s="20"/>
      <c r="MF54" s="20"/>
      <c r="MG54" s="20"/>
      <c r="MH54" s="20"/>
      <c r="MI54" s="20"/>
      <c r="MJ54" s="20"/>
      <c r="MK54" s="20"/>
      <c r="ML54" s="20"/>
      <c r="MM54" s="20"/>
      <c r="MN54" s="20"/>
      <c r="MO54" s="20"/>
      <c r="MP54" s="20"/>
      <c r="MQ54" s="20"/>
      <c r="MR54" s="20"/>
      <c r="MS54" s="20"/>
      <c r="MT54" s="20"/>
      <c r="MU54" s="20"/>
      <c r="MV54" s="20"/>
      <c r="MW54" s="20"/>
      <c r="MX54" s="20"/>
      <c r="MY54" s="20"/>
      <c r="MZ54" s="20"/>
      <c r="NA54" s="20"/>
      <c r="NB54" s="20"/>
      <c r="NC54" s="20"/>
      <c r="ND54" s="20"/>
      <c r="NE54" s="20"/>
      <c r="NF54" s="20"/>
      <c r="NG54" s="20"/>
      <c r="NH54" s="20"/>
      <c r="NI54" s="20"/>
      <c r="NJ54" s="20"/>
      <c r="NK54" s="20"/>
      <c r="NL54" s="16"/>
      <c r="NM54" s="16"/>
      <c r="NN54" s="16"/>
      <c r="NO54" s="16"/>
      <c r="NP54" s="16"/>
      <c r="NQ54" s="16"/>
      <c r="NR54" s="16"/>
      <c r="NS54" s="16"/>
      <c r="NT54" s="16"/>
      <c r="NU54" s="16"/>
      <c r="NV54" s="16"/>
      <c r="NW54" s="16"/>
      <c r="NX54" s="16"/>
      <c r="NY54" s="16"/>
      <c r="NZ54" s="20"/>
      <c r="OA54" s="20"/>
      <c r="OB54" s="20"/>
      <c r="OC54" s="20"/>
      <c r="OD54" s="20"/>
      <c r="OE54" s="20"/>
      <c r="OF54" s="20"/>
      <c r="OG54" s="20"/>
      <c r="OH54" s="20"/>
    </row>
    <row r="55" spans="1:399" s="3" customFormat="1" x14ac:dyDescent="0.3"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20"/>
      <c r="AC55" s="20"/>
      <c r="AD55" s="20"/>
      <c r="AE55" s="20"/>
      <c r="AF55" s="20"/>
      <c r="AG55" s="20"/>
      <c r="AH55" s="20"/>
      <c r="AI55" s="16"/>
      <c r="AJ55" s="16"/>
      <c r="AK55" s="16"/>
      <c r="AL55" s="16"/>
      <c r="AM55" s="16"/>
      <c r="AN55" s="16"/>
      <c r="AO55" s="16"/>
      <c r="AP55" s="16"/>
      <c r="AQ55" s="16"/>
      <c r="AR55" s="16"/>
      <c r="AS55" s="16"/>
      <c r="AT55" s="16"/>
      <c r="AU55" s="16"/>
      <c r="AV55" s="16"/>
      <c r="AW55" s="16"/>
      <c r="AX55" s="16"/>
      <c r="AY55" s="16"/>
      <c r="AZ55" s="16"/>
      <c r="BA55" s="16"/>
      <c r="BB55" s="16"/>
      <c r="BC55" s="16"/>
      <c r="BD55" s="16"/>
      <c r="BE55" s="16"/>
      <c r="BF55" s="16"/>
      <c r="BG55" s="16"/>
      <c r="BH55" s="16"/>
      <c r="BI55" s="16"/>
      <c r="BJ55" s="16"/>
      <c r="BK55" s="16"/>
      <c r="BL55" s="16"/>
      <c r="BM55" s="16"/>
      <c r="BN55" s="16"/>
      <c r="BO55" s="16"/>
      <c r="BP55" s="16"/>
      <c r="BQ55" s="16"/>
      <c r="BR55" s="16"/>
      <c r="BS55" s="16"/>
      <c r="BT55" s="16"/>
      <c r="BU55" s="16"/>
      <c r="BV55" s="16"/>
      <c r="BW55" s="16"/>
      <c r="BX55" s="16"/>
      <c r="BY55" s="16"/>
      <c r="BZ55" s="16"/>
      <c r="CA55" s="16"/>
      <c r="CB55" s="16"/>
      <c r="CC55" s="16"/>
      <c r="CD55" s="16"/>
      <c r="CE55" s="16"/>
      <c r="CF55" s="16"/>
      <c r="CG55" s="16"/>
      <c r="CH55" s="16"/>
      <c r="CI55" s="16"/>
      <c r="CJ55" s="16"/>
      <c r="CK55" s="16"/>
      <c r="CL55" s="16"/>
      <c r="CM55" s="16"/>
      <c r="CN55" s="16"/>
      <c r="CO55" s="16"/>
      <c r="CP55" s="16"/>
      <c r="CQ55" s="16"/>
      <c r="CR55" s="16"/>
      <c r="CS55" s="16"/>
      <c r="CT55" s="16"/>
      <c r="CU55" s="16"/>
      <c r="CV55" s="16"/>
      <c r="CW55" s="16"/>
      <c r="CX55" s="16"/>
      <c r="CY55" s="16"/>
      <c r="CZ55" s="16"/>
      <c r="DA55" s="16"/>
      <c r="DB55" s="16"/>
      <c r="DC55" s="16"/>
      <c r="DD55" s="16"/>
      <c r="DE55" s="16"/>
      <c r="DF55" s="16"/>
      <c r="DG55" s="16"/>
      <c r="DH55" s="16"/>
      <c r="DI55" s="16"/>
      <c r="DJ55" s="16"/>
      <c r="DK55" s="16"/>
      <c r="DL55" s="16"/>
      <c r="DM55" s="16"/>
      <c r="DN55" s="20"/>
      <c r="DO55" s="20"/>
      <c r="DP55" s="20"/>
      <c r="DQ55" s="20"/>
      <c r="DR55" s="20"/>
      <c r="DS55" s="20"/>
      <c r="DT55" s="20"/>
      <c r="DU55" s="20"/>
      <c r="DV55" s="20"/>
      <c r="DW55" s="20"/>
      <c r="DX55" s="20"/>
      <c r="DY55" s="20"/>
      <c r="DZ55" s="20"/>
      <c r="EA55" s="20"/>
      <c r="EB55" s="20"/>
      <c r="EC55" s="20"/>
      <c r="ED55" s="20"/>
      <c r="EE55" s="20"/>
      <c r="EF55" s="20"/>
      <c r="EG55" s="20"/>
      <c r="EH55" s="20"/>
      <c r="EI55" s="20"/>
      <c r="EJ55" s="20"/>
      <c r="EK55" s="20"/>
      <c r="EL55" s="20"/>
      <c r="EM55" s="20"/>
      <c r="EN55" s="20"/>
      <c r="EO55" s="20"/>
      <c r="EP55" s="20"/>
      <c r="EQ55" s="20"/>
      <c r="ER55" s="20"/>
      <c r="ES55" s="20"/>
      <c r="ET55" s="20"/>
      <c r="EU55" s="20"/>
      <c r="EV55" s="20"/>
      <c r="EW55" s="20"/>
      <c r="EX55" s="20"/>
      <c r="EY55" s="20"/>
      <c r="EZ55" s="20"/>
      <c r="FA55" s="20"/>
      <c r="FB55" s="20"/>
      <c r="FC55" s="20"/>
      <c r="FD55" s="20"/>
      <c r="FE55" s="20"/>
      <c r="FF55" s="20"/>
      <c r="FG55" s="20"/>
      <c r="FH55" s="20"/>
      <c r="FI55" s="20"/>
      <c r="FJ55" s="20"/>
      <c r="FK55" s="20"/>
      <c r="FL55" s="20"/>
      <c r="FM55" s="20"/>
      <c r="FN55" s="20"/>
      <c r="FO55" s="20"/>
      <c r="FP55" s="20"/>
      <c r="FQ55" s="20"/>
      <c r="FR55" s="20"/>
      <c r="FS55" s="20"/>
      <c r="FT55" s="20"/>
      <c r="FU55" s="20"/>
      <c r="FV55" s="20"/>
      <c r="FW55" s="20"/>
      <c r="FX55" s="20"/>
      <c r="FY55" s="20"/>
      <c r="FZ55" s="20"/>
      <c r="GA55" s="20"/>
      <c r="GB55" s="20"/>
      <c r="GC55" s="20"/>
      <c r="GD55" s="20"/>
      <c r="GE55" s="20"/>
      <c r="GF55" s="20"/>
      <c r="GG55" s="20"/>
      <c r="GH55" s="20"/>
      <c r="GI55" s="20"/>
      <c r="GJ55" s="20"/>
      <c r="GK55" s="20"/>
      <c r="GL55" s="20"/>
      <c r="GM55" s="20"/>
      <c r="GN55" s="20"/>
      <c r="GO55" s="20"/>
      <c r="GP55" s="20"/>
      <c r="GQ55" s="20"/>
      <c r="GR55" s="20"/>
      <c r="GS55" s="20"/>
      <c r="GT55" s="20"/>
      <c r="GU55" s="20"/>
      <c r="GV55" s="20"/>
      <c r="GW55" s="20"/>
      <c r="GX55" s="20"/>
      <c r="GY55" s="20"/>
      <c r="GZ55" s="20"/>
      <c r="HA55" s="20"/>
      <c r="HB55" s="20"/>
      <c r="HC55" s="20"/>
      <c r="HD55" s="20"/>
      <c r="HE55" s="20"/>
      <c r="HF55" s="20"/>
      <c r="HG55" s="20"/>
      <c r="HH55" s="20"/>
      <c r="HI55" s="20"/>
      <c r="HJ55" s="20"/>
      <c r="HK55" s="20"/>
      <c r="HL55" s="20"/>
      <c r="HM55" s="20"/>
      <c r="HN55" s="20"/>
      <c r="HO55" s="20"/>
      <c r="HP55" s="20"/>
      <c r="HQ55" s="20"/>
      <c r="HR55" s="20"/>
      <c r="HS55" s="20"/>
      <c r="HT55" s="20"/>
      <c r="HU55" s="20"/>
      <c r="HV55" s="20"/>
      <c r="HW55" s="20"/>
      <c r="HX55" s="20"/>
      <c r="HY55" s="20"/>
      <c r="HZ55" s="20"/>
      <c r="IA55" s="20"/>
      <c r="IB55" s="20"/>
      <c r="IC55" s="20"/>
      <c r="ID55" s="20"/>
      <c r="IE55" s="20"/>
      <c r="IF55" s="20"/>
      <c r="IG55" s="20"/>
      <c r="IH55" s="20"/>
      <c r="II55" s="20"/>
      <c r="IJ55" s="20"/>
      <c r="IK55" s="20"/>
      <c r="IL55" s="20"/>
      <c r="IM55" s="20"/>
      <c r="IN55" s="20"/>
      <c r="IO55" s="20"/>
      <c r="IP55" s="20"/>
      <c r="IQ55" s="20"/>
      <c r="IR55" s="20"/>
      <c r="IS55" s="20"/>
      <c r="IT55" s="20"/>
      <c r="IU55" s="20"/>
      <c r="IV55" s="20"/>
      <c r="IW55" s="20"/>
      <c r="IX55" s="20"/>
      <c r="IY55" s="20"/>
      <c r="IZ55" s="20"/>
      <c r="JA55" s="20"/>
      <c r="JB55" s="20"/>
      <c r="JC55" s="20"/>
      <c r="JD55" s="20"/>
      <c r="JE55" s="20"/>
      <c r="JF55" s="20"/>
      <c r="JG55" s="20"/>
      <c r="JH55" s="20"/>
      <c r="JI55" s="20"/>
      <c r="JJ55" s="20"/>
      <c r="JK55" s="20"/>
      <c r="JL55" s="20"/>
      <c r="JM55" s="20"/>
      <c r="JN55" s="20"/>
      <c r="JO55" s="20"/>
      <c r="JP55" s="20"/>
      <c r="JQ55" s="20"/>
      <c r="JR55" s="20"/>
      <c r="JS55" s="20"/>
      <c r="JT55" s="20"/>
      <c r="JU55" s="20"/>
      <c r="JV55" s="20"/>
      <c r="JW55" s="20"/>
      <c r="JX55" s="20"/>
      <c r="JY55" s="20"/>
      <c r="JZ55" s="20"/>
      <c r="KA55" s="20"/>
      <c r="KB55" s="20"/>
      <c r="KC55" s="20"/>
      <c r="KD55" s="20"/>
      <c r="KE55" s="20"/>
      <c r="KF55" s="20"/>
      <c r="KG55" s="20"/>
      <c r="KH55" s="20"/>
      <c r="KI55" s="20"/>
      <c r="KJ55" s="20"/>
      <c r="KK55" s="20"/>
      <c r="KL55" s="20"/>
      <c r="KM55" s="20"/>
      <c r="KN55" s="20"/>
      <c r="KO55" s="20"/>
      <c r="KP55" s="20"/>
      <c r="KQ55" s="20"/>
      <c r="KR55" s="20"/>
      <c r="KS55" s="20"/>
      <c r="KT55" s="20"/>
      <c r="KU55" s="20"/>
      <c r="KV55" s="20"/>
      <c r="KW55" s="20"/>
      <c r="KX55" s="20"/>
      <c r="KY55" s="20"/>
      <c r="KZ55" s="20"/>
      <c r="LA55" s="20"/>
      <c r="LB55" s="20"/>
      <c r="LC55" s="20"/>
      <c r="LD55" s="20"/>
      <c r="LE55" s="20"/>
      <c r="LF55" s="20"/>
      <c r="LG55" s="20"/>
      <c r="LH55" s="20"/>
      <c r="LI55" s="20"/>
      <c r="LJ55" s="20"/>
      <c r="LK55" s="20"/>
      <c r="LL55" s="20"/>
      <c r="LM55" s="20"/>
      <c r="LN55" s="20"/>
      <c r="LO55" s="20"/>
      <c r="LP55" s="20"/>
      <c r="LQ55" s="20"/>
      <c r="LR55" s="20"/>
      <c r="LS55" s="20"/>
      <c r="LT55" s="20"/>
      <c r="LU55" s="20"/>
      <c r="LV55" s="20"/>
      <c r="LW55" s="20"/>
      <c r="LX55" s="20"/>
      <c r="LY55" s="20"/>
      <c r="LZ55" s="20"/>
      <c r="MA55" s="20"/>
      <c r="MB55" s="20"/>
      <c r="MC55" s="20"/>
      <c r="MD55" s="20"/>
      <c r="ME55" s="20"/>
      <c r="MF55" s="20"/>
      <c r="MG55" s="20"/>
      <c r="MH55" s="20"/>
      <c r="MI55" s="20"/>
      <c r="MJ55" s="20"/>
      <c r="MK55" s="20"/>
      <c r="ML55" s="20"/>
      <c r="MM55" s="20"/>
      <c r="MN55" s="20"/>
      <c r="MO55" s="20"/>
      <c r="MP55" s="20"/>
      <c r="MQ55" s="20"/>
      <c r="MR55" s="20"/>
      <c r="MS55" s="20"/>
      <c r="MT55" s="20"/>
      <c r="MU55" s="20"/>
      <c r="MV55" s="20"/>
      <c r="MW55" s="20"/>
      <c r="MX55" s="20"/>
      <c r="MY55" s="20"/>
      <c r="MZ55" s="20"/>
      <c r="NA55" s="20"/>
      <c r="NB55" s="20"/>
      <c r="NC55" s="20"/>
      <c r="ND55" s="20"/>
      <c r="NE55" s="20"/>
      <c r="NF55" s="20"/>
      <c r="NG55" s="20"/>
      <c r="NH55" s="20"/>
      <c r="NI55" s="20"/>
      <c r="NJ55" s="20"/>
      <c r="NK55" s="20"/>
      <c r="NL55" s="16"/>
      <c r="NM55" s="16"/>
      <c r="NN55" s="16"/>
      <c r="NO55" s="16"/>
      <c r="NP55" s="16"/>
      <c r="NQ55" s="16"/>
      <c r="NR55" s="16"/>
      <c r="NS55" s="16"/>
      <c r="NT55" s="16"/>
      <c r="NU55" s="16"/>
      <c r="NV55" s="16"/>
      <c r="NW55" s="16"/>
      <c r="NX55" s="16"/>
      <c r="NY55" s="16"/>
      <c r="NZ55" s="20"/>
      <c r="OA55" s="20"/>
      <c r="OB55" s="20"/>
      <c r="OC55" s="20"/>
      <c r="OD55" s="20"/>
      <c r="OE55" s="20"/>
      <c r="OF55" s="20"/>
      <c r="OG55" s="20"/>
      <c r="OH55" s="20"/>
    </row>
    <row r="56" spans="1:399" s="3" customFormat="1" x14ac:dyDescent="0.3"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  <c r="AA56" s="20"/>
      <c r="AB56" s="20"/>
      <c r="AC56" s="20"/>
      <c r="AD56" s="20"/>
      <c r="AE56" s="20"/>
      <c r="AF56" s="20"/>
      <c r="AG56" s="20"/>
      <c r="AH56" s="20"/>
      <c r="AI56" s="16"/>
      <c r="AJ56" s="16"/>
      <c r="AK56" s="16"/>
      <c r="AL56" s="16"/>
      <c r="AM56" s="16"/>
      <c r="AN56" s="16"/>
      <c r="AO56" s="16"/>
      <c r="AP56" s="16"/>
      <c r="AQ56" s="16"/>
      <c r="AR56" s="16"/>
      <c r="AS56" s="16"/>
      <c r="AT56" s="16"/>
      <c r="AU56" s="16"/>
      <c r="AV56" s="16"/>
      <c r="AW56" s="16"/>
      <c r="AX56" s="16"/>
      <c r="AY56" s="16"/>
      <c r="AZ56" s="16"/>
      <c r="BA56" s="16"/>
      <c r="BB56" s="16"/>
      <c r="BC56" s="16"/>
      <c r="BD56" s="16"/>
      <c r="BE56" s="16"/>
      <c r="BF56" s="16"/>
      <c r="BG56" s="16"/>
      <c r="BH56" s="16"/>
      <c r="BI56" s="16"/>
      <c r="BJ56" s="16"/>
      <c r="BK56" s="16"/>
      <c r="BL56" s="16"/>
      <c r="BM56" s="16"/>
      <c r="BN56" s="16"/>
      <c r="BO56" s="16"/>
      <c r="BP56" s="16"/>
      <c r="BQ56" s="16"/>
      <c r="BR56" s="16"/>
      <c r="BS56" s="16"/>
      <c r="BT56" s="16"/>
      <c r="BU56" s="16"/>
      <c r="BV56" s="16"/>
      <c r="BW56" s="16"/>
      <c r="BX56" s="16"/>
      <c r="BY56" s="16"/>
      <c r="BZ56" s="16"/>
      <c r="CA56" s="16"/>
      <c r="CB56" s="16"/>
      <c r="CC56" s="16"/>
      <c r="CD56" s="16"/>
      <c r="CE56" s="16"/>
      <c r="CF56" s="16"/>
      <c r="CG56" s="16"/>
      <c r="CH56" s="16"/>
      <c r="CI56" s="16"/>
      <c r="CJ56" s="16"/>
      <c r="CK56" s="16"/>
      <c r="CL56" s="16"/>
      <c r="CM56" s="16"/>
      <c r="CN56" s="16"/>
      <c r="CO56" s="16"/>
      <c r="CP56" s="16"/>
      <c r="CQ56" s="16"/>
      <c r="CR56" s="16"/>
      <c r="CS56" s="16"/>
      <c r="CT56" s="16"/>
      <c r="CU56" s="16"/>
      <c r="CV56" s="16"/>
      <c r="CW56" s="16"/>
      <c r="CX56" s="16"/>
      <c r="CY56" s="16"/>
      <c r="CZ56" s="16"/>
      <c r="DA56" s="16"/>
      <c r="DB56" s="16"/>
      <c r="DC56" s="16"/>
      <c r="DD56" s="16"/>
      <c r="DE56" s="16"/>
      <c r="DF56" s="16"/>
      <c r="DG56" s="16"/>
      <c r="DH56" s="16"/>
      <c r="DI56" s="16"/>
      <c r="DJ56" s="16"/>
      <c r="DK56" s="16"/>
      <c r="DL56" s="16"/>
      <c r="DM56" s="16"/>
      <c r="DN56" s="20"/>
      <c r="DO56" s="20"/>
      <c r="DP56" s="20"/>
      <c r="DQ56" s="20"/>
      <c r="DR56" s="20"/>
      <c r="DS56" s="20"/>
      <c r="DT56" s="20"/>
      <c r="DU56" s="20"/>
      <c r="DV56" s="20"/>
      <c r="DW56" s="20"/>
      <c r="DX56" s="20"/>
      <c r="DY56" s="20"/>
      <c r="DZ56" s="20"/>
      <c r="EA56" s="20"/>
      <c r="EB56" s="20"/>
      <c r="EC56" s="20"/>
      <c r="ED56" s="20"/>
      <c r="EE56" s="20"/>
      <c r="EF56" s="20"/>
      <c r="EG56" s="20"/>
      <c r="EH56" s="20"/>
      <c r="EI56" s="20"/>
      <c r="EJ56" s="20"/>
      <c r="EK56" s="20"/>
      <c r="EL56" s="20"/>
      <c r="EM56" s="20"/>
      <c r="EN56" s="20"/>
      <c r="EO56" s="20"/>
      <c r="EP56" s="20"/>
      <c r="EQ56" s="20"/>
      <c r="ER56" s="20"/>
      <c r="ES56" s="20"/>
      <c r="ET56" s="20"/>
      <c r="EU56" s="20"/>
      <c r="EV56" s="20"/>
      <c r="EW56" s="20"/>
      <c r="EX56" s="20"/>
      <c r="EY56" s="20"/>
      <c r="EZ56" s="20"/>
      <c r="FA56" s="20"/>
      <c r="FB56" s="20"/>
      <c r="FC56" s="20"/>
      <c r="FD56" s="20"/>
      <c r="FE56" s="20"/>
      <c r="FF56" s="20"/>
      <c r="FG56" s="20"/>
      <c r="FH56" s="20"/>
      <c r="FI56" s="20"/>
      <c r="FJ56" s="20"/>
      <c r="FK56" s="20"/>
      <c r="FL56" s="20"/>
      <c r="FM56" s="20"/>
      <c r="FN56" s="20"/>
      <c r="FO56" s="20"/>
      <c r="FP56" s="20"/>
      <c r="FQ56" s="20"/>
      <c r="FR56" s="20"/>
      <c r="FS56" s="20"/>
      <c r="FT56" s="20"/>
      <c r="FU56" s="20"/>
      <c r="FV56" s="20"/>
      <c r="FW56" s="20"/>
      <c r="FX56" s="20"/>
      <c r="FY56" s="20"/>
      <c r="FZ56" s="20"/>
      <c r="GA56" s="20"/>
      <c r="GB56" s="20"/>
      <c r="GC56" s="20"/>
      <c r="GD56" s="20"/>
      <c r="GE56" s="20"/>
      <c r="GF56" s="20"/>
      <c r="GG56" s="20"/>
      <c r="GH56" s="20"/>
      <c r="GI56" s="20"/>
      <c r="GJ56" s="20"/>
      <c r="GK56" s="20"/>
      <c r="GL56" s="20"/>
      <c r="GM56" s="20"/>
      <c r="GN56" s="20"/>
      <c r="GO56" s="20"/>
      <c r="GP56" s="20"/>
      <c r="GQ56" s="20"/>
      <c r="GR56" s="20"/>
      <c r="GS56" s="20"/>
      <c r="GT56" s="20"/>
      <c r="GU56" s="20"/>
      <c r="GV56" s="20"/>
      <c r="GW56" s="20"/>
      <c r="GX56" s="20"/>
      <c r="GY56" s="20"/>
      <c r="GZ56" s="20"/>
      <c r="HA56" s="20"/>
      <c r="HB56" s="20"/>
      <c r="HC56" s="20"/>
      <c r="HD56" s="20"/>
      <c r="HE56" s="20"/>
      <c r="HF56" s="20"/>
      <c r="HG56" s="20"/>
      <c r="HH56" s="20"/>
      <c r="HI56" s="20"/>
      <c r="HJ56" s="20"/>
      <c r="HK56" s="20"/>
      <c r="HL56" s="20"/>
      <c r="HM56" s="20"/>
      <c r="HN56" s="20"/>
      <c r="HO56" s="20"/>
      <c r="HP56" s="20"/>
      <c r="HQ56" s="20"/>
      <c r="HR56" s="20"/>
      <c r="HS56" s="20"/>
      <c r="HT56" s="20"/>
      <c r="HU56" s="20"/>
      <c r="HV56" s="20"/>
      <c r="HW56" s="20"/>
      <c r="HX56" s="20"/>
      <c r="HY56" s="20"/>
      <c r="HZ56" s="20"/>
      <c r="IA56" s="20"/>
      <c r="IB56" s="20"/>
      <c r="IC56" s="20"/>
      <c r="ID56" s="20"/>
      <c r="IE56" s="20"/>
      <c r="IF56" s="20"/>
      <c r="IG56" s="20"/>
      <c r="IH56" s="20"/>
      <c r="II56" s="20"/>
      <c r="IJ56" s="20"/>
      <c r="IK56" s="20"/>
      <c r="IL56" s="20"/>
      <c r="IM56" s="20"/>
      <c r="IN56" s="20"/>
      <c r="IO56" s="20"/>
      <c r="IP56" s="20"/>
      <c r="IQ56" s="20"/>
      <c r="IR56" s="20"/>
      <c r="IS56" s="20"/>
      <c r="IT56" s="20"/>
      <c r="IU56" s="20"/>
      <c r="IV56" s="20"/>
      <c r="IW56" s="20"/>
      <c r="IX56" s="20"/>
      <c r="IY56" s="20"/>
      <c r="IZ56" s="20"/>
      <c r="JA56" s="20"/>
      <c r="JB56" s="20"/>
      <c r="JC56" s="20"/>
      <c r="JD56" s="20"/>
      <c r="JE56" s="20"/>
      <c r="JF56" s="20"/>
      <c r="JG56" s="20"/>
      <c r="JH56" s="20"/>
      <c r="JI56" s="20"/>
      <c r="JJ56" s="20"/>
      <c r="JK56" s="20"/>
      <c r="JL56" s="20"/>
      <c r="JM56" s="20"/>
      <c r="JN56" s="20"/>
      <c r="JO56" s="20"/>
      <c r="JP56" s="20"/>
      <c r="JQ56" s="20"/>
      <c r="JR56" s="20"/>
      <c r="JS56" s="20"/>
      <c r="JT56" s="20"/>
      <c r="JU56" s="20"/>
      <c r="JV56" s="20"/>
      <c r="JW56" s="20"/>
      <c r="JX56" s="20"/>
      <c r="JY56" s="20"/>
      <c r="JZ56" s="20"/>
      <c r="KA56" s="20"/>
      <c r="KB56" s="20"/>
      <c r="KC56" s="20"/>
      <c r="KD56" s="20"/>
      <c r="KE56" s="20"/>
      <c r="KF56" s="20"/>
      <c r="KG56" s="20"/>
      <c r="KH56" s="20"/>
      <c r="KI56" s="20"/>
      <c r="KJ56" s="20"/>
      <c r="KK56" s="20"/>
      <c r="KL56" s="20"/>
      <c r="KM56" s="20"/>
      <c r="KN56" s="20"/>
      <c r="KO56" s="20"/>
      <c r="KP56" s="20"/>
      <c r="KQ56" s="20"/>
      <c r="KR56" s="20"/>
      <c r="KS56" s="20"/>
      <c r="KT56" s="20"/>
      <c r="KU56" s="20"/>
      <c r="KV56" s="20"/>
      <c r="KW56" s="20"/>
      <c r="KX56" s="20"/>
      <c r="KY56" s="20"/>
      <c r="KZ56" s="20"/>
      <c r="LA56" s="20"/>
      <c r="LB56" s="20"/>
      <c r="LC56" s="20"/>
      <c r="LD56" s="20"/>
      <c r="LE56" s="20"/>
      <c r="LF56" s="20"/>
      <c r="LG56" s="20"/>
      <c r="LH56" s="20"/>
      <c r="LI56" s="20"/>
      <c r="LJ56" s="20"/>
      <c r="LK56" s="20"/>
      <c r="LL56" s="20"/>
      <c r="LM56" s="20"/>
      <c r="LN56" s="20"/>
      <c r="LO56" s="20"/>
      <c r="LP56" s="20"/>
      <c r="LQ56" s="20"/>
      <c r="LR56" s="20"/>
      <c r="LS56" s="20"/>
      <c r="LT56" s="20"/>
      <c r="LU56" s="20"/>
      <c r="LV56" s="20"/>
      <c r="LW56" s="20"/>
      <c r="LX56" s="20"/>
      <c r="LY56" s="20"/>
      <c r="LZ56" s="20"/>
      <c r="MA56" s="20"/>
      <c r="MB56" s="20"/>
      <c r="MC56" s="20"/>
      <c r="MD56" s="20"/>
      <c r="ME56" s="20"/>
      <c r="MF56" s="20"/>
      <c r="MG56" s="20"/>
      <c r="MH56" s="20"/>
      <c r="MI56" s="20"/>
      <c r="MJ56" s="20"/>
      <c r="MK56" s="20"/>
      <c r="ML56" s="20"/>
      <c r="MM56" s="20"/>
      <c r="MN56" s="20"/>
      <c r="MO56" s="20"/>
      <c r="MP56" s="20"/>
      <c r="MQ56" s="20"/>
      <c r="MR56" s="20"/>
      <c r="MS56" s="20"/>
      <c r="MT56" s="20"/>
      <c r="MU56" s="20"/>
      <c r="MV56" s="20"/>
      <c r="MW56" s="20"/>
      <c r="MX56" s="20"/>
      <c r="MY56" s="20"/>
      <c r="MZ56" s="20"/>
      <c r="NA56" s="20"/>
      <c r="NB56" s="20"/>
      <c r="NC56" s="20"/>
      <c r="ND56" s="20"/>
      <c r="NE56" s="20"/>
      <c r="NF56" s="20"/>
      <c r="NG56" s="20"/>
      <c r="NH56" s="20"/>
      <c r="NI56" s="20"/>
      <c r="NJ56" s="20"/>
      <c r="NK56" s="20"/>
      <c r="NL56" s="16"/>
      <c r="NM56" s="16"/>
      <c r="NN56" s="16"/>
      <c r="NO56" s="16"/>
      <c r="NP56" s="16"/>
      <c r="NQ56" s="16"/>
      <c r="NR56" s="16"/>
      <c r="NS56" s="16"/>
      <c r="NT56" s="16"/>
      <c r="NU56" s="16"/>
      <c r="NV56" s="16"/>
      <c r="NW56" s="16"/>
      <c r="NX56" s="16"/>
      <c r="NY56" s="16"/>
      <c r="NZ56" s="20"/>
      <c r="OA56" s="20"/>
      <c r="OB56" s="20"/>
      <c r="OC56" s="20"/>
      <c r="OD56" s="20"/>
      <c r="OE56" s="20"/>
      <c r="OF56" s="20"/>
      <c r="OG56" s="20"/>
      <c r="OH56" s="20"/>
    </row>
    <row r="57" spans="1:399" s="3" customFormat="1" x14ac:dyDescent="0.3"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  <c r="AA57" s="20"/>
      <c r="AB57" s="20"/>
      <c r="AC57" s="20"/>
      <c r="AD57" s="20"/>
      <c r="AE57" s="20"/>
      <c r="AF57" s="20"/>
      <c r="AG57" s="20"/>
      <c r="AH57" s="20"/>
      <c r="AI57" s="16"/>
      <c r="AJ57" s="16"/>
      <c r="AK57" s="16"/>
      <c r="AL57" s="16"/>
      <c r="AM57" s="16"/>
      <c r="AN57" s="16"/>
      <c r="AO57" s="16"/>
      <c r="AP57" s="16"/>
      <c r="AQ57" s="16"/>
      <c r="AR57" s="16"/>
      <c r="AS57" s="16"/>
      <c r="AT57" s="16"/>
      <c r="AU57" s="16"/>
      <c r="AV57" s="16"/>
      <c r="AW57" s="16"/>
      <c r="AX57" s="16"/>
      <c r="AY57" s="16"/>
      <c r="AZ57" s="16"/>
      <c r="BA57" s="16"/>
      <c r="BB57" s="16"/>
      <c r="BC57" s="16"/>
      <c r="BD57" s="16"/>
      <c r="BE57" s="16"/>
      <c r="BF57" s="16"/>
      <c r="BG57" s="16"/>
      <c r="BH57" s="16"/>
      <c r="BI57" s="16"/>
      <c r="BJ57" s="16"/>
      <c r="BK57" s="16"/>
      <c r="BL57" s="16"/>
      <c r="BM57" s="16"/>
      <c r="BN57" s="16"/>
      <c r="BO57" s="16"/>
      <c r="BP57" s="16"/>
      <c r="BQ57" s="16"/>
      <c r="BR57" s="16"/>
      <c r="BS57" s="16"/>
      <c r="BT57" s="16"/>
      <c r="BU57" s="16"/>
      <c r="BV57" s="16"/>
      <c r="BW57" s="16"/>
      <c r="BX57" s="16"/>
      <c r="BY57" s="16"/>
      <c r="BZ57" s="16"/>
      <c r="CA57" s="16"/>
      <c r="CB57" s="16"/>
      <c r="CC57" s="16"/>
      <c r="CD57" s="16"/>
      <c r="CE57" s="16"/>
      <c r="CF57" s="16"/>
      <c r="CG57" s="16"/>
      <c r="CH57" s="16"/>
      <c r="CI57" s="16"/>
      <c r="CJ57" s="16"/>
      <c r="CK57" s="16"/>
      <c r="CL57" s="16"/>
      <c r="CM57" s="16"/>
      <c r="CN57" s="16"/>
      <c r="CO57" s="16"/>
      <c r="CP57" s="16"/>
      <c r="CQ57" s="16"/>
      <c r="CR57" s="16"/>
      <c r="CS57" s="16"/>
      <c r="CT57" s="16"/>
      <c r="CU57" s="16"/>
      <c r="CV57" s="16"/>
      <c r="CW57" s="16"/>
      <c r="CX57" s="16"/>
      <c r="CY57" s="16"/>
      <c r="CZ57" s="16"/>
      <c r="DA57" s="16"/>
      <c r="DB57" s="16"/>
      <c r="DC57" s="16"/>
      <c r="DD57" s="16"/>
      <c r="DE57" s="16"/>
      <c r="DF57" s="16"/>
      <c r="DG57" s="16"/>
      <c r="DH57" s="16"/>
      <c r="DI57" s="16"/>
      <c r="DJ57" s="16"/>
      <c r="DK57" s="16"/>
      <c r="DL57" s="16"/>
      <c r="DM57" s="16"/>
      <c r="DN57" s="20"/>
      <c r="DO57" s="20"/>
      <c r="DP57" s="20"/>
      <c r="DQ57" s="20"/>
      <c r="DR57" s="20"/>
      <c r="DS57" s="20"/>
      <c r="DT57" s="20"/>
      <c r="DU57" s="20"/>
      <c r="DV57" s="20"/>
      <c r="DW57" s="20"/>
      <c r="DX57" s="20"/>
      <c r="DY57" s="20"/>
      <c r="DZ57" s="20"/>
      <c r="EA57" s="20"/>
      <c r="EB57" s="20"/>
      <c r="EC57" s="20"/>
      <c r="ED57" s="20"/>
      <c r="EE57" s="20"/>
      <c r="EF57" s="20"/>
      <c r="EG57" s="20"/>
      <c r="EH57" s="20"/>
      <c r="EI57" s="20"/>
      <c r="EJ57" s="20"/>
      <c r="EK57" s="20"/>
      <c r="EL57" s="20"/>
      <c r="EM57" s="20"/>
      <c r="EN57" s="20"/>
      <c r="EO57" s="20"/>
      <c r="EP57" s="20"/>
      <c r="EQ57" s="20"/>
      <c r="ER57" s="20"/>
      <c r="ES57" s="20"/>
      <c r="ET57" s="20"/>
      <c r="EU57" s="20"/>
      <c r="EV57" s="20"/>
      <c r="EW57" s="20"/>
      <c r="EX57" s="20"/>
      <c r="EY57" s="20"/>
      <c r="EZ57" s="20"/>
      <c r="FA57" s="20"/>
      <c r="FB57" s="20"/>
      <c r="FC57" s="20"/>
      <c r="FD57" s="20"/>
      <c r="FE57" s="20"/>
      <c r="FF57" s="20"/>
      <c r="FG57" s="20"/>
      <c r="FH57" s="20"/>
      <c r="FI57" s="20"/>
      <c r="FJ57" s="20"/>
      <c r="FK57" s="20"/>
      <c r="FL57" s="20"/>
      <c r="FM57" s="20"/>
      <c r="FN57" s="20"/>
      <c r="FO57" s="20"/>
      <c r="FP57" s="20"/>
      <c r="FQ57" s="20"/>
      <c r="FR57" s="20"/>
      <c r="FS57" s="20"/>
      <c r="FT57" s="20"/>
      <c r="FU57" s="20"/>
      <c r="FV57" s="20"/>
      <c r="FW57" s="20"/>
      <c r="FX57" s="20"/>
      <c r="FY57" s="20"/>
      <c r="FZ57" s="20"/>
      <c r="GA57" s="20"/>
      <c r="GB57" s="20"/>
      <c r="GC57" s="20"/>
      <c r="GD57" s="20"/>
      <c r="GE57" s="20"/>
      <c r="GF57" s="20"/>
      <c r="GG57" s="20"/>
      <c r="GH57" s="20"/>
      <c r="GI57" s="20"/>
      <c r="GJ57" s="20"/>
      <c r="GK57" s="20"/>
      <c r="GL57" s="20"/>
      <c r="GM57" s="20"/>
      <c r="GN57" s="20"/>
      <c r="GO57" s="20"/>
      <c r="GP57" s="20"/>
      <c r="GQ57" s="20"/>
      <c r="GR57" s="20"/>
      <c r="GS57" s="20"/>
      <c r="GT57" s="20"/>
      <c r="GU57" s="20"/>
      <c r="GV57" s="20"/>
      <c r="GW57" s="20"/>
      <c r="GX57" s="20"/>
      <c r="GY57" s="20"/>
      <c r="GZ57" s="20"/>
      <c r="HA57" s="20"/>
      <c r="HB57" s="20"/>
      <c r="HC57" s="20"/>
      <c r="HD57" s="20"/>
      <c r="HE57" s="20"/>
      <c r="HF57" s="20"/>
      <c r="HG57" s="20"/>
      <c r="HH57" s="20"/>
      <c r="HI57" s="20"/>
      <c r="HJ57" s="20"/>
      <c r="HK57" s="20"/>
      <c r="HL57" s="20"/>
      <c r="HM57" s="20"/>
      <c r="HN57" s="20"/>
      <c r="HO57" s="20"/>
      <c r="HP57" s="20"/>
      <c r="HQ57" s="20"/>
      <c r="HR57" s="20"/>
      <c r="HS57" s="20"/>
      <c r="HT57" s="20"/>
      <c r="HU57" s="20"/>
      <c r="HV57" s="20"/>
      <c r="HW57" s="20"/>
      <c r="HX57" s="20"/>
      <c r="HY57" s="20"/>
      <c r="HZ57" s="20"/>
      <c r="IA57" s="20"/>
      <c r="IB57" s="20"/>
      <c r="IC57" s="20"/>
      <c r="ID57" s="20"/>
      <c r="IE57" s="20"/>
      <c r="IF57" s="20"/>
      <c r="IG57" s="20"/>
      <c r="IH57" s="20"/>
      <c r="II57" s="20"/>
      <c r="IJ57" s="20"/>
      <c r="IK57" s="20"/>
      <c r="IL57" s="20"/>
      <c r="IM57" s="20"/>
      <c r="IN57" s="20"/>
      <c r="IO57" s="20"/>
      <c r="IP57" s="20"/>
      <c r="IQ57" s="20"/>
      <c r="IR57" s="20"/>
      <c r="IS57" s="20"/>
      <c r="IT57" s="20"/>
      <c r="IU57" s="20"/>
      <c r="IV57" s="20"/>
      <c r="IW57" s="20"/>
      <c r="IX57" s="20"/>
      <c r="IY57" s="20"/>
      <c r="IZ57" s="20"/>
      <c r="JA57" s="20"/>
      <c r="JB57" s="20"/>
      <c r="JC57" s="20"/>
      <c r="JD57" s="20"/>
      <c r="JE57" s="20"/>
      <c r="JF57" s="20"/>
      <c r="JG57" s="20"/>
      <c r="JH57" s="20"/>
      <c r="JI57" s="20"/>
      <c r="JJ57" s="20"/>
      <c r="JK57" s="20"/>
      <c r="JL57" s="20"/>
      <c r="JM57" s="20"/>
      <c r="JN57" s="20"/>
      <c r="JO57" s="20"/>
      <c r="JP57" s="20"/>
      <c r="JQ57" s="20"/>
      <c r="JR57" s="20"/>
      <c r="JS57" s="20"/>
      <c r="JT57" s="20"/>
      <c r="JU57" s="20"/>
      <c r="JV57" s="20"/>
      <c r="JW57" s="20"/>
      <c r="JX57" s="20"/>
      <c r="JY57" s="20"/>
      <c r="JZ57" s="20"/>
      <c r="KA57" s="20"/>
      <c r="KB57" s="20"/>
      <c r="KC57" s="20"/>
      <c r="KD57" s="20"/>
      <c r="KE57" s="20"/>
      <c r="KF57" s="20"/>
      <c r="KG57" s="20"/>
      <c r="KH57" s="20"/>
      <c r="KI57" s="20"/>
      <c r="KJ57" s="20"/>
      <c r="KK57" s="20"/>
      <c r="KL57" s="20"/>
      <c r="KM57" s="20"/>
      <c r="KN57" s="20"/>
      <c r="KO57" s="20"/>
      <c r="KP57" s="20"/>
      <c r="KQ57" s="20"/>
      <c r="KR57" s="20"/>
      <c r="KS57" s="20"/>
      <c r="KT57" s="20"/>
      <c r="KU57" s="20"/>
      <c r="KV57" s="20"/>
      <c r="KW57" s="20"/>
      <c r="KX57" s="20"/>
      <c r="KY57" s="20"/>
      <c r="KZ57" s="20"/>
      <c r="LA57" s="20"/>
      <c r="LB57" s="20"/>
      <c r="LC57" s="20"/>
      <c r="LD57" s="20"/>
      <c r="LE57" s="20"/>
      <c r="LF57" s="20"/>
      <c r="LG57" s="20"/>
      <c r="LH57" s="20"/>
      <c r="LI57" s="20"/>
      <c r="LJ57" s="20"/>
      <c r="LK57" s="20"/>
      <c r="LL57" s="20"/>
      <c r="LM57" s="20"/>
      <c r="LN57" s="20"/>
      <c r="LO57" s="20"/>
      <c r="LP57" s="20"/>
      <c r="LQ57" s="20"/>
      <c r="LR57" s="20"/>
      <c r="LS57" s="20"/>
      <c r="LT57" s="20"/>
      <c r="LU57" s="20"/>
      <c r="LV57" s="20"/>
      <c r="LW57" s="20"/>
      <c r="LX57" s="20"/>
      <c r="LY57" s="20"/>
      <c r="LZ57" s="20"/>
      <c r="MA57" s="20"/>
      <c r="MB57" s="20"/>
      <c r="MC57" s="20"/>
      <c r="MD57" s="20"/>
      <c r="ME57" s="20"/>
      <c r="MF57" s="20"/>
      <c r="MG57" s="20"/>
      <c r="MH57" s="20"/>
      <c r="MI57" s="20"/>
      <c r="MJ57" s="20"/>
      <c r="MK57" s="20"/>
      <c r="ML57" s="20"/>
      <c r="MM57" s="20"/>
      <c r="MN57" s="20"/>
      <c r="MO57" s="20"/>
      <c r="MP57" s="20"/>
      <c r="MQ57" s="20"/>
      <c r="MR57" s="20"/>
      <c r="MS57" s="20"/>
      <c r="MT57" s="20"/>
      <c r="MU57" s="20"/>
      <c r="MV57" s="20"/>
      <c r="MW57" s="20"/>
      <c r="MX57" s="20"/>
      <c r="MY57" s="20"/>
      <c r="MZ57" s="20"/>
      <c r="NA57" s="20"/>
      <c r="NB57" s="20"/>
      <c r="NC57" s="20"/>
      <c r="ND57" s="20"/>
      <c r="NE57" s="20"/>
      <c r="NF57" s="20"/>
      <c r="NG57" s="20"/>
      <c r="NH57" s="20"/>
      <c r="NI57" s="20"/>
      <c r="NJ57" s="20"/>
      <c r="NK57" s="20"/>
      <c r="NL57" s="16"/>
      <c r="NM57" s="16"/>
      <c r="NN57" s="16"/>
      <c r="NO57" s="16"/>
      <c r="NP57" s="16"/>
      <c r="NQ57" s="16"/>
      <c r="NR57" s="16"/>
      <c r="NS57" s="16"/>
      <c r="NT57" s="16"/>
      <c r="NU57" s="16"/>
      <c r="NV57" s="16"/>
      <c r="NW57" s="16"/>
      <c r="NX57" s="16"/>
      <c r="NY57" s="16"/>
      <c r="NZ57" s="20"/>
      <c r="OA57" s="20"/>
      <c r="OB57" s="20"/>
      <c r="OC57" s="20"/>
      <c r="OD57" s="20"/>
      <c r="OE57" s="20"/>
      <c r="OF57" s="20"/>
      <c r="OG57" s="20"/>
      <c r="OH57" s="20"/>
    </row>
    <row r="58" spans="1:399" s="3" customFormat="1" x14ac:dyDescent="0.3"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  <c r="AA58" s="20"/>
      <c r="AB58" s="20"/>
      <c r="AC58" s="20"/>
      <c r="AD58" s="20"/>
      <c r="AE58" s="20"/>
      <c r="AF58" s="20"/>
      <c r="AG58" s="20"/>
      <c r="AH58" s="20"/>
      <c r="AI58" s="16"/>
      <c r="AJ58" s="16"/>
      <c r="AK58" s="16"/>
      <c r="AL58" s="16"/>
      <c r="AM58" s="16"/>
      <c r="AN58" s="16"/>
      <c r="AO58" s="16"/>
      <c r="AP58" s="16"/>
      <c r="AQ58" s="16"/>
      <c r="AR58" s="16"/>
      <c r="AS58" s="16"/>
      <c r="AT58" s="16"/>
      <c r="AU58" s="16"/>
      <c r="AV58" s="16"/>
      <c r="AW58" s="16"/>
      <c r="AX58" s="16"/>
      <c r="AY58" s="16"/>
      <c r="AZ58" s="16"/>
      <c r="BA58" s="16"/>
      <c r="BB58" s="16"/>
      <c r="BC58" s="16"/>
      <c r="BD58" s="16"/>
      <c r="BE58" s="16"/>
      <c r="BF58" s="16"/>
      <c r="BG58" s="16"/>
      <c r="BH58" s="16"/>
      <c r="BI58" s="16"/>
      <c r="BJ58" s="16"/>
      <c r="BK58" s="16"/>
      <c r="BL58" s="16"/>
      <c r="BM58" s="16"/>
      <c r="BN58" s="16"/>
      <c r="BO58" s="16"/>
      <c r="BP58" s="16"/>
      <c r="BQ58" s="16"/>
      <c r="BR58" s="16"/>
      <c r="BS58" s="16"/>
      <c r="BT58" s="16"/>
      <c r="BU58" s="16"/>
      <c r="BV58" s="16"/>
      <c r="BW58" s="16"/>
      <c r="BX58" s="16"/>
      <c r="BY58" s="16"/>
      <c r="BZ58" s="16"/>
      <c r="CA58" s="16"/>
      <c r="CB58" s="16"/>
      <c r="CC58" s="16"/>
      <c r="CD58" s="16"/>
      <c r="CE58" s="16"/>
      <c r="CF58" s="16"/>
      <c r="CG58" s="16"/>
      <c r="CH58" s="16"/>
      <c r="CI58" s="16"/>
      <c r="CJ58" s="16"/>
      <c r="CK58" s="16"/>
      <c r="CL58" s="16"/>
      <c r="CM58" s="16"/>
      <c r="CN58" s="16"/>
      <c r="CO58" s="16"/>
      <c r="CP58" s="16"/>
      <c r="CQ58" s="16"/>
      <c r="CR58" s="16"/>
      <c r="CS58" s="16"/>
      <c r="CT58" s="16"/>
      <c r="CU58" s="16"/>
      <c r="CV58" s="16"/>
      <c r="CW58" s="16"/>
      <c r="CX58" s="16"/>
      <c r="CY58" s="16"/>
      <c r="CZ58" s="16"/>
      <c r="DA58" s="16"/>
      <c r="DB58" s="16"/>
      <c r="DC58" s="16"/>
      <c r="DD58" s="16"/>
      <c r="DE58" s="16"/>
      <c r="DF58" s="16"/>
      <c r="DG58" s="16"/>
      <c r="DH58" s="16"/>
      <c r="DI58" s="16"/>
      <c r="DJ58" s="16"/>
      <c r="DK58" s="16"/>
      <c r="DL58" s="16"/>
      <c r="DM58" s="16"/>
      <c r="DN58" s="20"/>
      <c r="DO58" s="20"/>
      <c r="DP58" s="20"/>
      <c r="DQ58" s="20"/>
      <c r="DR58" s="20"/>
      <c r="DS58" s="20"/>
      <c r="DT58" s="20"/>
      <c r="DU58" s="20"/>
      <c r="DV58" s="20"/>
      <c r="DW58" s="20"/>
      <c r="DX58" s="20"/>
      <c r="DY58" s="20"/>
      <c r="DZ58" s="20"/>
      <c r="EA58" s="20"/>
      <c r="EB58" s="20"/>
      <c r="EC58" s="20"/>
      <c r="ED58" s="20"/>
      <c r="EE58" s="20"/>
      <c r="EF58" s="20"/>
      <c r="EG58" s="20"/>
      <c r="EH58" s="20"/>
      <c r="EI58" s="20"/>
      <c r="EJ58" s="20"/>
      <c r="EK58" s="20"/>
      <c r="EL58" s="20"/>
      <c r="EM58" s="20"/>
      <c r="EN58" s="20"/>
      <c r="EO58" s="20"/>
      <c r="EP58" s="20"/>
      <c r="EQ58" s="20"/>
      <c r="ER58" s="20"/>
      <c r="ES58" s="20"/>
      <c r="ET58" s="20"/>
      <c r="EU58" s="20"/>
      <c r="EV58" s="20"/>
      <c r="EW58" s="20"/>
      <c r="EX58" s="20"/>
      <c r="EY58" s="20"/>
      <c r="EZ58" s="20"/>
      <c r="FA58" s="20"/>
      <c r="FB58" s="20"/>
      <c r="FC58" s="20"/>
      <c r="FD58" s="20"/>
      <c r="FE58" s="20"/>
      <c r="FF58" s="20"/>
      <c r="FG58" s="20"/>
      <c r="FH58" s="20"/>
      <c r="FI58" s="20"/>
      <c r="FJ58" s="20"/>
      <c r="FK58" s="20"/>
      <c r="FL58" s="20"/>
      <c r="FM58" s="20"/>
      <c r="FN58" s="20"/>
      <c r="FO58" s="20"/>
      <c r="FP58" s="20"/>
      <c r="FQ58" s="20"/>
      <c r="FR58" s="20"/>
      <c r="FS58" s="20"/>
      <c r="FT58" s="20"/>
      <c r="FU58" s="20"/>
      <c r="FV58" s="20"/>
      <c r="FW58" s="20"/>
      <c r="FX58" s="20"/>
      <c r="FY58" s="20"/>
      <c r="FZ58" s="20"/>
      <c r="GA58" s="20"/>
      <c r="GB58" s="20"/>
      <c r="GC58" s="20"/>
      <c r="GD58" s="20"/>
      <c r="GE58" s="20"/>
      <c r="GF58" s="20"/>
      <c r="GG58" s="20"/>
      <c r="GH58" s="20"/>
      <c r="GI58" s="20"/>
      <c r="GJ58" s="20"/>
      <c r="GK58" s="20"/>
      <c r="GL58" s="20"/>
      <c r="GM58" s="20"/>
      <c r="GN58" s="20"/>
      <c r="GO58" s="20"/>
      <c r="GP58" s="20"/>
      <c r="GQ58" s="20"/>
      <c r="GR58" s="20"/>
      <c r="GS58" s="20"/>
      <c r="GT58" s="20"/>
      <c r="GU58" s="20"/>
      <c r="GV58" s="20"/>
      <c r="GW58" s="20"/>
      <c r="GX58" s="20"/>
      <c r="GY58" s="20"/>
      <c r="GZ58" s="20"/>
      <c r="HA58" s="20"/>
      <c r="HB58" s="20"/>
      <c r="HC58" s="20"/>
      <c r="HD58" s="20"/>
      <c r="HE58" s="20"/>
      <c r="HF58" s="20"/>
      <c r="HG58" s="20"/>
      <c r="HH58" s="20"/>
      <c r="HI58" s="20"/>
      <c r="HJ58" s="20"/>
      <c r="HK58" s="20"/>
      <c r="HL58" s="20"/>
      <c r="HM58" s="20"/>
      <c r="HN58" s="20"/>
      <c r="HO58" s="20"/>
      <c r="HP58" s="20"/>
      <c r="HQ58" s="20"/>
      <c r="HR58" s="20"/>
      <c r="HS58" s="20"/>
      <c r="HT58" s="20"/>
      <c r="HU58" s="20"/>
      <c r="HV58" s="20"/>
      <c r="HW58" s="20"/>
      <c r="HX58" s="20"/>
      <c r="HY58" s="20"/>
      <c r="HZ58" s="20"/>
      <c r="IA58" s="20"/>
      <c r="IB58" s="20"/>
      <c r="IC58" s="20"/>
      <c r="ID58" s="20"/>
      <c r="IE58" s="20"/>
      <c r="IF58" s="20"/>
      <c r="IG58" s="20"/>
      <c r="IH58" s="20"/>
      <c r="II58" s="20"/>
      <c r="IJ58" s="20"/>
      <c r="IK58" s="20"/>
      <c r="IL58" s="20"/>
      <c r="IM58" s="20"/>
      <c r="IN58" s="20"/>
      <c r="IO58" s="20"/>
      <c r="IP58" s="20"/>
      <c r="IQ58" s="20"/>
      <c r="IR58" s="20"/>
      <c r="IS58" s="20"/>
      <c r="IT58" s="20"/>
      <c r="IU58" s="20"/>
      <c r="IV58" s="20"/>
      <c r="IW58" s="20"/>
      <c r="IX58" s="20"/>
      <c r="IY58" s="20"/>
      <c r="IZ58" s="20"/>
      <c r="JA58" s="20"/>
      <c r="JB58" s="20"/>
      <c r="JC58" s="20"/>
      <c r="JD58" s="20"/>
      <c r="JE58" s="20"/>
      <c r="JF58" s="20"/>
      <c r="JG58" s="20"/>
      <c r="JH58" s="20"/>
      <c r="JI58" s="20"/>
      <c r="JJ58" s="20"/>
      <c r="JK58" s="20"/>
      <c r="JL58" s="20"/>
      <c r="JM58" s="20"/>
      <c r="JN58" s="20"/>
      <c r="JO58" s="20"/>
      <c r="JP58" s="20"/>
      <c r="JQ58" s="20"/>
      <c r="JR58" s="20"/>
      <c r="JS58" s="20"/>
      <c r="JT58" s="20"/>
      <c r="JU58" s="20"/>
      <c r="JV58" s="20"/>
      <c r="JW58" s="20"/>
      <c r="JX58" s="20"/>
      <c r="JY58" s="20"/>
      <c r="JZ58" s="20"/>
      <c r="KA58" s="20"/>
      <c r="KB58" s="20"/>
      <c r="KC58" s="20"/>
      <c r="KD58" s="20"/>
      <c r="KE58" s="20"/>
      <c r="KF58" s="20"/>
      <c r="KG58" s="20"/>
      <c r="KH58" s="20"/>
      <c r="KI58" s="20"/>
      <c r="KJ58" s="20"/>
      <c r="KK58" s="20"/>
      <c r="KL58" s="20"/>
      <c r="KM58" s="20"/>
      <c r="KN58" s="20"/>
      <c r="KO58" s="20"/>
      <c r="KP58" s="20"/>
      <c r="KQ58" s="20"/>
      <c r="KR58" s="20"/>
      <c r="KS58" s="20"/>
      <c r="KT58" s="20"/>
      <c r="KU58" s="20"/>
      <c r="KV58" s="20"/>
      <c r="KW58" s="20"/>
      <c r="KX58" s="20"/>
      <c r="KY58" s="20"/>
      <c r="KZ58" s="20"/>
      <c r="LA58" s="20"/>
      <c r="LB58" s="20"/>
      <c r="LC58" s="20"/>
      <c r="LD58" s="20"/>
      <c r="LE58" s="20"/>
      <c r="LF58" s="20"/>
      <c r="LG58" s="20"/>
      <c r="LH58" s="20"/>
      <c r="LI58" s="20"/>
      <c r="LJ58" s="20"/>
      <c r="LK58" s="20"/>
      <c r="LL58" s="20"/>
      <c r="LM58" s="20"/>
      <c r="LN58" s="20"/>
      <c r="LO58" s="20"/>
      <c r="LP58" s="20"/>
      <c r="LQ58" s="20"/>
      <c r="LR58" s="20"/>
      <c r="LS58" s="20"/>
      <c r="LT58" s="20"/>
      <c r="LU58" s="20"/>
      <c r="LV58" s="20"/>
      <c r="LW58" s="20"/>
      <c r="LX58" s="20"/>
      <c r="LY58" s="20"/>
      <c r="LZ58" s="20"/>
      <c r="MA58" s="20"/>
      <c r="MB58" s="20"/>
      <c r="MC58" s="20"/>
      <c r="MD58" s="20"/>
      <c r="ME58" s="20"/>
      <c r="MF58" s="20"/>
      <c r="MG58" s="20"/>
      <c r="MH58" s="20"/>
      <c r="MI58" s="20"/>
      <c r="MJ58" s="20"/>
      <c r="MK58" s="20"/>
      <c r="ML58" s="20"/>
      <c r="MM58" s="20"/>
      <c r="MN58" s="20"/>
      <c r="MO58" s="20"/>
      <c r="MP58" s="20"/>
      <c r="MQ58" s="20"/>
      <c r="MR58" s="20"/>
      <c r="MS58" s="20"/>
      <c r="MT58" s="20"/>
      <c r="MU58" s="20"/>
      <c r="MV58" s="20"/>
      <c r="MW58" s="20"/>
      <c r="MX58" s="20"/>
      <c r="MY58" s="20"/>
      <c r="MZ58" s="20"/>
      <c r="NA58" s="20"/>
      <c r="NB58" s="20"/>
      <c r="NC58" s="20"/>
      <c r="ND58" s="20"/>
      <c r="NE58" s="20"/>
      <c r="NF58" s="20"/>
      <c r="NG58" s="20"/>
      <c r="NH58" s="20"/>
      <c r="NI58" s="20"/>
      <c r="NJ58" s="20"/>
      <c r="NK58" s="20"/>
      <c r="NL58" s="16"/>
      <c r="NM58" s="16"/>
      <c r="NN58" s="16"/>
      <c r="NO58" s="16"/>
      <c r="NP58" s="16"/>
      <c r="NQ58" s="16"/>
      <c r="NR58" s="16"/>
      <c r="NS58" s="16"/>
      <c r="NT58" s="16"/>
      <c r="NU58" s="16"/>
      <c r="NV58" s="16"/>
      <c r="NW58" s="16"/>
      <c r="NX58" s="16"/>
      <c r="NY58" s="16"/>
      <c r="NZ58" s="20"/>
      <c r="OA58" s="20"/>
      <c r="OB58" s="20"/>
      <c r="OC58" s="20"/>
      <c r="OD58" s="20"/>
      <c r="OE58" s="20"/>
      <c r="OF58" s="20"/>
      <c r="OG58" s="20"/>
      <c r="OH58" s="20"/>
    </row>
    <row r="59" spans="1:399" s="3" customFormat="1" x14ac:dyDescent="0.3">
      <c r="C59" s="20"/>
      <c r="D59" s="20"/>
      <c r="E59" s="20"/>
      <c r="F59" s="20"/>
      <c r="G59" s="20"/>
      <c r="H59" s="20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  <c r="AA59" s="20"/>
      <c r="AB59" s="20"/>
      <c r="AC59" s="20"/>
      <c r="AD59" s="20"/>
      <c r="AE59" s="20"/>
      <c r="AF59" s="20"/>
      <c r="AG59" s="20"/>
      <c r="AH59" s="20"/>
      <c r="AI59" s="16"/>
      <c r="AJ59" s="16"/>
      <c r="AK59" s="16"/>
      <c r="AL59" s="16"/>
      <c r="AM59" s="16"/>
      <c r="AN59" s="16"/>
      <c r="AO59" s="16"/>
      <c r="AP59" s="16"/>
      <c r="AQ59" s="16"/>
      <c r="AR59" s="16"/>
      <c r="AS59" s="16"/>
      <c r="AT59" s="16"/>
      <c r="AU59" s="16"/>
      <c r="AV59" s="16"/>
      <c r="AW59" s="16"/>
      <c r="AX59" s="16"/>
      <c r="AY59" s="16"/>
      <c r="AZ59" s="16"/>
      <c r="BA59" s="16"/>
      <c r="BB59" s="16"/>
      <c r="BC59" s="16"/>
      <c r="BD59" s="16"/>
      <c r="BE59" s="16"/>
      <c r="BF59" s="16"/>
      <c r="BG59" s="16"/>
      <c r="BH59" s="16"/>
      <c r="BI59" s="16"/>
      <c r="BJ59" s="16"/>
      <c r="BK59" s="16"/>
      <c r="BL59" s="16"/>
      <c r="BM59" s="16"/>
      <c r="BN59" s="16"/>
      <c r="BO59" s="16"/>
      <c r="BP59" s="16"/>
      <c r="BQ59" s="16"/>
      <c r="BR59" s="16"/>
      <c r="BS59" s="16"/>
      <c r="BT59" s="16"/>
      <c r="BU59" s="16"/>
      <c r="BV59" s="16"/>
      <c r="BW59" s="16"/>
      <c r="BX59" s="16"/>
      <c r="BY59" s="16"/>
      <c r="BZ59" s="16"/>
      <c r="CA59" s="16"/>
      <c r="CB59" s="16"/>
      <c r="CC59" s="16"/>
      <c r="CD59" s="16"/>
      <c r="CE59" s="16"/>
      <c r="CF59" s="16"/>
      <c r="CG59" s="16"/>
      <c r="CH59" s="16"/>
      <c r="CI59" s="16"/>
      <c r="CJ59" s="16"/>
      <c r="CK59" s="16"/>
      <c r="CL59" s="16"/>
      <c r="CM59" s="16"/>
      <c r="CN59" s="16"/>
      <c r="CO59" s="16"/>
      <c r="CP59" s="16"/>
      <c r="CQ59" s="16"/>
      <c r="CR59" s="16"/>
      <c r="CS59" s="16"/>
      <c r="CT59" s="16"/>
      <c r="CU59" s="16"/>
      <c r="CV59" s="16"/>
      <c r="CW59" s="16"/>
      <c r="CX59" s="16"/>
      <c r="CY59" s="16"/>
      <c r="CZ59" s="16"/>
      <c r="DA59" s="16"/>
      <c r="DB59" s="16"/>
      <c r="DC59" s="16"/>
      <c r="DD59" s="16"/>
      <c r="DE59" s="16"/>
      <c r="DF59" s="16"/>
      <c r="DG59" s="16"/>
      <c r="DH59" s="16"/>
      <c r="DI59" s="16"/>
      <c r="DJ59" s="16"/>
      <c r="DK59" s="16"/>
      <c r="DL59" s="16"/>
      <c r="DM59" s="16"/>
      <c r="DN59" s="20"/>
      <c r="DO59" s="20"/>
      <c r="DP59" s="20"/>
      <c r="DQ59" s="20"/>
      <c r="DR59" s="20"/>
      <c r="DS59" s="20"/>
      <c r="DT59" s="20"/>
      <c r="DU59" s="20"/>
      <c r="DV59" s="20"/>
      <c r="DW59" s="20"/>
      <c r="DX59" s="20"/>
      <c r="DY59" s="20"/>
      <c r="DZ59" s="20"/>
      <c r="EA59" s="20"/>
      <c r="EB59" s="20"/>
      <c r="EC59" s="20"/>
      <c r="ED59" s="20"/>
      <c r="EE59" s="20"/>
      <c r="EF59" s="20"/>
      <c r="EG59" s="20"/>
      <c r="EH59" s="20"/>
      <c r="EI59" s="20"/>
      <c r="EJ59" s="20"/>
      <c r="EK59" s="20"/>
      <c r="EL59" s="20"/>
      <c r="EM59" s="20"/>
      <c r="EN59" s="20"/>
      <c r="EO59" s="20"/>
      <c r="EP59" s="20"/>
      <c r="EQ59" s="20"/>
      <c r="ER59" s="20"/>
      <c r="ES59" s="20"/>
      <c r="ET59" s="20"/>
      <c r="EU59" s="20"/>
      <c r="EV59" s="20"/>
      <c r="EW59" s="20"/>
      <c r="EX59" s="20"/>
      <c r="EY59" s="20"/>
      <c r="EZ59" s="20"/>
      <c r="FA59" s="20"/>
      <c r="FB59" s="20"/>
      <c r="FC59" s="20"/>
      <c r="FD59" s="20"/>
      <c r="FE59" s="20"/>
      <c r="FF59" s="20"/>
      <c r="FG59" s="20"/>
      <c r="FH59" s="20"/>
      <c r="FI59" s="20"/>
      <c r="FJ59" s="20"/>
      <c r="FK59" s="20"/>
      <c r="FL59" s="20"/>
      <c r="FM59" s="20"/>
      <c r="FN59" s="20"/>
      <c r="FO59" s="20"/>
      <c r="FP59" s="20"/>
      <c r="FQ59" s="20"/>
      <c r="FR59" s="20"/>
      <c r="FS59" s="20"/>
      <c r="FT59" s="20"/>
      <c r="FU59" s="20"/>
      <c r="FV59" s="20"/>
      <c r="FW59" s="20"/>
      <c r="FX59" s="20"/>
      <c r="FY59" s="20"/>
      <c r="FZ59" s="20"/>
      <c r="GA59" s="20"/>
      <c r="GB59" s="20"/>
      <c r="GC59" s="20"/>
      <c r="GD59" s="20"/>
      <c r="GE59" s="20"/>
      <c r="GF59" s="20"/>
      <c r="GG59" s="20"/>
      <c r="GH59" s="20"/>
      <c r="GI59" s="20"/>
      <c r="GJ59" s="20"/>
      <c r="GK59" s="20"/>
      <c r="GL59" s="20"/>
      <c r="GM59" s="20"/>
      <c r="GN59" s="20"/>
      <c r="GO59" s="20"/>
      <c r="GP59" s="20"/>
      <c r="GQ59" s="20"/>
      <c r="GR59" s="20"/>
      <c r="GS59" s="20"/>
      <c r="GT59" s="20"/>
      <c r="GU59" s="20"/>
      <c r="GV59" s="20"/>
      <c r="GW59" s="20"/>
      <c r="GX59" s="20"/>
      <c r="GY59" s="20"/>
      <c r="GZ59" s="20"/>
      <c r="HA59" s="20"/>
      <c r="HB59" s="20"/>
      <c r="HC59" s="20"/>
      <c r="HD59" s="20"/>
      <c r="HE59" s="20"/>
      <c r="HF59" s="20"/>
      <c r="HG59" s="20"/>
      <c r="HH59" s="20"/>
      <c r="HI59" s="20"/>
      <c r="HJ59" s="20"/>
      <c r="HK59" s="20"/>
      <c r="HL59" s="20"/>
      <c r="HM59" s="20"/>
      <c r="HN59" s="20"/>
      <c r="HO59" s="20"/>
      <c r="HP59" s="20"/>
      <c r="HQ59" s="20"/>
      <c r="HR59" s="20"/>
      <c r="HS59" s="20"/>
      <c r="HT59" s="20"/>
      <c r="HU59" s="20"/>
      <c r="HV59" s="20"/>
      <c r="HW59" s="20"/>
      <c r="HX59" s="20"/>
      <c r="HY59" s="20"/>
      <c r="HZ59" s="20"/>
      <c r="IA59" s="20"/>
      <c r="IB59" s="20"/>
      <c r="IC59" s="20"/>
      <c r="ID59" s="20"/>
      <c r="IE59" s="20"/>
      <c r="IF59" s="20"/>
      <c r="IG59" s="20"/>
      <c r="IH59" s="20"/>
      <c r="II59" s="20"/>
      <c r="IJ59" s="20"/>
      <c r="IK59" s="20"/>
      <c r="IL59" s="20"/>
      <c r="IM59" s="20"/>
      <c r="IN59" s="20"/>
      <c r="IO59" s="20"/>
      <c r="IP59" s="20"/>
      <c r="IQ59" s="20"/>
      <c r="IR59" s="20"/>
      <c r="IS59" s="20"/>
      <c r="IT59" s="20"/>
      <c r="IU59" s="20"/>
      <c r="IV59" s="20"/>
      <c r="IW59" s="20"/>
      <c r="IX59" s="20"/>
      <c r="IY59" s="20"/>
      <c r="IZ59" s="20"/>
      <c r="JA59" s="20"/>
      <c r="JB59" s="20"/>
      <c r="JC59" s="20"/>
      <c r="JD59" s="20"/>
      <c r="JE59" s="20"/>
      <c r="JF59" s="20"/>
      <c r="JG59" s="20"/>
      <c r="JH59" s="20"/>
      <c r="JI59" s="20"/>
      <c r="JJ59" s="20"/>
      <c r="JK59" s="20"/>
      <c r="JL59" s="20"/>
      <c r="JM59" s="20"/>
      <c r="JN59" s="20"/>
      <c r="JO59" s="20"/>
      <c r="JP59" s="20"/>
      <c r="JQ59" s="20"/>
      <c r="JR59" s="20"/>
      <c r="JS59" s="20"/>
      <c r="JT59" s="20"/>
      <c r="JU59" s="20"/>
      <c r="JV59" s="20"/>
      <c r="JW59" s="20"/>
      <c r="JX59" s="20"/>
      <c r="JY59" s="20"/>
      <c r="JZ59" s="20"/>
      <c r="KA59" s="20"/>
      <c r="KB59" s="20"/>
      <c r="KC59" s="20"/>
      <c r="KD59" s="20"/>
      <c r="KE59" s="20"/>
      <c r="KF59" s="20"/>
      <c r="KG59" s="20"/>
      <c r="KH59" s="20"/>
      <c r="KI59" s="20"/>
      <c r="KJ59" s="20"/>
      <c r="KK59" s="20"/>
      <c r="KL59" s="20"/>
      <c r="KM59" s="20"/>
      <c r="KN59" s="20"/>
      <c r="KO59" s="20"/>
      <c r="KP59" s="20"/>
      <c r="KQ59" s="20"/>
      <c r="KR59" s="20"/>
      <c r="KS59" s="20"/>
      <c r="KT59" s="20"/>
      <c r="KU59" s="20"/>
      <c r="KV59" s="20"/>
      <c r="KW59" s="20"/>
      <c r="KX59" s="20"/>
      <c r="KY59" s="20"/>
      <c r="KZ59" s="20"/>
      <c r="LA59" s="20"/>
      <c r="LB59" s="20"/>
      <c r="LC59" s="20"/>
      <c r="LD59" s="20"/>
      <c r="LE59" s="20"/>
      <c r="LF59" s="20"/>
      <c r="LG59" s="20"/>
      <c r="LH59" s="20"/>
      <c r="LI59" s="20"/>
      <c r="LJ59" s="20"/>
      <c r="LK59" s="20"/>
      <c r="LL59" s="20"/>
      <c r="LM59" s="20"/>
      <c r="LN59" s="20"/>
      <c r="LO59" s="20"/>
      <c r="LP59" s="20"/>
      <c r="LQ59" s="20"/>
      <c r="LR59" s="20"/>
      <c r="LS59" s="20"/>
      <c r="LT59" s="20"/>
      <c r="LU59" s="20"/>
      <c r="LV59" s="20"/>
      <c r="LW59" s="20"/>
      <c r="LX59" s="20"/>
      <c r="LY59" s="20"/>
      <c r="LZ59" s="20"/>
      <c r="MA59" s="20"/>
      <c r="MB59" s="20"/>
      <c r="MC59" s="20"/>
      <c r="MD59" s="20"/>
      <c r="ME59" s="20"/>
      <c r="MF59" s="20"/>
      <c r="MG59" s="20"/>
      <c r="MH59" s="20"/>
      <c r="MI59" s="20"/>
      <c r="MJ59" s="20"/>
      <c r="MK59" s="20"/>
      <c r="ML59" s="20"/>
      <c r="MM59" s="20"/>
      <c r="MN59" s="20"/>
      <c r="MO59" s="20"/>
      <c r="MP59" s="20"/>
      <c r="MQ59" s="20"/>
      <c r="MR59" s="20"/>
      <c r="MS59" s="20"/>
      <c r="MT59" s="20"/>
      <c r="MU59" s="20"/>
      <c r="MV59" s="20"/>
      <c r="MW59" s="20"/>
      <c r="MX59" s="20"/>
      <c r="MY59" s="20"/>
      <c r="MZ59" s="20"/>
      <c r="NA59" s="20"/>
      <c r="NB59" s="20"/>
      <c r="NC59" s="20"/>
      <c r="ND59" s="20"/>
      <c r="NE59" s="20"/>
      <c r="NF59" s="20"/>
      <c r="NG59" s="20"/>
      <c r="NH59" s="20"/>
      <c r="NI59" s="20"/>
      <c r="NJ59" s="20"/>
      <c r="NK59" s="20"/>
      <c r="NL59" s="16"/>
      <c r="NM59" s="16"/>
      <c r="NN59" s="16"/>
      <c r="NO59" s="16"/>
      <c r="NP59" s="16"/>
      <c r="NQ59" s="16"/>
      <c r="NR59" s="16"/>
      <c r="NS59" s="16"/>
      <c r="NT59" s="16"/>
      <c r="NU59" s="16"/>
      <c r="NV59" s="16"/>
      <c r="NW59" s="16"/>
      <c r="NX59" s="16"/>
      <c r="NY59" s="16"/>
      <c r="NZ59" s="20"/>
      <c r="OA59" s="20"/>
      <c r="OB59" s="20"/>
      <c r="OC59" s="20"/>
      <c r="OD59" s="20"/>
      <c r="OE59" s="20"/>
      <c r="OF59" s="20"/>
      <c r="OG59" s="20"/>
      <c r="OH59" s="20"/>
    </row>
    <row r="60" spans="1:399" s="3" customFormat="1" x14ac:dyDescent="0.3"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  <c r="AA60" s="20"/>
      <c r="AB60" s="20"/>
      <c r="AC60" s="20"/>
      <c r="AD60" s="20"/>
      <c r="AE60" s="20"/>
      <c r="AF60" s="20"/>
      <c r="AG60" s="20"/>
      <c r="AH60" s="20"/>
      <c r="AI60" s="16"/>
      <c r="AJ60" s="16"/>
      <c r="AK60" s="16"/>
      <c r="AL60" s="16"/>
      <c r="AM60" s="16"/>
      <c r="AN60" s="16"/>
      <c r="AO60" s="16"/>
      <c r="AP60" s="16"/>
      <c r="AQ60" s="16"/>
      <c r="AR60" s="16"/>
      <c r="AS60" s="16"/>
      <c r="AT60" s="16"/>
      <c r="AU60" s="16"/>
      <c r="AV60" s="16"/>
      <c r="AW60" s="16"/>
      <c r="AX60" s="16"/>
      <c r="AY60" s="16"/>
      <c r="AZ60" s="16"/>
      <c r="BA60" s="16"/>
      <c r="BB60" s="16"/>
      <c r="BC60" s="16"/>
      <c r="BD60" s="16"/>
      <c r="BE60" s="16"/>
      <c r="BF60" s="16"/>
      <c r="BG60" s="16"/>
      <c r="BH60" s="16"/>
      <c r="BI60" s="16"/>
      <c r="BJ60" s="16"/>
      <c r="BK60" s="16"/>
      <c r="BL60" s="16"/>
      <c r="BM60" s="16"/>
      <c r="BN60" s="16"/>
      <c r="BO60" s="16"/>
      <c r="BP60" s="16"/>
      <c r="BQ60" s="16"/>
      <c r="BR60" s="16"/>
      <c r="BS60" s="16"/>
      <c r="BT60" s="16"/>
      <c r="BU60" s="16"/>
      <c r="BV60" s="16"/>
      <c r="BW60" s="16"/>
      <c r="BX60" s="16"/>
      <c r="BY60" s="16"/>
      <c r="BZ60" s="16"/>
      <c r="CA60" s="16"/>
      <c r="CB60" s="16"/>
      <c r="CC60" s="16"/>
      <c r="CD60" s="16"/>
      <c r="CE60" s="16"/>
      <c r="CF60" s="16"/>
      <c r="CG60" s="16"/>
      <c r="CH60" s="16"/>
      <c r="CI60" s="16"/>
      <c r="CJ60" s="16"/>
      <c r="CK60" s="16"/>
      <c r="CL60" s="16"/>
      <c r="CM60" s="16"/>
      <c r="CN60" s="16"/>
      <c r="CO60" s="16"/>
      <c r="CP60" s="16"/>
      <c r="CQ60" s="16"/>
      <c r="CR60" s="16"/>
      <c r="CS60" s="16"/>
      <c r="CT60" s="16"/>
      <c r="CU60" s="16"/>
      <c r="CV60" s="16"/>
      <c r="CW60" s="16"/>
      <c r="CX60" s="16"/>
      <c r="CY60" s="16"/>
      <c r="CZ60" s="16"/>
      <c r="DA60" s="16"/>
      <c r="DB60" s="16"/>
      <c r="DC60" s="16"/>
      <c r="DD60" s="16"/>
      <c r="DE60" s="16"/>
      <c r="DF60" s="16"/>
      <c r="DG60" s="16"/>
      <c r="DH60" s="16"/>
      <c r="DI60" s="16"/>
      <c r="DJ60" s="16"/>
      <c r="DK60" s="16"/>
      <c r="DL60" s="16"/>
      <c r="DM60" s="16"/>
      <c r="DN60" s="20"/>
      <c r="DO60" s="20"/>
      <c r="DP60" s="20"/>
      <c r="DQ60" s="20"/>
      <c r="DR60" s="20"/>
      <c r="DS60" s="20"/>
      <c r="DT60" s="20"/>
      <c r="DU60" s="20"/>
      <c r="DV60" s="20"/>
      <c r="DW60" s="20"/>
      <c r="DX60" s="20"/>
      <c r="DY60" s="20"/>
      <c r="DZ60" s="20"/>
      <c r="EA60" s="20"/>
      <c r="EB60" s="20"/>
      <c r="EC60" s="20"/>
      <c r="ED60" s="20"/>
      <c r="EE60" s="20"/>
      <c r="EF60" s="20"/>
      <c r="EG60" s="20"/>
      <c r="EH60" s="20"/>
      <c r="EI60" s="20"/>
      <c r="EJ60" s="20"/>
      <c r="EK60" s="20"/>
      <c r="EL60" s="20"/>
      <c r="EM60" s="20"/>
      <c r="EN60" s="20"/>
      <c r="EO60" s="20"/>
      <c r="EP60" s="20"/>
      <c r="EQ60" s="20"/>
      <c r="ER60" s="20"/>
      <c r="ES60" s="20"/>
      <c r="ET60" s="20"/>
      <c r="EU60" s="20"/>
      <c r="EV60" s="20"/>
      <c r="EW60" s="20"/>
      <c r="EX60" s="20"/>
      <c r="EY60" s="20"/>
      <c r="EZ60" s="20"/>
      <c r="FA60" s="20"/>
      <c r="FB60" s="20"/>
      <c r="FC60" s="20"/>
      <c r="FD60" s="20"/>
      <c r="FE60" s="20"/>
      <c r="FF60" s="20"/>
      <c r="FG60" s="20"/>
      <c r="FH60" s="20"/>
      <c r="FI60" s="20"/>
      <c r="FJ60" s="20"/>
      <c r="FK60" s="20"/>
      <c r="FL60" s="20"/>
      <c r="FM60" s="20"/>
      <c r="FN60" s="20"/>
      <c r="FO60" s="20"/>
      <c r="FP60" s="20"/>
      <c r="FQ60" s="20"/>
      <c r="FR60" s="20"/>
      <c r="FS60" s="20"/>
      <c r="FT60" s="20"/>
      <c r="FU60" s="20"/>
      <c r="FV60" s="20"/>
      <c r="FW60" s="20"/>
      <c r="FX60" s="20"/>
      <c r="FY60" s="20"/>
      <c r="FZ60" s="20"/>
      <c r="GA60" s="20"/>
      <c r="GB60" s="20"/>
      <c r="GC60" s="20"/>
      <c r="GD60" s="20"/>
      <c r="GE60" s="20"/>
      <c r="GF60" s="20"/>
      <c r="GG60" s="20"/>
      <c r="GH60" s="20"/>
      <c r="GI60" s="20"/>
      <c r="GJ60" s="20"/>
      <c r="GK60" s="20"/>
      <c r="GL60" s="20"/>
      <c r="GM60" s="20"/>
      <c r="GN60" s="20"/>
      <c r="GO60" s="20"/>
      <c r="GP60" s="20"/>
      <c r="GQ60" s="20"/>
      <c r="GR60" s="20"/>
      <c r="GS60" s="20"/>
      <c r="GT60" s="20"/>
      <c r="GU60" s="20"/>
      <c r="GV60" s="20"/>
      <c r="GW60" s="20"/>
      <c r="GX60" s="20"/>
      <c r="GY60" s="20"/>
      <c r="GZ60" s="20"/>
      <c r="HA60" s="20"/>
      <c r="HB60" s="20"/>
      <c r="HC60" s="20"/>
      <c r="HD60" s="20"/>
      <c r="HE60" s="20"/>
      <c r="HF60" s="20"/>
      <c r="HG60" s="20"/>
      <c r="HH60" s="20"/>
      <c r="HI60" s="20"/>
      <c r="HJ60" s="20"/>
      <c r="HK60" s="20"/>
      <c r="HL60" s="20"/>
      <c r="HM60" s="20"/>
      <c r="HN60" s="20"/>
      <c r="HO60" s="20"/>
      <c r="HP60" s="20"/>
      <c r="HQ60" s="20"/>
      <c r="HR60" s="20"/>
      <c r="HS60" s="20"/>
      <c r="HT60" s="20"/>
      <c r="HU60" s="20"/>
      <c r="HV60" s="20"/>
      <c r="HW60" s="20"/>
      <c r="HX60" s="20"/>
      <c r="HY60" s="20"/>
      <c r="HZ60" s="20"/>
      <c r="IA60" s="20"/>
      <c r="IB60" s="20"/>
      <c r="IC60" s="20"/>
      <c r="ID60" s="20"/>
      <c r="IE60" s="20"/>
      <c r="IF60" s="20"/>
      <c r="IG60" s="20"/>
      <c r="IH60" s="20"/>
      <c r="II60" s="20"/>
      <c r="IJ60" s="20"/>
      <c r="IK60" s="20"/>
      <c r="IL60" s="20"/>
      <c r="IM60" s="20"/>
      <c r="IN60" s="20"/>
      <c r="IO60" s="20"/>
      <c r="IP60" s="20"/>
      <c r="IQ60" s="20"/>
      <c r="IR60" s="20"/>
      <c r="IS60" s="20"/>
      <c r="IT60" s="20"/>
      <c r="IU60" s="20"/>
      <c r="IV60" s="20"/>
      <c r="IW60" s="20"/>
      <c r="IX60" s="20"/>
      <c r="IY60" s="20"/>
      <c r="IZ60" s="20"/>
      <c r="JA60" s="20"/>
      <c r="JB60" s="20"/>
      <c r="JC60" s="20"/>
      <c r="JD60" s="20"/>
      <c r="JE60" s="20"/>
      <c r="JF60" s="20"/>
      <c r="JG60" s="20"/>
      <c r="JH60" s="20"/>
      <c r="JI60" s="20"/>
      <c r="JJ60" s="20"/>
      <c r="JK60" s="20"/>
      <c r="JL60" s="20"/>
      <c r="JM60" s="20"/>
      <c r="JN60" s="20"/>
      <c r="JO60" s="20"/>
      <c r="JP60" s="20"/>
      <c r="JQ60" s="20"/>
      <c r="JR60" s="20"/>
      <c r="JS60" s="20"/>
      <c r="JT60" s="20"/>
      <c r="JU60" s="20"/>
      <c r="JV60" s="20"/>
      <c r="JW60" s="20"/>
      <c r="JX60" s="20"/>
      <c r="JY60" s="20"/>
      <c r="JZ60" s="20"/>
      <c r="KA60" s="20"/>
      <c r="KB60" s="20"/>
      <c r="KC60" s="20"/>
      <c r="KD60" s="20"/>
      <c r="KE60" s="20"/>
      <c r="KF60" s="20"/>
      <c r="KG60" s="20"/>
      <c r="KH60" s="20"/>
      <c r="KI60" s="20"/>
      <c r="KJ60" s="20"/>
      <c r="KK60" s="20"/>
      <c r="KL60" s="20"/>
      <c r="KM60" s="20"/>
      <c r="KN60" s="20"/>
      <c r="KO60" s="20"/>
      <c r="KP60" s="20"/>
      <c r="KQ60" s="20"/>
      <c r="KR60" s="20"/>
      <c r="KS60" s="20"/>
      <c r="KT60" s="20"/>
      <c r="KU60" s="20"/>
      <c r="KV60" s="20"/>
      <c r="KW60" s="20"/>
      <c r="KX60" s="20"/>
      <c r="KY60" s="20"/>
      <c r="KZ60" s="20"/>
      <c r="LA60" s="20"/>
      <c r="LB60" s="20"/>
      <c r="LC60" s="20"/>
      <c r="LD60" s="20"/>
      <c r="LE60" s="20"/>
      <c r="LF60" s="20"/>
      <c r="LG60" s="20"/>
      <c r="LH60" s="20"/>
      <c r="LI60" s="20"/>
      <c r="LJ60" s="20"/>
      <c r="LK60" s="20"/>
      <c r="LL60" s="20"/>
      <c r="LM60" s="20"/>
      <c r="LN60" s="20"/>
      <c r="LO60" s="20"/>
      <c r="LP60" s="20"/>
      <c r="LQ60" s="20"/>
      <c r="LR60" s="20"/>
      <c r="LS60" s="20"/>
      <c r="LT60" s="20"/>
      <c r="LU60" s="20"/>
      <c r="LV60" s="20"/>
      <c r="LW60" s="20"/>
      <c r="LX60" s="20"/>
      <c r="LY60" s="20"/>
      <c r="LZ60" s="20"/>
      <c r="MA60" s="20"/>
      <c r="MB60" s="20"/>
      <c r="MC60" s="20"/>
      <c r="MD60" s="20"/>
      <c r="ME60" s="20"/>
      <c r="MF60" s="20"/>
      <c r="MG60" s="20"/>
      <c r="MH60" s="20"/>
      <c r="MI60" s="20"/>
      <c r="MJ60" s="20"/>
      <c r="MK60" s="20"/>
      <c r="ML60" s="20"/>
      <c r="MM60" s="20"/>
      <c r="MN60" s="20"/>
      <c r="MO60" s="20"/>
      <c r="MP60" s="20"/>
      <c r="MQ60" s="20"/>
      <c r="MR60" s="20"/>
      <c r="MS60" s="20"/>
      <c r="MT60" s="20"/>
      <c r="MU60" s="20"/>
      <c r="MV60" s="20"/>
      <c r="MW60" s="20"/>
      <c r="MX60" s="20"/>
      <c r="MY60" s="20"/>
      <c r="MZ60" s="20"/>
      <c r="NA60" s="20"/>
      <c r="NB60" s="20"/>
      <c r="NC60" s="20"/>
      <c r="ND60" s="20"/>
      <c r="NE60" s="20"/>
      <c r="NF60" s="20"/>
      <c r="NG60" s="20"/>
      <c r="NH60" s="20"/>
      <c r="NI60" s="20"/>
      <c r="NJ60" s="20"/>
      <c r="NK60" s="20"/>
      <c r="NL60" s="16"/>
      <c r="NM60" s="16"/>
      <c r="NN60" s="16"/>
      <c r="NO60" s="16"/>
      <c r="NP60" s="16"/>
      <c r="NQ60" s="16"/>
      <c r="NR60" s="16"/>
      <c r="NS60" s="16"/>
      <c r="NT60" s="16"/>
      <c r="NU60" s="16"/>
      <c r="NV60" s="16"/>
      <c r="NW60" s="16"/>
      <c r="NX60" s="16"/>
      <c r="NY60" s="16"/>
      <c r="NZ60" s="20"/>
      <c r="OA60" s="20"/>
      <c r="OB60" s="20"/>
      <c r="OC60" s="20"/>
      <c r="OD60" s="20"/>
      <c r="OE60" s="20"/>
      <c r="OF60" s="20"/>
      <c r="OG60" s="20"/>
      <c r="OH60" s="20"/>
    </row>
    <row r="61" spans="1:399" s="3" customFormat="1" x14ac:dyDescent="0.3"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  <c r="AA61" s="20"/>
      <c r="AB61" s="20"/>
      <c r="AC61" s="20"/>
      <c r="AD61" s="20"/>
      <c r="AE61" s="20"/>
      <c r="AF61" s="20"/>
      <c r="AG61" s="20"/>
      <c r="AH61" s="20"/>
      <c r="AI61" s="16"/>
      <c r="AJ61" s="16"/>
      <c r="AK61" s="16"/>
      <c r="AL61" s="16"/>
      <c r="AM61" s="16"/>
      <c r="AN61" s="16"/>
      <c r="AO61" s="16"/>
      <c r="AP61" s="16"/>
      <c r="AQ61" s="16"/>
      <c r="AR61" s="16"/>
      <c r="AS61" s="16"/>
      <c r="AT61" s="16"/>
      <c r="AU61" s="16"/>
      <c r="AV61" s="16"/>
      <c r="AW61" s="16"/>
      <c r="AX61" s="16"/>
      <c r="AY61" s="16"/>
      <c r="AZ61" s="16"/>
      <c r="BA61" s="16"/>
      <c r="BB61" s="16"/>
      <c r="BC61" s="16"/>
      <c r="BD61" s="16"/>
      <c r="BE61" s="16"/>
      <c r="BF61" s="16"/>
      <c r="BG61" s="16"/>
      <c r="BH61" s="16"/>
      <c r="BI61" s="16"/>
      <c r="BJ61" s="16"/>
      <c r="BK61" s="16"/>
      <c r="BL61" s="16"/>
      <c r="BM61" s="16"/>
      <c r="BN61" s="16"/>
      <c r="BO61" s="16"/>
      <c r="BP61" s="16"/>
      <c r="BQ61" s="16"/>
      <c r="BR61" s="16"/>
      <c r="BS61" s="16"/>
      <c r="BT61" s="16"/>
      <c r="BU61" s="16"/>
      <c r="BV61" s="16"/>
      <c r="BW61" s="16"/>
      <c r="BX61" s="16"/>
      <c r="BY61" s="16"/>
      <c r="BZ61" s="16"/>
      <c r="CA61" s="16"/>
      <c r="CB61" s="16"/>
      <c r="CC61" s="16"/>
      <c r="CD61" s="16"/>
      <c r="CE61" s="16"/>
      <c r="CF61" s="16"/>
      <c r="CG61" s="16"/>
      <c r="CH61" s="16"/>
      <c r="CI61" s="16"/>
      <c r="CJ61" s="16"/>
      <c r="CK61" s="16"/>
      <c r="CL61" s="16"/>
      <c r="CM61" s="16"/>
      <c r="CN61" s="16"/>
      <c r="CO61" s="16"/>
      <c r="CP61" s="16"/>
      <c r="CQ61" s="16"/>
      <c r="CR61" s="16"/>
      <c r="CS61" s="16"/>
      <c r="CT61" s="16"/>
      <c r="CU61" s="16"/>
      <c r="CV61" s="16"/>
      <c r="CW61" s="16"/>
      <c r="CX61" s="16"/>
      <c r="CY61" s="16"/>
      <c r="CZ61" s="16"/>
      <c r="DA61" s="16"/>
      <c r="DB61" s="16"/>
      <c r="DC61" s="16"/>
      <c r="DD61" s="16"/>
      <c r="DE61" s="16"/>
      <c r="DF61" s="16"/>
      <c r="DG61" s="16"/>
      <c r="DH61" s="16"/>
      <c r="DI61" s="16"/>
      <c r="DJ61" s="16"/>
      <c r="DK61" s="16"/>
      <c r="DL61" s="16"/>
      <c r="DM61" s="16"/>
      <c r="DN61" s="20"/>
      <c r="DO61" s="20"/>
      <c r="DP61" s="20"/>
      <c r="DQ61" s="20"/>
      <c r="DR61" s="20"/>
      <c r="DS61" s="20"/>
      <c r="DT61" s="20"/>
      <c r="DU61" s="20"/>
      <c r="DV61" s="20"/>
      <c r="DW61" s="20"/>
      <c r="DX61" s="20"/>
      <c r="DY61" s="20"/>
      <c r="DZ61" s="20"/>
      <c r="EA61" s="20"/>
      <c r="EB61" s="20"/>
      <c r="EC61" s="20"/>
      <c r="ED61" s="20"/>
      <c r="EE61" s="20"/>
      <c r="EF61" s="20"/>
      <c r="EG61" s="20"/>
      <c r="EH61" s="20"/>
      <c r="EI61" s="20"/>
      <c r="EJ61" s="20"/>
      <c r="EK61" s="20"/>
      <c r="EL61" s="20"/>
      <c r="EM61" s="20"/>
      <c r="EN61" s="20"/>
      <c r="EO61" s="20"/>
      <c r="EP61" s="20"/>
      <c r="EQ61" s="20"/>
      <c r="ER61" s="20"/>
      <c r="ES61" s="20"/>
      <c r="ET61" s="20"/>
      <c r="EU61" s="20"/>
      <c r="EV61" s="20"/>
      <c r="EW61" s="20"/>
      <c r="EX61" s="20"/>
      <c r="EY61" s="20"/>
      <c r="EZ61" s="20"/>
      <c r="FA61" s="20"/>
      <c r="FB61" s="20"/>
      <c r="FC61" s="20"/>
      <c r="FD61" s="20"/>
      <c r="FE61" s="20"/>
      <c r="FF61" s="20"/>
      <c r="FG61" s="20"/>
      <c r="FH61" s="20"/>
      <c r="FI61" s="20"/>
      <c r="FJ61" s="20"/>
      <c r="FK61" s="20"/>
      <c r="FL61" s="20"/>
      <c r="FM61" s="20"/>
      <c r="FN61" s="20"/>
      <c r="FO61" s="20"/>
      <c r="FP61" s="20"/>
      <c r="FQ61" s="20"/>
      <c r="FR61" s="20"/>
      <c r="FS61" s="20"/>
      <c r="FT61" s="20"/>
      <c r="FU61" s="20"/>
      <c r="FV61" s="20"/>
      <c r="FW61" s="20"/>
      <c r="FX61" s="20"/>
      <c r="FY61" s="20"/>
      <c r="FZ61" s="20"/>
      <c r="GA61" s="20"/>
      <c r="GB61" s="20"/>
      <c r="GC61" s="20"/>
      <c r="GD61" s="20"/>
      <c r="GE61" s="20"/>
      <c r="GF61" s="20"/>
      <c r="GG61" s="20"/>
      <c r="GH61" s="20"/>
      <c r="GI61" s="20"/>
      <c r="GJ61" s="20"/>
      <c r="GK61" s="20"/>
      <c r="GL61" s="20"/>
      <c r="GM61" s="20"/>
      <c r="GN61" s="20"/>
      <c r="GO61" s="20"/>
      <c r="GP61" s="20"/>
      <c r="GQ61" s="20"/>
      <c r="GR61" s="20"/>
      <c r="GS61" s="20"/>
      <c r="GT61" s="20"/>
      <c r="GU61" s="20"/>
      <c r="GV61" s="20"/>
      <c r="GW61" s="20"/>
      <c r="GX61" s="20"/>
      <c r="GY61" s="20"/>
      <c r="GZ61" s="20"/>
      <c r="HA61" s="20"/>
      <c r="HB61" s="20"/>
      <c r="HC61" s="20"/>
      <c r="HD61" s="20"/>
      <c r="HE61" s="20"/>
      <c r="HF61" s="20"/>
      <c r="HG61" s="20"/>
      <c r="HH61" s="20"/>
      <c r="HI61" s="20"/>
      <c r="HJ61" s="20"/>
      <c r="HK61" s="20"/>
      <c r="HL61" s="20"/>
      <c r="HM61" s="20"/>
      <c r="HN61" s="20"/>
      <c r="HO61" s="20"/>
      <c r="HP61" s="20"/>
      <c r="HQ61" s="20"/>
      <c r="HR61" s="20"/>
      <c r="HS61" s="20"/>
      <c r="HT61" s="20"/>
      <c r="HU61" s="20"/>
      <c r="HV61" s="20"/>
      <c r="HW61" s="20"/>
      <c r="HX61" s="20"/>
      <c r="HY61" s="20"/>
      <c r="HZ61" s="20"/>
      <c r="IA61" s="20"/>
      <c r="IB61" s="20"/>
      <c r="IC61" s="20"/>
      <c r="ID61" s="20"/>
      <c r="IE61" s="20"/>
      <c r="IF61" s="20"/>
      <c r="IG61" s="20"/>
      <c r="IH61" s="20"/>
      <c r="II61" s="20"/>
      <c r="IJ61" s="20"/>
      <c r="IK61" s="20"/>
      <c r="IL61" s="20"/>
      <c r="IM61" s="20"/>
      <c r="IN61" s="20"/>
      <c r="IO61" s="20"/>
      <c r="IP61" s="20"/>
      <c r="IQ61" s="20"/>
      <c r="IR61" s="20"/>
      <c r="IS61" s="20"/>
      <c r="IT61" s="20"/>
      <c r="IU61" s="20"/>
      <c r="IV61" s="20"/>
      <c r="IW61" s="20"/>
      <c r="IX61" s="20"/>
      <c r="IY61" s="20"/>
      <c r="IZ61" s="20"/>
      <c r="JA61" s="20"/>
      <c r="JB61" s="20"/>
      <c r="JC61" s="20"/>
      <c r="JD61" s="20"/>
      <c r="JE61" s="20"/>
      <c r="JF61" s="20"/>
      <c r="JG61" s="20"/>
      <c r="JH61" s="20"/>
      <c r="JI61" s="20"/>
      <c r="JJ61" s="20"/>
      <c r="JK61" s="20"/>
      <c r="JL61" s="20"/>
      <c r="JM61" s="20"/>
      <c r="JN61" s="20"/>
      <c r="JO61" s="20"/>
      <c r="JP61" s="20"/>
      <c r="JQ61" s="20"/>
      <c r="JR61" s="20"/>
      <c r="JS61" s="20"/>
      <c r="JT61" s="20"/>
      <c r="JU61" s="20"/>
      <c r="JV61" s="20"/>
      <c r="JW61" s="20"/>
      <c r="JX61" s="20"/>
      <c r="JY61" s="20"/>
      <c r="JZ61" s="20"/>
      <c r="KA61" s="20"/>
      <c r="KB61" s="20"/>
      <c r="KC61" s="20"/>
      <c r="KD61" s="20"/>
      <c r="KE61" s="20"/>
      <c r="KF61" s="20"/>
      <c r="KG61" s="20"/>
      <c r="KH61" s="20"/>
      <c r="KI61" s="20"/>
      <c r="KJ61" s="20"/>
      <c r="KK61" s="20"/>
      <c r="KL61" s="20"/>
      <c r="KM61" s="20"/>
      <c r="KN61" s="20"/>
      <c r="KO61" s="20"/>
      <c r="KP61" s="20"/>
      <c r="KQ61" s="20"/>
      <c r="KR61" s="20"/>
      <c r="KS61" s="20"/>
      <c r="KT61" s="20"/>
      <c r="KU61" s="20"/>
      <c r="KV61" s="20"/>
      <c r="KW61" s="20"/>
      <c r="KX61" s="20"/>
      <c r="KY61" s="20"/>
      <c r="KZ61" s="20"/>
      <c r="LA61" s="20"/>
      <c r="LB61" s="20"/>
      <c r="LC61" s="20"/>
      <c r="LD61" s="20"/>
      <c r="LE61" s="20"/>
      <c r="LF61" s="20"/>
      <c r="LG61" s="20"/>
      <c r="LH61" s="20"/>
      <c r="LI61" s="20"/>
      <c r="LJ61" s="20"/>
      <c r="LK61" s="20"/>
      <c r="LL61" s="20"/>
      <c r="LM61" s="20"/>
      <c r="LN61" s="20"/>
      <c r="LO61" s="20"/>
      <c r="LP61" s="20"/>
      <c r="LQ61" s="20"/>
      <c r="LR61" s="20"/>
      <c r="LS61" s="20"/>
      <c r="LT61" s="20"/>
      <c r="LU61" s="20"/>
      <c r="LV61" s="20"/>
      <c r="LW61" s="20"/>
      <c r="LX61" s="20"/>
      <c r="LY61" s="20"/>
      <c r="LZ61" s="20"/>
      <c r="MA61" s="20"/>
      <c r="MB61" s="20"/>
      <c r="MC61" s="20"/>
      <c r="MD61" s="20"/>
      <c r="ME61" s="20"/>
      <c r="MF61" s="20"/>
      <c r="MG61" s="20"/>
      <c r="MH61" s="20"/>
      <c r="MI61" s="20"/>
      <c r="MJ61" s="20"/>
      <c r="MK61" s="20"/>
      <c r="ML61" s="20"/>
      <c r="MM61" s="20"/>
      <c r="MN61" s="20"/>
      <c r="MO61" s="20"/>
      <c r="MP61" s="20"/>
      <c r="MQ61" s="20"/>
      <c r="MR61" s="20"/>
      <c r="MS61" s="20"/>
      <c r="MT61" s="20"/>
      <c r="MU61" s="20"/>
      <c r="MV61" s="20"/>
      <c r="MW61" s="20"/>
      <c r="MX61" s="20"/>
      <c r="MY61" s="20"/>
      <c r="MZ61" s="20"/>
      <c r="NA61" s="20"/>
      <c r="NB61" s="20"/>
      <c r="NC61" s="20"/>
      <c r="ND61" s="20"/>
      <c r="NE61" s="20"/>
      <c r="NF61" s="20"/>
      <c r="NG61" s="20"/>
      <c r="NH61" s="20"/>
      <c r="NI61" s="20"/>
      <c r="NJ61" s="20"/>
      <c r="NK61" s="20"/>
      <c r="NL61" s="16"/>
      <c r="NM61" s="16"/>
      <c r="NN61" s="16"/>
      <c r="NO61" s="16"/>
      <c r="NP61" s="16"/>
      <c r="NQ61" s="16"/>
      <c r="NR61" s="16"/>
      <c r="NS61" s="16"/>
      <c r="NT61" s="16"/>
      <c r="NU61" s="16"/>
      <c r="NV61" s="16"/>
      <c r="NW61" s="16"/>
      <c r="NX61" s="16"/>
      <c r="NY61" s="16"/>
      <c r="NZ61" s="20"/>
      <c r="OA61" s="20"/>
      <c r="OB61" s="20"/>
      <c r="OC61" s="20"/>
      <c r="OD61" s="20"/>
      <c r="OE61" s="20"/>
      <c r="OF61" s="20"/>
      <c r="OG61" s="20"/>
      <c r="OH61" s="20"/>
    </row>
    <row r="62" spans="1:399" s="3" customFormat="1" x14ac:dyDescent="0.3"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0"/>
      <c r="Y62" s="20"/>
      <c r="Z62" s="20"/>
      <c r="AA62" s="20"/>
      <c r="AB62" s="20"/>
      <c r="AC62" s="20"/>
      <c r="AD62" s="20"/>
      <c r="AE62" s="20"/>
      <c r="AF62" s="20"/>
      <c r="AG62" s="20"/>
      <c r="AH62" s="20"/>
      <c r="AI62" s="16"/>
      <c r="AJ62" s="16"/>
      <c r="AK62" s="16"/>
      <c r="AL62" s="16"/>
      <c r="AM62" s="16"/>
      <c r="AN62" s="16"/>
      <c r="AO62" s="16"/>
      <c r="AP62" s="16"/>
      <c r="AQ62" s="16"/>
      <c r="AR62" s="16"/>
      <c r="AS62" s="16"/>
      <c r="AT62" s="16"/>
      <c r="AU62" s="16"/>
      <c r="AV62" s="16"/>
      <c r="AW62" s="16"/>
      <c r="AX62" s="16"/>
      <c r="AY62" s="16"/>
      <c r="AZ62" s="16"/>
      <c r="BA62" s="16"/>
      <c r="BB62" s="16"/>
      <c r="BC62" s="16"/>
      <c r="BD62" s="16"/>
      <c r="BE62" s="16"/>
      <c r="BF62" s="16"/>
      <c r="BG62" s="16"/>
      <c r="BH62" s="16"/>
      <c r="BI62" s="16"/>
      <c r="BJ62" s="16"/>
      <c r="BK62" s="16"/>
      <c r="BL62" s="16"/>
      <c r="BM62" s="16"/>
      <c r="BN62" s="16"/>
      <c r="BO62" s="16"/>
      <c r="BP62" s="16"/>
      <c r="BQ62" s="16"/>
      <c r="BR62" s="16"/>
      <c r="BS62" s="16"/>
      <c r="BT62" s="16"/>
      <c r="BU62" s="16"/>
      <c r="BV62" s="16"/>
      <c r="BW62" s="16"/>
      <c r="BX62" s="16"/>
      <c r="BY62" s="16"/>
      <c r="BZ62" s="16"/>
      <c r="CA62" s="16"/>
      <c r="CB62" s="16"/>
      <c r="CC62" s="16"/>
      <c r="CD62" s="16"/>
      <c r="CE62" s="16"/>
      <c r="CF62" s="16"/>
      <c r="CG62" s="16"/>
      <c r="CH62" s="16"/>
      <c r="CI62" s="16"/>
      <c r="CJ62" s="16"/>
      <c r="CK62" s="16"/>
      <c r="CL62" s="16"/>
      <c r="CM62" s="16"/>
      <c r="CN62" s="16"/>
      <c r="CO62" s="16"/>
      <c r="CP62" s="16"/>
      <c r="CQ62" s="16"/>
      <c r="CR62" s="16"/>
      <c r="CS62" s="16"/>
      <c r="CT62" s="16"/>
      <c r="CU62" s="16"/>
      <c r="CV62" s="16"/>
      <c r="CW62" s="16"/>
      <c r="CX62" s="16"/>
      <c r="CY62" s="16"/>
      <c r="CZ62" s="16"/>
      <c r="DA62" s="16"/>
      <c r="DB62" s="16"/>
      <c r="DC62" s="16"/>
      <c r="DD62" s="16"/>
      <c r="DE62" s="16"/>
      <c r="DF62" s="16"/>
      <c r="DG62" s="16"/>
      <c r="DH62" s="16"/>
      <c r="DI62" s="16"/>
      <c r="DJ62" s="16"/>
      <c r="DK62" s="16"/>
      <c r="DL62" s="16"/>
      <c r="DM62" s="16"/>
      <c r="DN62" s="20"/>
      <c r="DO62" s="20"/>
      <c r="DP62" s="20"/>
      <c r="DQ62" s="20"/>
      <c r="DR62" s="20"/>
      <c r="DS62" s="20"/>
      <c r="DT62" s="20"/>
      <c r="DU62" s="20"/>
      <c r="DV62" s="20"/>
      <c r="DW62" s="20"/>
      <c r="DX62" s="20"/>
      <c r="DY62" s="20"/>
      <c r="DZ62" s="20"/>
      <c r="EA62" s="20"/>
      <c r="EB62" s="20"/>
      <c r="EC62" s="20"/>
      <c r="ED62" s="20"/>
      <c r="EE62" s="20"/>
      <c r="EF62" s="20"/>
      <c r="EG62" s="20"/>
      <c r="EH62" s="20"/>
      <c r="EI62" s="20"/>
      <c r="EJ62" s="20"/>
      <c r="EK62" s="20"/>
      <c r="EL62" s="20"/>
      <c r="EM62" s="20"/>
      <c r="EN62" s="20"/>
      <c r="EO62" s="20"/>
      <c r="EP62" s="20"/>
      <c r="EQ62" s="20"/>
      <c r="ER62" s="20"/>
      <c r="ES62" s="20"/>
      <c r="ET62" s="20"/>
      <c r="EU62" s="20"/>
      <c r="EV62" s="20"/>
      <c r="EW62" s="20"/>
      <c r="EX62" s="20"/>
      <c r="EY62" s="20"/>
      <c r="EZ62" s="20"/>
      <c r="FA62" s="20"/>
      <c r="FB62" s="20"/>
      <c r="FC62" s="20"/>
      <c r="FD62" s="20"/>
      <c r="FE62" s="20"/>
      <c r="FF62" s="20"/>
      <c r="FG62" s="20"/>
      <c r="FH62" s="20"/>
      <c r="FI62" s="20"/>
      <c r="FJ62" s="20"/>
      <c r="FK62" s="20"/>
      <c r="FL62" s="20"/>
      <c r="FM62" s="20"/>
      <c r="FN62" s="20"/>
      <c r="FO62" s="20"/>
      <c r="FP62" s="20"/>
      <c r="FQ62" s="20"/>
      <c r="FR62" s="20"/>
      <c r="FS62" s="20"/>
      <c r="FT62" s="20"/>
      <c r="FU62" s="20"/>
      <c r="FV62" s="20"/>
      <c r="FW62" s="20"/>
      <c r="FX62" s="20"/>
      <c r="FY62" s="20"/>
      <c r="FZ62" s="20"/>
      <c r="GA62" s="20"/>
      <c r="GB62" s="20"/>
      <c r="GC62" s="20"/>
      <c r="GD62" s="20"/>
      <c r="GE62" s="20"/>
      <c r="GF62" s="20"/>
      <c r="GG62" s="20"/>
      <c r="GH62" s="20"/>
      <c r="GI62" s="20"/>
      <c r="GJ62" s="20"/>
      <c r="GK62" s="20"/>
      <c r="GL62" s="20"/>
      <c r="GM62" s="20"/>
      <c r="GN62" s="20"/>
      <c r="GO62" s="20"/>
      <c r="GP62" s="20"/>
      <c r="GQ62" s="20"/>
      <c r="GR62" s="20"/>
      <c r="GS62" s="20"/>
      <c r="GT62" s="20"/>
      <c r="GU62" s="20"/>
      <c r="GV62" s="20"/>
      <c r="GW62" s="20"/>
      <c r="GX62" s="20"/>
      <c r="GY62" s="20"/>
      <c r="GZ62" s="20"/>
      <c r="HA62" s="20"/>
      <c r="HB62" s="20"/>
      <c r="HC62" s="20"/>
      <c r="HD62" s="20"/>
      <c r="HE62" s="20"/>
      <c r="HF62" s="20"/>
      <c r="HG62" s="20"/>
      <c r="HH62" s="20"/>
      <c r="HI62" s="20"/>
      <c r="HJ62" s="20"/>
      <c r="HK62" s="20"/>
      <c r="HL62" s="20"/>
      <c r="HM62" s="20"/>
      <c r="HN62" s="20"/>
      <c r="HO62" s="20"/>
      <c r="HP62" s="20"/>
      <c r="HQ62" s="20"/>
      <c r="HR62" s="20"/>
      <c r="HS62" s="20"/>
      <c r="HT62" s="20"/>
      <c r="HU62" s="20"/>
      <c r="HV62" s="20"/>
      <c r="HW62" s="20"/>
      <c r="HX62" s="20"/>
      <c r="HY62" s="20"/>
      <c r="HZ62" s="20"/>
      <c r="IA62" s="20"/>
      <c r="IB62" s="20"/>
      <c r="IC62" s="20"/>
      <c r="ID62" s="20"/>
      <c r="IE62" s="20"/>
      <c r="IF62" s="20"/>
      <c r="IG62" s="20"/>
      <c r="IH62" s="20"/>
      <c r="II62" s="20"/>
      <c r="IJ62" s="20"/>
      <c r="IK62" s="20"/>
      <c r="IL62" s="20"/>
      <c r="IM62" s="20"/>
      <c r="IN62" s="20"/>
      <c r="IO62" s="20"/>
      <c r="IP62" s="20"/>
      <c r="IQ62" s="20"/>
      <c r="IR62" s="20"/>
      <c r="IS62" s="20"/>
      <c r="IT62" s="20"/>
      <c r="IU62" s="20"/>
      <c r="IV62" s="20"/>
      <c r="IW62" s="20"/>
      <c r="IX62" s="20"/>
      <c r="IY62" s="20"/>
      <c r="IZ62" s="20"/>
      <c r="JA62" s="20"/>
      <c r="JB62" s="20"/>
      <c r="JC62" s="20"/>
      <c r="JD62" s="20"/>
      <c r="JE62" s="20"/>
      <c r="JF62" s="20"/>
      <c r="JG62" s="20"/>
      <c r="JH62" s="20"/>
      <c r="JI62" s="20"/>
      <c r="JJ62" s="20"/>
      <c r="JK62" s="20"/>
      <c r="JL62" s="20"/>
      <c r="JM62" s="20"/>
      <c r="JN62" s="20"/>
      <c r="JO62" s="20"/>
      <c r="JP62" s="20"/>
      <c r="JQ62" s="20"/>
      <c r="JR62" s="20"/>
      <c r="JS62" s="20"/>
      <c r="JT62" s="20"/>
      <c r="JU62" s="20"/>
      <c r="JV62" s="20"/>
      <c r="JW62" s="20"/>
      <c r="JX62" s="20"/>
      <c r="JY62" s="20"/>
      <c r="JZ62" s="20"/>
      <c r="KA62" s="20"/>
      <c r="KB62" s="20"/>
      <c r="KC62" s="20"/>
      <c r="KD62" s="20"/>
      <c r="KE62" s="20"/>
      <c r="KF62" s="20"/>
      <c r="KG62" s="20"/>
      <c r="KH62" s="20"/>
      <c r="KI62" s="20"/>
      <c r="KJ62" s="20"/>
      <c r="KK62" s="20"/>
      <c r="KL62" s="20"/>
      <c r="KM62" s="20"/>
      <c r="KN62" s="20"/>
      <c r="KO62" s="20"/>
      <c r="KP62" s="20"/>
      <c r="KQ62" s="20"/>
      <c r="KR62" s="20"/>
      <c r="KS62" s="20"/>
      <c r="KT62" s="20"/>
      <c r="KU62" s="20"/>
      <c r="KV62" s="20"/>
      <c r="KW62" s="20"/>
      <c r="KX62" s="20"/>
      <c r="KY62" s="20"/>
      <c r="KZ62" s="20"/>
      <c r="LA62" s="20"/>
      <c r="LB62" s="20"/>
      <c r="LC62" s="20"/>
      <c r="LD62" s="20"/>
      <c r="LE62" s="20"/>
      <c r="LF62" s="20"/>
      <c r="LG62" s="20"/>
      <c r="LH62" s="20"/>
      <c r="LI62" s="20"/>
      <c r="LJ62" s="20"/>
      <c r="LK62" s="20"/>
      <c r="LL62" s="20"/>
      <c r="LM62" s="20"/>
      <c r="LN62" s="20"/>
      <c r="LO62" s="20"/>
      <c r="LP62" s="20"/>
      <c r="LQ62" s="20"/>
      <c r="LR62" s="20"/>
      <c r="LS62" s="20"/>
      <c r="LT62" s="20"/>
      <c r="LU62" s="20"/>
      <c r="LV62" s="20"/>
      <c r="LW62" s="20"/>
      <c r="LX62" s="20"/>
      <c r="LY62" s="20"/>
      <c r="LZ62" s="20"/>
      <c r="MA62" s="20"/>
      <c r="MB62" s="20"/>
      <c r="MC62" s="20"/>
      <c r="MD62" s="20"/>
      <c r="ME62" s="20"/>
      <c r="MF62" s="20"/>
      <c r="MG62" s="20"/>
      <c r="MH62" s="20"/>
      <c r="MI62" s="20"/>
      <c r="MJ62" s="20"/>
      <c r="MK62" s="20"/>
      <c r="ML62" s="20"/>
      <c r="MM62" s="20"/>
      <c r="MN62" s="20"/>
      <c r="MO62" s="20"/>
      <c r="MP62" s="20"/>
      <c r="MQ62" s="20"/>
      <c r="MR62" s="20"/>
      <c r="MS62" s="20"/>
      <c r="MT62" s="20"/>
      <c r="MU62" s="20"/>
      <c r="MV62" s="20"/>
      <c r="MW62" s="20"/>
      <c r="MX62" s="20"/>
      <c r="MY62" s="20"/>
      <c r="MZ62" s="20"/>
      <c r="NA62" s="20"/>
      <c r="NB62" s="20"/>
      <c r="NC62" s="20"/>
      <c r="ND62" s="20"/>
      <c r="NE62" s="20"/>
      <c r="NF62" s="20"/>
      <c r="NG62" s="20"/>
      <c r="NH62" s="20"/>
      <c r="NI62" s="20"/>
      <c r="NJ62" s="20"/>
      <c r="NK62" s="20"/>
      <c r="NL62" s="16"/>
      <c r="NM62" s="16"/>
      <c r="NN62" s="16"/>
      <c r="NO62" s="16"/>
      <c r="NP62" s="16"/>
      <c r="NQ62" s="16"/>
      <c r="NR62" s="16"/>
      <c r="NS62" s="16"/>
      <c r="NT62" s="16"/>
      <c r="NU62" s="16"/>
      <c r="NV62" s="16"/>
      <c r="NW62" s="16"/>
      <c r="NX62" s="16"/>
      <c r="NY62" s="16"/>
      <c r="NZ62" s="20"/>
      <c r="OA62" s="20"/>
      <c r="OB62" s="20"/>
      <c r="OC62" s="20"/>
      <c r="OD62" s="20"/>
      <c r="OE62" s="20"/>
      <c r="OF62" s="20"/>
      <c r="OG62" s="20"/>
      <c r="OH62" s="20"/>
    </row>
    <row r="63" spans="1:399" s="3" customFormat="1" x14ac:dyDescent="0.3"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0"/>
      <c r="Y63" s="20"/>
      <c r="Z63" s="20"/>
      <c r="AA63" s="20"/>
      <c r="AB63" s="20"/>
      <c r="AC63" s="20"/>
      <c r="AD63" s="20"/>
      <c r="AE63" s="20"/>
      <c r="AF63" s="20"/>
      <c r="AG63" s="20"/>
      <c r="AH63" s="20"/>
      <c r="AI63" s="20"/>
      <c r="AJ63" s="20"/>
      <c r="AK63" s="20"/>
      <c r="AL63" s="20"/>
      <c r="AM63" s="16"/>
      <c r="AN63" s="16"/>
      <c r="AO63" s="16"/>
      <c r="AP63" s="16"/>
      <c r="AQ63" s="16"/>
      <c r="AR63" s="16"/>
      <c r="AS63" s="16"/>
      <c r="AT63" s="16"/>
      <c r="AU63" s="16"/>
      <c r="AV63" s="16"/>
      <c r="AW63" s="16"/>
      <c r="AX63" s="16"/>
      <c r="AY63" s="16"/>
      <c r="AZ63" s="16"/>
      <c r="BA63" s="16"/>
      <c r="BB63" s="16"/>
      <c r="BC63" s="16"/>
      <c r="BD63" s="16"/>
      <c r="BE63" s="16"/>
      <c r="BF63" s="16"/>
      <c r="BG63" s="16"/>
      <c r="BH63" s="16"/>
      <c r="BI63" s="16"/>
      <c r="BJ63" s="16"/>
      <c r="BK63" s="16"/>
      <c r="BL63" s="16"/>
      <c r="BM63" s="16"/>
      <c r="BN63" s="16"/>
      <c r="BO63" s="16"/>
      <c r="BP63" s="16"/>
      <c r="BQ63" s="16"/>
      <c r="BR63" s="16"/>
      <c r="BS63" s="16"/>
      <c r="BT63" s="16"/>
      <c r="BU63" s="16"/>
      <c r="BV63" s="16"/>
      <c r="BW63" s="16"/>
      <c r="BX63" s="16"/>
      <c r="BY63" s="16"/>
      <c r="BZ63" s="16"/>
      <c r="CA63" s="16"/>
      <c r="CB63" s="16"/>
      <c r="CC63" s="16"/>
      <c r="CD63" s="16"/>
      <c r="CE63" s="16"/>
      <c r="CF63" s="16"/>
      <c r="CG63" s="16"/>
      <c r="CH63" s="16"/>
      <c r="CI63" s="16"/>
      <c r="CJ63" s="16"/>
      <c r="CK63" s="16"/>
      <c r="CL63" s="16"/>
      <c r="CM63" s="16"/>
      <c r="CN63" s="16"/>
      <c r="CO63" s="16"/>
      <c r="CP63" s="16"/>
      <c r="CQ63" s="16"/>
      <c r="CR63" s="16"/>
      <c r="CS63" s="16"/>
      <c r="CT63" s="16"/>
      <c r="CU63" s="16"/>
      <c r="CV63" s="16"/>
      <c r="CW63" s="16"/>
      <c r="CX63" s="16"/>
      <c r="CY63" s="16"/>
      <c r="CZ63" s="16"/>
      <c r="DA63" s="16"/>
      <c r="DB63" s="16"/>
      <c r="DC63" s="16"/>
      <c r="DD63" s="16"/>
      <c r="DE63" s="16"/>
      <c r="DF63" s="16"/>
      <c r="DG63" s="16"/>
      <c r="DH63" s="16"/>
      <c r="DI63" s="16"/>
      <c r="DJ63" s="16"/>
      <c r="DK63" s="16"/>
      <c r="DL63" s="16"/>
      <c r="DM63" s="16"/>
      <c r="DN63" s="16"/>
      <c r="DO63" s="16"/>
      <c r="DP63" s="16"/>
      <c r="DQ63" s="16"/>
      <c r="DR63" s="20"/>
      <c r="DS63" s="20"/>
      <c r="DT63" s="20"/>
      <c r="DU63" s="20"/>
      <c r="DV63" s="20"/>
      <c r="DW63" s="20"/>
      <c r="DX63" s="20"/>
      <c r="DY63" s="20"/>
      <c r="DZ63" s="20"/>
      <c r="EA63" s="20"/>
      <c r="EB63" s="20"/>
      <c r="EC63" s="20"/>
      <c r="ED63" s="20"/>
      <c r="EE63" s="20"/>
      <c r="EF63" s="20"/>
      <c r="EG63" s="20"/>
      <c r="EH63" s="20"/>
      <c r="EI63" s="20"/>
      <c r="EJ63" s="20"/>
      <c r="EK63" s="20"/>
      <c r="EL63" s="20"/>
      <c r="EM63" s="20"/>
      <c r="EN63" s="20"/>
      <c r="EO63" s="20"/>
      <c r="EP63" s="20"/>
      <c r="EQ63" s="20"/>
      <c r="ER63" s="20"/>
      <c r="ES63" s="20"/>
      <c r="ET63" s="20"/>
      <c r="EU63" s="20"/>
      <c r="EV63" s="20"/>
      <c r="EW63" s="20"/>
      <c r="EX63" s="20"/>
      <c r="EY63" s="20"/>
      <c r="EZ63" s="20"/>
      <c r="FA63" s="20"/>
      <c r="FB63" s="20"/>
      <c r="FC63" s="20"/>
      <c r="FD63" s="20"/>
      <c r="FE63" s="20"/>
      <c r="FF63" s="20"/>
      <c r="FG63" s="20"/>
      <c r="FH63" s="20"/>
      <c r="FI63" s="20"/>
      <c r="FJ63" s="20"/>
      <c r="FK63" s="20"/>
      <c r="FL63" s="20"/>
      <c r="FM63" s="20"/>
      <c r="FN63" s="20"/>
      <c r="FO63" s="20"/>
      <c r="FP63" s="20"/>
      <c r="FQ63" s="20"/>
      <c r="FR63" s="20"/>
      <c r="FS63" s="20"/>
      <c r="FT63" s="20"/>
      <c r="FU63" s="20"/>
      <c r="FV63" s="20"/>
      <c r="FW63" s="20"/>
      <c r="FX63" s="20"/>
      <c r="FY63" s="20"/>
      <c r="FZ63" s="20"/>
      <c r="GA63" s="20"/>
      <c r="GB63" s="20"/>
      <c r="GC63" s="20"/>
      <c r="GD63" s="20"/>
      <c r="GE63" s="20"/>
      <c r="GF63" s="20"/>
      <c r="GG63" s="20"/>
      <c r="GH63" s="20"/>
      <c r="GI63" s="20"/>
      <c r="GJ63" s="20"/>
      <c r="GK63" s="20"/>
      <c r="GL63" s="20"/>
      <c r="GM63" s="20"/>
      <c r="GN63" s="20"/>
      <c r="GO63" s="20"/>
      <c r="GP63" s="20"/>
      <c r="GQ63" s="20"/>
      <c r="GR63" s="20"/>
      <c r="GS63" s="20"/>
      <c r="GT63" s="20"/>
      <c r="GU63" s="20"/>
      <c r="GV63" s="20"/>
      <c r="GW63" s="20"/>
      <c r="GX63" s="20"/>
      <c r="GY63" s="20"/>
      <c r="GZ63" s="20"/>
      <c r="HA63" s="20"/>
      <c r="HB63" s="20"/>
      <c r="HC63" s="20"/>
      <c r="HD63" s="20"/>
      <c r="HE63" s="20"/>
      <c r="HF63" s="20"/>
      <c r="HG63" s="20"/>
      <c r="HH63" s="20"/>
      <c r="HI63" s="20"/>
      <c r="HJ63" s="20"/>
      <c r="HK63" s="20"/>
      <c r="HL63" s="20"/>
      <c r="HM63" s="20"/>
      <c r="HN63" s="20"/>
      <c r="HO63" s="20"/>
      <c r="HP63" s="20"/>
      <c r="HQ63" s="20"/>
      <c r="HR63" s="20"/>
      <c r="HS63" s="20"/>
      <c r="HT63" s="20"/>
      <c r="HU63" s="20"/>
      <c r="HV63" s="20"/>
      <c r="HW63" s="20"/>
      <c r="HX63" s="20"/>
      <c r="HY63" s="20"/>
      <c r="HZ63" s="20"/>
      <c r="IA63" s="20"/>
      <c r="IB63" s="20"/>
      <c r="IC63" s="20"/>
      <c r="ID63" s="20"/>
      <c r="IE63" s="20"/>
      <c r="IF63" s="20"/>
      <c r="IG63" s="20"/>
      <c r="IH63" s="20"/>
      <c r="II63" s="20"/>
      <c r="IJ63" s="20"/>
      <c r="IK63" s="20"/>
      <c r="IL63" s="20"/>
      <c r="IM63" s="20"/>
      <c r="IN63" s="20"/>
      <c r="IO63" s="20"/>
      <c r="IP63" s="20"/>
      <c r="IQ63" s="20"/>
      <c r="IR63" s="20"/>
      <c r="IS63" s="20"/>
      <c r="IT63" s="20"/>
      <c r="IU63" s="20"/>
      <c r="IV63" s="20"/>
      <c r="IW63" s="20"/>
      <c r="IX63" s="20"/>
      <c r="IY63" s="20"/>
      <c r="IZ63" s="20"/>
      <c r="JA63" s="20"/>
      <c r="JB63" s="20"/>
      <c r="JC63" s="20"/>
      <c r="JD63" s="20"/>
      <c r="JE63" s="20"/>
      <c r="JF63" s="20"/>
      <c r="JG63" s="20"/>
      <c r="JH63" s="20"/>
      <c r="JI63" s="20"/>
      <c r="JJ63" s="20"/>
      <c r="JK63" s="20"/>
      <c r="JL63" s="20"/>
      <c r="JM63" s="20"/>
      <c r="JN63" s="20"/>
      <c r="JO63" s="20"/>
      <c r="JP63" s="20"/>
      <c r="JQ63" s="20"/>
      <c r="JR63" s="20"/>
      <c r="JS63" s="20"/>
      <c r="JT63" s="20"/>
      <c r="JU63" s="20"/>
      <c r="JV63" s="20"/>
      <c r="JW63" s="20"/>
      <c r="JX63" s="20"/>
      <c r="JY63" s="20"/>
      <c r="JZ63" s="20"/>
      <c r="KA63" s="20"/>
      <c r="KB63" s="20"/>
      <c r="KC63" s="20"/>
      <c r="KD63" s="20"/>
      <c r="KE63" s="20"/>
      <c r="KF63" s="20"/>
      <c r="KG63" s="20"/>
      <c r="KH63" s="20"/>
      <c r="KI63" s="20"/>
      <c r="KJ63" s="20"/>
      <c r="KK63" s="20"/>
      <c r="KL63" s="20"/>
      <c r="KM63" s="20"/>
      <c r="KN63" s="20"/>
      <c r="KO63" s="20"/>
      <c r="KP63" s="20"/>
      <c r="KQ63" s="20"/>
      <c r="KR63" s="20"/>
      <c r="KS63" s="20"/>
      <c r="KT63" s="20"/>
      <c r="KU63" s="20"/>
      <c r="KV63" s="20"/>
      <c r="KW63" s="20"/>
      <c r="KX63" s="20"/>
      <c r="KY63" s="20"/>
      <c r="KZ63" s="20"/>
      <c r="LA63" s="20"/>
      <c r="LB63" s="20"/>
      <c r="LC63" s="20"/>
      <c r="LD63" s="20"/>
      <c r="LE63" s="20"/>
      <c r="LF63" s="20"/>
      <c r="LG63" s="20"/>
      <c r="LH63" s="20"/>
      <c r="LI63" s="20"/>
      <c r="LJ63" s="20"/>
      <c r="LK63" s="20"/>
      <c r="LL63" s="20"/>
      <c r="LM63" s="20"/>
      <c r="LN63" s="20"/>
      <c r="LO63" s="20"/>
      <c r="LP63" s="20"/>
      <c r="LQ63" s="20"/>
      <c r="LR63" s="20"/>
      <c r="LS63" s="20"/>
      <c r="LT63" s="20"/>
      <c r="LU63" s="20"/>
      <c r="LV63" s="20"/>
      <c r="LW63" s="20"/>
      <c r="LX63" s="20"/>
      <c r="LY63" s="20"/>
      <c r="LZ63" s="20"/>
      <c r="MA63" s="20"/>
      <c r="MB63" s="20"/>
      <c r="MC63" s="20"/>
      <c r="MD63" s="20"/>
      <c r="ME63" s="20"/>
      <c r="MF63" s="20"/>
      <c r="MG63" s="20"/>
      <c r="MH63" s="20"/>
      <c r="MI63" s="20"/>
      <c r="MJ63" s="20"/>
      <c r="MK63" s="20"/>
      <c r="ML63" s="20"/>
      <c r="MM63" s="20"/>
      <c r="MN63" s="20"/>
      <c r="MO63" s="20"/>
      <c r="MP63" s="20"/>
      <c r="MQ63" s="20"/>
      <c r="MR63" s="20"/>
      <c r="MS63" s="20"/>
      <c r="MT63" s="20"/>
      <c r="MU63" s="20"/>
      <c r="MV63" s="20"/>
      <c r="MW63" s="20"/>
      <c r="MX63" s="20"/>
      <c r="MY63" s="20"/>
      <c r="MZ63" s="20"/>
      <c r="NA63" s="20"/>
      <c r="NB63" s="20"/>
      <c r="NC63" s="20"/>
      <c r="ND63" s="20"/>
      <c r="NE63" s="20"/>
      <c r="NF63" s="20"/>
      <c r="NG63" s="20"/>
      <c r="NH63" s="20"/>
      <c r="NI63" s="20"/>
      <c r="NJ63" s="20"/>
      <c r="NK63" s="20"/>
      <c r="NL63" s="20"/>
      <c r="NM63" s="20"/>
      <c r="NN63" s="20"/>
      <c r="NO63" s="20"/>
      <c r="NP63" s="16"/>
      <c r="NQ63" s="16"/>
      <c r="NR63" s="16"/>
      <c r="NS63" s="16"/>
      <c r="NT63" s="16"/>
      <c r="NU63" s="16"/>
      <c r="NV63" s="16"/>
      <c r="NW63" s="16"/>
      <c r="NX63" s="16"/>
      <c r="NY63" s="16"/>
      <c r="NZ63" s="16"/>
      <c r="OA63" s="16"/>
      <c r="OB63" s="16"/>
      <c r="OC63" s="16"/>
      <c r="OD63" s="20"/>
      <c r="OE63" s="20"/>
      <c r="OF63" s="20"/>
      <c r="OG63" s="20"/>
      <c r="OH63" s="20"/>
    </row>
    <row r="64" spans="1:399" s="3" customFormat="1" x14ac:dyDescent="0.3"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  <c r="W64" s="20"/>
      <c r="X64" s="20"/>
      <c r="Y64" s="20"/>
      <c r="Z64" s="20"/>
      <c r="AA64" s="20"/>
      <c r="AB64" s="20"/>
      <c r="AC64" s="20"/>
      <c r="AD64" s="20"/>
      <c r="AE64" s="20"/>
      <c r="AF64" s="20"/>
      <c r="AG64" s="20"/>
      <c r="AH64" s="20"/>
      <c r="AI64" s="20"/>
      <c r="AJ64" s="20"/>
      <c r="AK64" s="20"/>
      <c r="AL64" s="20"/>
      <c r="AM64" s="16"/>
      <c r="AN64" s="16"/>
      <c r="AO64" s="16"/>
      <c r="AP64" s="16"/>
      <c r="AQ64" s="16"/>
      <c r="AR64" s="16"/>
      <c r="AS64" s="16"/>
      <c r="AT64" s="16"/>
      <c r="AU64" s="16"/>
      <c r="AV64" s="16"/>
      <c r="AW64" s="16"/>
      <c r="AX64" s="16"/>
      <c r="AY64" s="16"/>
      <c r="AZ64" s="16"/>
      <c r="BA64" s="16"/>
      <c r="BB64" s="16"/>
      <c r="BC64" s="16"/>
      <c r="BD64" s="16"/>
      <c r="BE64" s="16"/>
      <c r="BF64" s="16"/>
      <c r="BG64" s="16"/>
      <c r="BH64" s="16"/>
      <c r="BI64" s="16"/>
      <c r="BJ64" s="16"/>
      <c r="BK64" s="16"/>
      <c r="BL64" s="16"/>
      <c r="BM64" s="16"/>
      <c r="BN64" s="16"/>
      <c r="BO64" s="16"/>
      <c r="BP64" s="16"/>
      <c r="BQ64" s="16"/>
      <c r="BR64" s="16"/>
      <c r="BS64" s="16"/>
      <c r="BT64" s="16"/>
      <c r="BU64" s="16"/>
      <c r="BV64" s="16"/>
      <c r="BW64" s="16"/>
      <c r="BX64" s="16"/>
      <c r="BY64" s="16"/>
      <c r="BZ64" s="16"/>
      <c r="CA64" s="16"/>
      <c r="CB64" s="16"/>
      <c r="CC64" s="16"/>
      <c r="CD64" s="16"/>
      <c r="CE64" s="16"/>
      <c r="CF64" s="16"/>
      <c r="CG64" s="16"/>
      <c r="CH64" s="16"/>
      <c r="CI64" s="16"/>
      <c r="CJ64" s="16"/>
      <c r="CK64" s="16"/>
      <c r="CL64" s="16"/>
      <c r="CM64" s="16"/>
      <c r="CN64" s="16"/>
      <c r="CO64" s="16"/>
      <c r="CP64" s="16"/>
      <c r="CQ64" s="16"/>
      <c r="CR64" s="16"/>
      <c r="CS64" s="16"/>
      <c r="CT64" s="16"/>
      <c r="CU64" s="16"/>
      <c r="CV64" s="16"/>
      <c r="CW64" s="16"/>
      <c r="CX64" s="16"/>
      <c r="CY64" s="16"/>
      <c r="CZ64" s="16"/>
      <c r="DA64" s="16"/>
      <c r="DB64" s="16"/>
      <c r="DC64" s="16"/>
      <c r="DD64" s="16"/>
      <c r="DE64" s="16"/>
      <c r="DF64" s="16"/>
      <c r="DG64" s="16"/>
      <c r="DH64" s="16"/>
      <c r="DI64" s="16"/>
      <c r="DJ64" s="16"/>
      <c r="DK64" s="16"/>
      <c r="DL64" s="16"/>
      <c r="DM64" s="16"/>
      <c r="DN64" s="16"/>
      <c r="DO64" s="16"/>
      <c r="DP64" s="16"/>
      <c r="DQ64" s="16"/>
      <c r="DR64" s="20"/>
      <c r="DS64" s="20"/>
      <c r="DT64" s="20"/>
      <c r="DU64" s="20"/>
      <c r="DV64" s="20"/>
      <c r="DW64" s="20"/>
      <c r="DX64" s="20"/>
      <c r="DY64" s="20"/>
      <c r="DZ64" s="20"/>
      <c r="EA64" s="20"/>
      <c r="EB64" s="20"/>
      <c r="EC64" s="20"/>
      <c r="ED64" s="20"/>
      <c r="EE64" s="20"/>
      <c r="EF64" s="20"/>
      <c r="EG64" s="20"/>
      <c r="EH64" s="20"/>
      <c r="EI64" s="20"/>
      <c r="EJ64" s="20"/>
      <c r="EK64" s="20"/>
      <c r="EL64" s="20"/>
      <c r="EM64" s="20"/>
      <c r="EN64" s="20"/>
      <c r="EO64" s="20"/>
      <c r="EP64" s="20"/>
      <c r="EQ64" s="20"/>
      <c r="ER64" s="20"/>
      <c r="ES64" s="20"/>
      <c r="ET64" s="20"/>
      <c r="EU64" s="20"/>
      <c r="EV64" s="20"/>
      <c r="EW64" s="20"/>
      <c r="EX64" s="20"/>
      <c r="EY64" s="20"/>
      <c r="EZ64" s="20"/>
      <c r="FA64" s="20"/>
      <c r="FB64" s="20"/>
      <c r="FC64" s="20"/>
      <c r="FD64" s="20"/>
      <c r="FE64" s="20"/>
      <c r="FF64" s="20"/>
      <c r="FG64" s="20"/>
      <c r="FH64" s="20"/>
      <c r="FI64" s="20"/>
      <c r="FJ64" s="20"/>
      <c r="FK64" s="20"/>
      <c r="FL64" s="20"/>
      <c r="FM64" s="20"/>
      <c r="FN64" s="20"/>
      <c r="FO64" s="20"/>
      <c r="FP64" s="20"/>
      <c r="FQ64" s="20"/>
      <c r="FR64" s="20"/>
      <c r="FS64" s="20"/>
      <c r="FT64" s="20"/>
      <c r="FU64" s="20"/>
      <c r="FV64" s="20"/>
      <c r="FW64" s="20"/>
      <c r="FX64" s="20"/>
      <c r="FY64" s="20"/>
      <c r="FZ64" s="20"/>
      <c r="GA64" s="20"/>
      <c r="GB64" s="20"/>
      <c r="GC64" s="20"/>
      <c r="GD64" s="20"/>
      <c r="GE64" s="20"/>
      <c r="GF64" s="20"/>
      <c r="GG64" s="20"/>
      <c r="GH64" s="20"/>
      <c r="GI64" s="20"/>
      <c r="GJ64" s="20"/>
      <c r="GK64" s="20"/>
      <c r="GL64" s="20"/>
      <c r="GM64" s="20"/>
      <c r="GN64" s="20"/>
      <c r="GO64" s="20"/>
      <c r="GP64" s="20"/>
      <c r="GQ64" s="20"/>
      <c r="GR64" s="20"/>
      <c r="GS64" s="20"/>
      <c r="GT64" s="20"/>
      <c r="GU64" s="20"/>
      <c r="GV64" s="20"/>
      <c r="GW64" s="20"/>
      <c r="GX64" s="20"/>
      <c r="GY64" s="20"/>
      <c r="GZ64" s="20"/>
      <c r="HA64" s="20"/>
      <c r="HB64" s="20"/>
      <c r="HC64" s="20"/>
      <c r="HD64" s="20"/>
      <c r="HE64" s="20"/>
      <c r="HF64" s="20"/>
      <c r="HG64" s="20"/>
      <c r="HH64" s="20"/>
      <c r="HI64" s="20"/>
      <c r="HJ64" s="20"/>
      <c r="HK64" s="20"/>
      <c r="HL64" s="20"/>
      <c r="HM64" s="20"/>
      <c r="HN64" s="20"/>
      <c r="HO64" s="20"/>
      <c r="HP64" s="20"/>
      <c r="HQ64" s="20"/>
      <c r="HR64" s="20"/>
      <c r="HS64" s="20"/>
      <c r="HT64" s="20"/>
      <c r="HU64" s="20"/>
      <c r="HV64" s="20"/>
      <c r="HW64" s="20"/>
      <c r="HX64" s="20"/>
      <c r="HY64" s="20"/>
      <c r="HZ64" s="20"/>
      <c r="IA64" s="20"/>
      <c r="IB64" s="20"/>
      <c r="IC64" s="20"/>
      <c r="ID64" s="20"/>
      <c r="IE64" s="20"/>
      <c r="IF64" s="20"/>
      <c r="IG64" s="20"/>
      <c r="IH64" s="20"/>
      <c r="II64" s="20"/>
      <c r="IJ64" s="20"/>
      <c r="IK64" s="20"/>
      <c r="IL64" s="20"/>
      <c r="IM64" s="20"/>
      <c r="IN64" s="20"/>
      <c r="IO64" s="20"/>
      <c r="IP64" s="20"/>
      <c r="IQ64" s="20"/>
      <c r="IR64" s="20"/>
      <c r="IS64" s="20"/>
      <c r="IT64" s="20"/>
      <c r="IU64" s="20"/>
      <c r="IV64" s="20"/>
      <c r="IW64" s="20"/>
      <c r="IX64" s="20"/>
      <c r="IY64" s="20"/>
      <c r="IZ64" s="20"/>
      <c r="JA64" s="20"/>
      <c r="JB64" s="20"/>
      <c r="JC64" s="20"/>
      <c r="JD64" s="20"/>
      <c r="JE64" s="20"/>
      <c r="JF64" s="20"/>
      <c r="JG64" s="20"/>
      <c r="JH64" s="20"/>
      <c r="JI64" s="20"/>
      <c r="JJ64" s="20"/>
      <c r="JK64" s="20"/>
      <c r="JL64" s="20"/>
      <c r="JM64" s="20"/>
      <c r="JN64" s="20"/>
      <c r="JO64" s="20"/>
      <c r="JP64" s="20"/>
      <c r="JQ64" s="20"/>
      <c r="JR64" s="20"/>
      <c r="JS64" s="20"/>
      <c r="JT64" s="20"/>
      <c r="JU64" s="20"/>
      <c r="JV64" s="20"/>
      <c r="JW64" s="20"/>
      <c r="JX64" s="20"/>
      <c r="JY64" s="20"/>
      <c r="JZ64" s="20"/>
      <c r="KA64" s="20"/>
      <c r="KB64" s="20"/>
      <c r="KC64" s="20"/>
      <c r="KD64" s="20"/>
      <c r="KE64" s="20"/>
      <c r="KF64" s="20"/>
      <c r="KG64" s="20"/>
      <c r="KH64" s="20"/>
      <c r="KI64" s="20"/>
      <c r="KJ64" s="20"/>
      <c r="KK64" s="20"/>
      <c r="KL64" s="20"/>
      <c r="KM64" s="20"/>
      <c r="KN64" s="20"/>
      <c r="KO64" s="20"/>
      <c r="KP64" s="20"/>
      <c r="KQ64" s="20"/>
      <c r="KR64" s="20"/>
      <c r="KS64" s="20"/>
      <c r="KT64" s="20"/>
      <c r="KU64" s="20"/>
      <c r="KV64" s="20"/>
      <c r="KW64" s="20"/>
      <c r="KX64" s="20"/>
      <c r="KY64" s="20"/>
      <c r="KZ64" s="20"/>
      <c r="LA64" s="20"/>
      <c r="LB64" s="20"/>
      <c r="LC64" s="20"/>
      <c r="LD64" s="20"/>
      <c r="LE64" s="20"/>
      <c r="LF64" s="20"/>
      <c r="LG64" s="20"/>
      <c r="LH64" s="20"/>
      <c r="LI64" s="20"/>
      <c r="LJ64" s="20"/>
      <c r="LK64" s="20"/>
      <c r="LL64" s="20"/>
      <c r="LM64" s="20"/>
      <c r="LN64" s="20"/>
      <c r="LO64" s="20"/>
      <c r="LP64" s="20"/>
      <c r="LQ64" s="20"/>
      <c r="LR64" s="20"/>
      <c r="LS64" s="20"/>
      <c r="LT64" s="20"/>
      <c r="LU64" s="20"/>
      <c r="LV64" s="20"/>
      <c r="LW64" s="20"/>
      <c r="LX64" s="20"/>
      <c r="LY64" s="20"/>
      <c r="LZ64" s="20"/>
      <c r="MA64" s="20"/>
      <c r="MB64" s="20"/>
      <c r="MC64" s="20"/>
      <c r="MD64" s="20"/>
      <c r="ME64" s="20"/>
      <c r="MF64" s="20"/>
      <c r="MG64" s="20"/>
      <c r="MH64" s="20"/>
      <c r="MI64" s="20"/>
      <c r="MJ64" s="20"/>
      <c r="MK64" s="20"/>
      <c r="ML64" s="20"/>
      <c r="MM64" s="20"/>
      <c r="MN64" s="20"/>
      <c r="MO64" s="20"/>
      <c r="MP64" s="20"/>
      <c r="MQ64" s="20"/>
      <c r="MR64" s="20"/>
      <c r="MS64" s="20"/>
      <c r="MT64" s="20"/>
      <c r="MU64" s="20"/>
      <c r="MV64" s="20"/>
      <c r="MW64" s="20"/>
      <c r="MX64" s="20"/>
      <c r="MY64" s="20"/>
      <c r="MZ64" s="20"/>
      <c r="NA64" s="20"/>
      <c r="NB64" s="20"/>
      <c r="NC64" s="20"/>
      <c r="ND64" s="20"/>
      <c r="NE64" s="20"/>
      <c r="NF64" s="20"/>
      <c r="NG64" s="20"/>
      <c r="NH64" s="20"/>
      <c r="NI64" s="20"/>
      <c r="NJ64" s="20"/>
      <c r="NK64" s="20"/>
      <c r="NL64" s="20"/>
      <c r="NM64" s="20"/>
      <c r="NN64" s="20"/>
      <c r="NO64" s="20"/>
      <c r="NP64" s="16"/>
      <c r="NQ64" s="16"/>
      <c r="NR64" s="16"/>
      <c r="NS64" s="16"/>
      <c r="NT64" s="16"/>
      <c r="NU64" s="16"/>
      <c r="NV64" s="16"/>
      <c r="NW64" s="16"/>
      <c r="NX64" s="16"/>
      <c r="NY64" s="16"/>
      <c r="NZ64" s="16"/>
      <c r="OA64" s="16"/>
      <c r="OB64" s="16"/>
      <c r="OC64" s="16"/>
      <c r="OD64" s="20"/>
      <c r="OE64" s="20"/>
      <c r="OF64" s="20"/>
      <c r="OG64" s="20"/>
      <c r="OH64" s="20"/>
    </row>
    <row r="65" spans="1:398" s="3" customFormat="1" x14ac:dyDescent="0.3"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20"/>
      <c r="X65" s="20"/>
      <c r="Y65" s="20"/>
      <c r="Z65" s="20"/>
      <c r="AA65" s="20"/>
      <c r="AB65" s="20"/>
      <c r="AC65" s="20"/>
      <c r="AD65" s="20"/>
      <c r="AE65" s="20"/>
      <c r="AF65" s="20"/>
      <c r="AG65" s="20"/>
      <c r="AH65" s="20"/>
      <c r="AI65" s="20"/>
      <c r="AJ65" s="20"/>
      <c r="AK65" s="20"/>
      <c r="AL65" s="20"/>
      <c r="AM65" s="16"/>
      <c r="AN65" s="16"/>
      <c r="AO65" s="16"/>
      <c r="AP65" s="16"/>
      <c r="AQ65" s="16"/>
      <c r="AR65" s="16"/>
      <c r="AS65" s="16"/>
      <c r="AT65" s="16"/>
      <c r="AU65" s="16"/>
      <c r="AV65" s="16"/>
      <c r="AW65" s="16"/>
      <c r="AX65" s="16"/>
      <c r="AY65" s="16"/>
      <c r="AZ65" s="16"/>
      <c r="BA65" s="16"/>
      <c r="BB65" s="16"/>
      <c r="BC65" s="16"/>
      <c r="BD65" s="16"/>
      <c r="BE65" s="16"/>
      <c r="BF65" s="16"/>
      <c r="BG65" s="16"/>
      <c r="BH65" s="16"/>
      <c r="BI65" s="16"/>
      <c r="BJ65" s="16"/>
      <c r="BK65" s="16"/>
      <c r="BL65" s="16"/>
      <c r="BM65" s="16"/>
      <c r="BN65" s="16"/>
      <c r="BO65" s="16"/>
      <c r="BP65" s="16"/>
      <c r="BQ65" s="16"/>
      <c r="BR65" s="16"/>
      <c r="BS65" s="16"/>
      <c r="BT65" s="16"/>
      <c r="BU65" s="16"/>
      <c r="BV65" s="16"/>
      <c r="BW65" s="16"/>
      <c r="BX65" s="16"/>
      <c r="BY65" s="16"/>
      <c r="BZ65" s="16"/>
      <c r="CA65" s="16"/>
      <c r="CB65" s="16"/>
      <c r="CC65" s="16"/>
      <c r="CD65" s="16"/>
      <c r="CE65" s="16"/>
      <c r="CF65" s="16"/>
      <c r="CG65" s="16"/>
      <c r="CH65" s="16"/>
      <c r="CI65" s="16"/>
      <c r="CJ65" s="16"/>
      <c r="CK65" s="16"/>
      <c r="CL65" s="16"/>
      <c r="CM65" s="16"/>
      <c r="CN65" s="16"/>
      <c r="CO65" s="16"/>
      <c r="CP65" s="16"/>
      <c r="CQ65" s="16"/>
      <c r="CR65" s="16"/>
      <c r="CS65" s="16"/>
      <c r="CT65" s="16"/>
      <c r="CU65" s="16"/>
      <c r="CV65" s="16"/>
      <c r="CW65" s="16"/>
      <c r="CX65" s="16"/>
      <c r="CY65" s="16"/>
      <c r="CZ65" s="16"/>
      <c r="DA65" s="16"/>
      <c r="DB65" s="16"/>
      <c r="DC65" s="16"/>
      <c r="DD65" s="16"/>
      <c r="DE65" s="16"/>
      <c r="DF65" s="16"/>
      <c r="DG65" s="16"/>
      <c r="DH65" s="16"/>
      <c r="DI65" s="16"/>
      <c r="DJ65" s="16"/>
      <c r="DK65" s="16"/>
      <c r="DL65" s="16"/>
      <c r="DM65" s="16"/>
      <c r="DN65" s="16"/>
      <c r="DO65" s="16"/>
      <c r="DP65" s="16"/>
      <c r="DQ65" s="16"/>
      <c r="DR65" s="20"/>
      <c r="DS65" s="20"/>
      <c r="DT65" s="20"/>
      <c r="DU65" s="20"/>
      <c r="DV65" s="20"/>
      <c r="DW65" s="20"/>
      <c r="DX65" s="20"/>
      <c r="DY65" s="20"/>
      <c r="DZ65" s="20"/>
      <c r="EA65" s="20"/>
      <c r="EB65" s="20"/>
      <c r="EC65" s="20"/>
      <c r="ED65" s="20"/>
      <c r="EE65" s="20"/>
      <c r="EF65" s="20"/>
      <c r="EG65" s="20"/>
      <c r="EH65" s="20"/>
      <c r="EI65" s="20"/>
      <c r="EJ65" s="20"/>
      <c r="EK65" s="20"/>
      <c r="EL65" s="20"/>
      <c r="EM65" s="20"/>
      <c r="EN65" s="20"/>
      <c r="EO65" s="20"/>
      <c r="EP65" s="20"/>
      <c r="EQ65" s="20"/>
      <c r="ER65" s="20"/>
      <c r="ES65" s="20"/>
      <c r="ET65" s="20"/>
      <c r="EU65" s="20"/>
      <c r="EV65" s="20"/>
      <c r="EW65" s="20"/>
      <c r="EX65" s="20"/>
      <c r="EY65" s="20"/>
      <c r="EZ65" s="20"/>
      <c r="FA65" s="20"/>
      <c r="FB65" s="20"/>
      <c r="FC65" s="20"/>
      <c r="FD65" s="20"/>
      <c r="FE65" s="20"/>
      <c r="FF65" s="20"/>
      <c r="FG65" s="20"/>
      <c r="FH65" s="20"/>
      <c r="FI65" s="20"/>
      <c r="FJ65" s="20"/>
      <c r="FK65" s="20"/>
      <c r="FL65" s="20"/>
      <c r="FM65" s="20"/>
      <c r="FN65" s="20"/>
      <c r="FO65" s="20"/>
      <c r="FP65" s="20"/>
      <c r="FQ65" s="20"/>
      <c r="FR65" s="20"/>
      <c r="FS65" s="20"/>
      <c r="FT65" s="20"/>
      <c r="FU65" s="20"/>
      <c r="FV65" s="20"/>
      <c r="FW65" s="20"/>
      <c r="FX65" s="20"/>
      <c r="FY65" s="20"/>
      <c r="FZ65" s="20"/>
      <c r="GA65" s="20"/>
      <c r="GB65" s="20"/>
      <c r="GC65" s="20"/>
      <c r="GD65" s="20"/>
      <c r="GE65" s="20"/>
      <c r="GF65" s="20"/>
      <c r="GG65" s="20"/>
      <c r="GH65" s="20"/>
      <c r="GI65" s="20"/>
      <c r="GJ65" s="20"/>
      <c r="GK65" s="20"/>
      <c r="GL65" s="20"/>
      <c r="GM65" s="20"/>
      <c r="GN65" s="20"/>
      <c r="GO65" s="20"/>
      <c r="GP65" s="20"/>
      <c r="GQ65" s="20"/>
      <c r="GR65" s="20"/>
      <c r="GS65" s="20"/>
      <c r="GT65" s="20"/>
      <c r="GU65" s="20"/>
      <c r="GV65" s="20"/>
      <c r="GW65" s="20"/>
      <c r="GX65" s="20"/>
      <c r="GY65" s="20"/>
      <c r="GZ65" s="20"/>
      <c r="HA65" s="20"/>
      <c r="HB65" s="20"/>
      <c r="HC65" s="20"/>
      <c r="HD65" s="20"/>
      <c r="HE65" s="20"/>
      <c r="HF65" s="20"/>
      <c r="HG65" s="20"/>
      <c r="HH65" s="20"/>
      <c r="HI65" s="20"/>
      <c r="HJ65" s="20"/>
      <c r="HK65" s="20"/>
      <c r="HL65" s="20"/>
      <c r="HM65" s="20"/>
      <c r="HN65" s="20"/>
      <c r="HO65" s="20"/>
      <c r="HP65" s="20"/>
      <c r="HQ65" s="20"/>
      <c r="HR65" s="20"/>
      <c r="HS65" s="20"/>
      <c r="HT65" s="20"/>
      <c r="HU65" s="20"/>
      <c r="HV65" s="20"/>
      <c r="HW65" s="20"/>
      <c r="HX65" s="20"/>
      <c r="HY65" s="20"/>
      <c r="HZ65" s="20"/>
      <c r="IA65" s="20"/>
      <c r="IB65" s="20"/>
      <c r="IC65" s="20"/>
      <c r="ID65" s="20"/>
      <c r="IE65" s="20"/>
      <c r="IF65" s="20"/>
      <c r="IG65" s="20"/>
      <c r="IH65" s="20"/>
      <c r="II65" s="20"/>
      <c r="IJ65" s="20"/>
      <c r="IK65" s="20"/>
      <c r="IL65" s="20"/>
      <c r="IM65" s="20"/>
      <c r="IN65" s="20"/>
      <c r="IO65" s="20"/>
      <c r="IP65" s="20"/>
      <c r="IQ65" s="20"/>
      <c r="IR65" s="20"/>
      <c r="IS65" s="20"/>
      <c r="IT65" s="20"/>
      <c r="IU65" s="20"/>
      <c r="IV65" s="20"/>
      <c r="IW65" s="20"/>
      <c r="IX65" s="20"/>
      <c r="IY65" s="20"/>
      <c r="IZ65" s="20"/>
      <c r="JA65" s="20"/>
      <c r="JB65" s="20"/>
      <c r="JC65" s="20"/>
      <c r="JD65" s="20"/>
      <c r="JE65" s="20"/>
      <c r="JF65" s="20"/>
      <c r="JG65" s="20"/>
      <c r="JH65" s="20"/>
      <c r="JI65" s="20"/>
      <c r="JJ65" s="20"/>
      <c r="JK65" s="20"/>
      <c r="JL65" s="20"/>
      <c r="JM65" s="20"/>
      <c r="JN65" s="20"/>
      <c r="JO65" s="20"/>
      <c r="JP65" s="20"/>
      <c r="JQ65" s="20"/>
      <c r="JR65" s="20"/>
      <c r="JS65" s="20"/>
      <c r="JT65" s="20"/>
      <c r="JU65" s="20"/>
      <c r="JV65" s="20"/>
      <c r="JW65" s="20"/>
      <c r="JX65" s="20"/>
      <c r="JY65" s="20"/>
      <c r="JZ65" s="20"/>
      <c r="KA65" s="20"/>
      <c r="KB65" s="20"/>
      <c r="KC65" s="20"/>
      <c r="KD65" s="20"/>
      <c r="KE65" s="20"/>
      <c r="KF65" s="20"/>
      <c r="KG65" s="20"/>
      <c r="KH65" s="20"/>
      <c r="KI65" s="20"/>
      <c r="KJ65" s="20"/>
      <c r="KK65" s="20"/>
      <c r="KL65" s="20"/>
      <c r="KM65" s="20"/>
      <c r="KN65" s="20"/>
      <c r="KO65" s="20"/>
      <c r="KP65" s="20"/>
      <c r="KQ65" s="20"/>
      <c r="KR65" s="20"/>
      <c r="KS65" s="20"/>
      <c r="KT65" s="20"/>
      <c r="KU65" s="20"/>
      <c r="KV65" s="20"/>
      <c r="KW65" s="20"/>
      <c r="KX65" s="20"/>
      <c r="KY65" s="20"/>
      <c r="KZ65" s="20"/>
      <c r="LA65" s="20"/>
      <c r="LB65" s="20"/>
      <c r="LC65" s="20"/>
      <c r="LD65" s="20"/>
      <c r="LE65" s="20"/>
      <c r="LF65" s="20"/>
      <c r="LG65" s="20"/>
      <c r="LH65" s="20"/>
      <c r="LI65" s="20"/>
      <c r="LJ65" s="20"/>
      <c r="LK65" s="20"/>
      <c r="LL65" s="20"/>
      <c r="LM65" s="20"/>
      <c r="LN65" s="20"/>
      <c r="LO65" s="20"/>
      <c r="LP65" s="20"/>
      <c r="LQ65" s="20"/>
      <c r="LR65" s="20"/>
      <c r="LS65" s="20"/>
      <c r="LT65" s="20"/>
      <c r="LU65" s="20"/>
      <c r="LV65" s="20"/>
      <c r="LW65" s="20"/>
      <c r="LX65" s="20"/>
      <c r="LY65" s="20"/>
      <c r="LZ65" s="20"/>
      <c r="MA65" s="20"/>
      <c r="MB65" s="20"/>
      <c r="MC65" s="20"/>
      <c r="MD65" s="20"/>
      <c r="ME65" s="20"/>
      <c r="MF65" s="20"/>
      <c r="MG65" s="20"/>
      <c r="MH65" s="20"/>
      <c r="MI65" s="20"/>
      <c r="MJ65" s="20"/>
      <c r="MK65" s="20"/>
      <c r="ML65" s="20"/>
      <c r="MM65" s="20"/>
      <c r="MN65" s="20"/>
      <c r="MO65" s="20"/>
      <c r="MP65" s="20"/>
      <c r="MQ65" s="20"/>
      <c r="MR65" s="20"/>
      <c r="MS65" s="20"/>
      <c r="MT65" s="20"/>
      <c r="MU65" s="20"/>
      <c r="MV65" s="20"/>
      <c r="MW65" s="20"/>
      <c r="MX65" s="20"/>
      <c r="MY65" s="20"/>
      <c r="MZ65" s="20"/>
      <c r="NA65" s="20"/>
      <c r="NB65" s="20"/>
      <c r="NC65" s="20"/>
      <c r="ND65" s="20"/>
      <c r="NE65" s="20"/>
      <c r="NF65" s="20"/>
      <c r="NG65" s="20"/>
      <c r="NH65" s="20"/>
      <c r="NI65" s="20"/>
      <c r="NJ65" s="20"/>
      <c r="NK65" s="20"/>
      <c r="NL65" s="20"/>
      <c r="NM65" s="20"/>
      <c r="NN65" s="20"/>
      <c r="NO65" s="20"/>
      <c r="NP65" s="16"/>
      <c r="NQ65" s="16"/>
      <c r="NR65" s="16"/>
      <c r="NS65" s="16"/>
      <c r="NT65" s="16"/>
      <c r="NU65" s="16"/>
      <c r="NV65" s="16"/>
      <c r="NW65" s="16"/>
      <c r="NX65" s="16"/>
      <c r="NY65" s="16"/>
      <c r="NZ65" s="16"/>
      <c r="OA65" s="16"/>
      <c r="OB65" s="16"/>
      <c r="OC65" s="16"/>
      <c r="OD65" s="20"/>
      <c r="OE65" s="20"/>
      <c r="OF65" s="20"/>
      <c r="OG65" s="20"/>
      <c r="OH65" s="20"/>
    </row>
    <row r="66" spans="1:398" s="3" customFormat="1" x14ac:dyDescent="0.3"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  <c r="W66" s="20"/>
      <c r="X66" s="20"/>
      <c r="Y66" s="20"/>
      <c r="Z66" s="20"/>
      <c r="AA66" s="20"/>
      <c r="AB66" s="20"/>
      <c r="AC66" s="20"/>
      <c r="AD66" s="20"/>
      <c r="AE66" s="20"/>
      <c r="AF66" s="20"/>
      <c r="AG66" s="20"/>
      <c r="AH66" s="20"/>
      <c r="AI66" s="20"/>
      <c r="AJ66" s="20"/>
      <c r="AK66" s="20"/>
      <c r="AL66" s="20"/>
      <c r="AM66" s="16"/>
      <c r="AN66" s="16"/>
      <c r="AO66" s="16"/>
      <c r="AP66" s="16"/>
      <c r="AQ66" s="16"/>
      <c r="AR66" s="16"/>
      <c r="AS66" s="16"/>
      <c r="AT66" s="16"/>
      <c r="AU66" s="16"/>
      <c r="AV66" s="16"/>
      <c r="AW66" s="16"/>
      <c r="AX66" s="16"/>
      <c r="AY66" s="16"/>
      <c r="AZ66" s="16"/>
      <c r="BA66" s="16"/>
      <c r="BB66" s="16"/>
      <c r="BC66" s="16"/>
      <c r="BD66" s="16"/>
      <c r="BE66" s="16"/>
      <c r="BF66" s="16"/>
      <c r="BG66" s="16"/>
      <c r="BH66" s="16"/>
      <c r="BI66" s="16"/>
      <c r="BJ66" s="16"/>
      <c r="BK66" s="16"/>
      <c r="BL66" s="16"/>
      <c r="BM66" s="16"/>
      <c r="BN66" s="16"/>
      <c r="BO66" s="16"/>
      <c r="BP66" s="16"/>
      <c r="BQ66" s="16"/>
      <c r="BR66" s="16"/>
      <c r="BS66" s="16"/>
      <c r="BT66" s="16"/>
      <c r="BU66" s="16"/>
      <c r="BV66" s="16"/>
      <c r="BW66" s="16"/>
      <c r="BX66" s="16"/>
      <c r="BY66" s="16"/>
      <c r="BZ66" s="16"/>
      <c r="CA66" s="16"/>
      <c r="CB66" s="16"/>
      <c r="CC66" s="16"/>
      <c r="CD66" s="16"/>
      <c r="CE66" s="16"/>
      <c r="CF66" s="16"/>
      <c r="CG66" s="16"/>
      <c r="CH66" s="16"/>
      <c r="CI66" s="16"/>
      <c r="CJ66" s="16"/>
      <c r="CK66" s="16"/>
      <c r="CL66" s="16"/>
      <c r="CM66" s="16"/>
      <c r="CN66" s="16"/>
      <c r="CO66" s="16"/>
      <c r="CP66" s="16"/>
      <c r="CQ66" s="16"/>
      <c r="CR66" s="16"/>
      <c r="CS66" s="16"/>
      <c r="CT66" s="16"/>
      <c r="CU66" s="16"/>
      <c r="CV66" s="16"/>
      <c r="CW66" s="16"/>
      <c r="CX66" s="16"/>
      <c r="CY66" s="16"/>
      <c r="CZ66" s="16"/>
      <c r="DA66" s="16"/>
      <c r="DB66" s="16"/>
      <c r="DC66" s="16"/>
      <c r="DD66" s="16"/>
      <c r="DE66" s="16"/>
      <c r="DF66" s="16"/>
      <c r="DG66" s="16"/>
      <c r="DH66" s="16"/>
      <c r="DI66" s="16"/>
      <c r="DJ66" s="16"/>
      <c r="DK66" s="16"/>
      <c r="DL66" s="16"/>
      <c r="DM66" s="16"/>
      <c r="DN66" s="16"/>
      <c r="DO66" s="16"/>
      <c r="DP66" s="16"/>
      <c r="DQ66" s="16"/>
      <c r="DR66" s="20"/>
      <c r="DS66" s="20"/>
      <c r="DT66" s="20"/>
      <c r="DU66" s="20"/>
      <c r="DV66" s="20"/>
      <c r="DW66" s="20"/>
      <c r="DX66" s="20"/>
      <c r="DY66" s="20"/>
      <c r="DZ66" s="20"/>
      <c r="EA66" s="20"/>
      <c r="EB66" s="20"/>
      <c r="EC66" s="20"/>
      <c r="ED66" s="20"/>
      <c r="EE66" s="20"/>
      <c r="EF66" s="20"/>
      <c r="EG66" s="20"/>
      <c r="EH66" s="20"/>
      <c r="EI66" s="20"/>
      <c r="EJ66" s="20"/>
      <c r="EK66" s="20"/>
      <c r="EL66" s="20"/>
      <c r="EM66" s="20"/>
      <c r="EN66" s="20"/>
      <c r="EO66" s="20"/>
      <c r="EP66" s="20"/>
      <c r="EQ66" s="20"/>
      <c r="ER66" s="20"/>
      <c r="ES66" s="20"/>
      <c r="ET66" s="20"/>
      <c r="EU66" s="20"/>
      <c r="EV66" s="20"/>
      <c r="EW66" s="20"/>
      <c r="EX66" s="20"/>
      <c r="EY66" s="20"/>
      <c r="EZ66" s="20"/>
      <c r="FA66" s="20"/>
      <c r="FB66" s="20"/>
      <c r="FC66" s="20"/>
      <c r="FD66" s="20"/>
      <c r="FE66" s="20"/>
      <c r="FF66" s="20"/>
      <c r="FG66" s="20"/>
      <c r="FH66" s="20"/>
      <c r="FI66" s="20"/>
      <c r="FJ66" s="20"/>
      <c r="FK66" s="20"/>
      <c r="FL66" s="20"/>
      <c r="FM66" s="20"/>
      <c r="FN66" s="20"/>
      <c r="FO66" s="20"/>
      <c r="FP66" s="20"/>
      <c r="FQ66" s="20"/>
      <c r="FR66" s="20"/>
      <c r="FS66" s="20"/>
      <c r="FT66" s="20"/>
      <c r="FU66" s="20"/>
      <c r="FV66" s="20"/>
      <c r="FW66" s="20"/>
      <c r="FX66" s="20"/>
      <c r="FY66" s="20"/>
      <c r="FZ66" s="20"/>
      <c r="GA66" s="20"/>
      <c r="GB66" s="20"/>
      <c r="GC66" s="20"/>
      <c r="GD66" s="20"/>
      <c r="GE66" s="20"/>
      <c r="GF66" s="20"/>
      <c r="GG66" s="20"/>
      <c r="GH66" s="20"/>
      <c r="GI66" s="20"/>
      <c r="GJ66" s="20"/>
      <c r="GK66" s="20"/>
      <c r="GL66" s="20"/>
      <c r="GM66" s="20"/>
      <c r="GN66" s="20"/>
      <c r="GO66" s="20"/>
      <c r="GP66" s="20"/>
      <c r="GQ66" s="20"/>
      <c r="GR66" s="20"/>
      <c r="GS66" s="20"/>
      <c r="GT66" s="20"/>
      <c r="GU66" s="20"/>
      <c r="GV66" s="20"/>
      <c r="GW66" s="20"/>
      <c r="GX66" s="20"/>
      <c r="GY66" s="20"/>
      <c r="GZ66" s="20"/>
      <c r="HA66" s="20"/>
      <c r="HB66" s="20"/>
      <c r="HC66" s="20"/>
      <c r="HD66" s="20"/>
      <c r="HE66" s="20"/>
      <c r="HF66" s="20"/>
      <c r="HG66" s="20"/>
      <c r="HH66" s="20"/>
      <c r="HI66" s="20"/>
      <c r="HJ66" s="20"/>
      <c r="HK66" s="20"/>
      <c r="HL66" s="20"/>
      <c r="HM66" s="20"/>
      <c r="HN66" s="20"/>
      <c r="HO66" s="20"/>
      <c r="HP66" s="20"/>
      <c r="HQ66" s="20"/>
      <c r="HR66" s="20"/>
      <c r="HS66" s="20"/>
      <c r="HT66" s="20"/>
      <c r="HU66" s="20"/>
      <c r="HV66" s="20"/>
      <c r="HW66" s="20"/>
      <c r="HX66" s="20"/>
      <c r="HY66" s="20"/>
      <c r="HZ66" s="20"/>
      <c r="IA66" s="20"/>
      <c r="IB66" s="20"/>
      <c r="IC66" s="20"/>
      <c r="ID66" s="20"/>
      <c r="IE66" s="20"/>
      <c r="IF66" s="20"/>
      <c r="IG66" s="20"/>
      <c r="IH66" s="20"/>
      <c r="II66" s="20"/>
      <c r="IJ66" s="20"/>
      <c r="IK66" s="20"/>
      <c r="IL66" s="20"/>
      <c r="IM66" s="20"/>
      <c r="IN66" s="20"/>
      <c r="IO66" s="20"/>
      <c r="IP66" s="20"/>
      <c r="IQ66" s="20"/>
      <c r="IR66" s="20"/>
      <c r="IS66" s="20"/>
      <c r="IT66" s="20"/>
      <c r="IU66" s="20"/>
      <c r="IV66" s="20"/>
      <c r="IW66" s="20"/>
      <c r="IX66" s="20"/>
      <c r="IY66" s="20"/>
      <c r="IZ66" s="20"/>
      <c r="JA66" s="20"/>
      <c r="JB66" s="20"/>
      <c r="JC66" s="20"/>
      <c r="JD66" s="20"/>
      <c r="JE66" s="20"/>
      <c r="JF66" s="20"/>
      <c r="JG66" s="20"/>
      <c r="JH66" s="20"/>
      <c r="JI66" s="20"/>
      <c r="JJ66" s="20"/>
      <c r="JK66" s="20"/>
      <c r="JL66" s="20"/>
      <c r="JM66" s="20"/>
      <c r="JN66" s="20"/>
      <c r="JO66" s="20"/>
      <c r="JP66" s="20"/>
      <c r="JQ66" s="20"/>
      <c r="JR66" s="20"/>
      <c r="JS66" s="20"/>
      <c r="JT66" s="20"/>
      <c r="JU66" s="20"/>
      <c r="JV66" s="20"/>
      <c r="JW66" s="20"/>
      <c r="JX66" s="20"/>
      <c r="JY66" s="20"/>
      <c r="JZ66" s="20"/>
      <c r="KA66" s="20"/>
      <c r="KB66" s="20"/>
      <c r="KC66" s="20"/>
      <c r="KD66" s="20"/>
      <c r="KE66" s="20"/>
      <c r="KF66" s="20"/>
      <c r="KG66" s="20"/>
      <c r="KH66" s="20"/>
      <c r="KI66" s="20"/>
      <c r="KJ66" s="20"/>
      <c r="KK66" s="20"/>
      <c r="KL66" s="20"/>
      <c r="KM66" s="20"/>
      <c r="KN66" s="20"/>
      <c r="KO66" s="20"/>
      <c r="KP66" s="20"/>
      <c r="KQ66" s="20"/>
      <c r="KR66" s="20"/>
      <c r="KS66" s="20"/>
      <c r="KT66" s="20"/>
      <c r="KU66" s="20"/>
      <c r="KV66" s="20"/>
      <c r="KW66" s="20"/>
      <c r="KX66" s="20"/>
      <c r="KY66" s="20"/>
      <c r="KZ66" s="20"/>
      <c r="LA66" s="20"/>
      <c r="LB66" s="20"/>
      <c r="LC66" s="20"/>
      <c r="LD66" s="20"/>
      <c r="LE66" s="20"/>
      <c r="LF66" s="20"/>
      <c r="LG66" s="20"/>
      <c r="LH66" s="20"/>
      <c r="LI66" s="20"/>
      <c r="LJ66" s="20"/>
      <c r="LK66" s="20"/>
      <c r="LL66" s="20"/>
      <c r="LM66" s="20"/>
      <c r="LN66" s="20"/>
      <c r="LO66" s="20"/>
      <c r="LP66" s="20"/>
      <c r="LQ66" s="20"/>
      <c r="LR66" s="20"/>
      <c r="LS66" s="20"/>
      <c r="LT66" s="20"/>
      <c r="LU66" s="20"/>
      <c r="LV66" s="20"/>
      <c r="LW66" s="20"/>
      <c r="LX66" s="20"/>
      <c r="LY66" s="20"/>
      <c r="LZ66" s="20"/>
      <c r="MA66" s="20"/>
      <c r="MB66" s="20"/>
      <c r="MC66" s="20"/>
      <c r="MD66" s="20"/>
      <c r="ME66" s="20"/>
      <c r="MF66" s="20"/>
      <c r="MG66" s="20"/>
      <c r="MH66" s="20"/>
      <c r="MI66" s="20"/>
      <c r="MJ66" s="20"/>
      <c r="MK66" s="20"/>
      <c r="ML66" s="20"/>
      <c r="MM66" s="20"/>
      <c r="MN66" s="20"/>
      <c r="MO66" s="20"/>
      <c r="MP66" s="20"/>
      <c r="MQ66" s="20"/>
      <c r="MR66" s="20"/>
      <c r="MS66" s="20"/>
      <c r="MT66" s="20"/>
      <c r="MU66" s="20"/>
      <c r="MV66" s="20"/>
      <c r="MW66" s="20"/>
      <c r="MX66" s="20"/>
      <c r="MY66" s="20"/>
      <c r="MZ66" s="20"/>
      <c r="NA66" s="20"/>
      <c r="NB66" s="20"/>
      <c r="NC66" s="20"/>
      <c r="ND66" s="20"/>
      <c r="NE66" s="20"/>
      <c r="NF66" s="20"/>
      <c r="NG66" s="20"/>
      <c r="NH66" s="20"/>
      <c r="NI66" s="20"/>
      <c r="NJ66" s="20"/>
      <c r="NK66" s="20"/>
      <c r="NL66" s="20"/>
      <c r="NM66" s="20"/>
      <c r="NN66" s="20"/>
      <c r="NO66" s="20"/>
      <c r="NP66" s="16"/>
      <c r="NQ66" s="16"/>
      <c r="NR66" s="16"/>
      <c r="NS66" s="16"/>
      <c r="NT66" s="16"/>
      <c r="NU66" s="16"/>
      <c r="NV66" s="16"/>
      <c r="NW66" s="16"/>
      <c r="NX66" s="16"/>
      <c r="NY66" s="16"/>
      <c r="NZ66" s="16"/>
      <c r="OA66" s="16"/>
      <c r="OB66" s="16"/>
      <c r="OC66" s="16"/>
      <c r="OD66" s="20"/>
      <c r="OE66" s="20"/>
      <c r="OF66" s="20"/>
      <c r="OG66" s="20"/>
      <c r="OH66" s="20"/>
    </row>
    <row r="67" spans="1:398" s="3" customFormat="1" x14ac:dyDescent="0.3"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20"/>
      <c r="X67" s="20"/>
      <c r="Y67" s="20"/>
      <c r="Z67" s="20"/>
      <c r="AA67" s="20"/>
      <c r="AB67" s="20"/>
      <c r="AC67" s="20"/>
      <c r="AD67" s="20"/>
      <c r="AE67" s="20"/>
      <c r="AF67" s="20"/>
      <c r="AG67" s="20"/>
      <c r="AH67" s="20"/>
      <c r="AI67" s="20"/>
      <c r="AJ67" s="20"/>
      <c r="AK67" s="20"/>
      <c r="AL67" s="20"/>
      <c r="AM67" s="16"/>
      <c r="AN67" s="16"/>
      <c r="AO67" s="16"/>
      <c r="AP67" s="16"/>
      <c r="AQ67" s="16"/>
      <c r="AR67" s="16"/>
      <c r="AS67" s="16"/>
      <c r="AT67" s="16"/>
      <c r="AU67" s="16"/>
      <c r="AV67" s="16"/>
      <c r="AW67" s="16"/>
      <c r="AX67" s="16"/>
      <c r="AY67" s="16"/>
      <c r="AZ67" s="16"/>
      <c r="BA67" s="16"/>
      <c r="BB67" s="16"/>
      <c r="BC67" s="16"/>
      <c r="BD67" s="16"/>
      <c r="BE67" s="16"/>
      <c r="BF67" s="16"/>
      <c r="BG67" s="16"/>
      <c r="BH67" s="16"/>
      <c r="BI67" s="16"/>
      <c r="BJ67" s="16"/>
      <c r="BK67" s="16"/>
      <c r="BL67" s="16"/>
      <c r="BM67" s="16"/>
      <c r="BN67" s="16"/>
      <c r="BO67" s="16"/>
      <c r="BP67" s="16"/>
      <c r="BQ67" s="16"/>
      <c r="BR67" s="16"/>
      <c r="BS67" s="16"/>
      <c r="BT67" s="16"/>
      <c r="BU67" s="16"/>
      <c r="BV67" s="16"/>
      <c r="BW67" s="16"/>
      <c r="BX67" s="16"/>
      <c r="BY67" s="16"/>
      <c r="BZ67" s="16"/>
      <c r="CA67" s="16"/>
      <c r="CB67" s="16"/>
      <c r="CC67" s="16"/>
      <c r="CD67" s="16"/>
      <c r="CE67" s="16"/>
      <c r="CF67" s="16"/>
      <c r="CG67" s="16"/>
      <c r="CH67" s="16"/>
      <c r="CI67" s="16"/>
      <c r="CJ67" s="16"/>
      <c r="CK67" s="16"/>
      <c r="CL67" s="16"/>
      <c r="CM67" s="16"/>
      <c r="CN67" s="16"/>
      <c r="CO67" s="16"/>
      <c r="CP67" s="16"/>
      <c r="CQ67" s="16"/>
      <c r="CR67" s="16"/>
      <c r="CS67" s="16"/>
      <c r="CT67" s="16"/>
      <c r="CU67" s="16"/>
      <c r="CV67" s="16"/>
      <c r="CW67" s="16"/>
      <c r="CX67" s="16"/>
      <c r="CY67" s="16"/>
      <c r="CZ67" s="16"/>
      <c r="DA67" s="16"/>
      <c r="DB67" s="16"/>
      <c r="DC67" s="16"/>
      <c r="DD67" s="16"/>
      <c r="DE67" s="16"/>
      <c r="DF67" s="16"/>
      <c r="DG67" s="16"/>
      <c r="DH67" s="16"/>
      <c r="DI67" s="16"/>
      <c r="DJ67" s="16"/>
      <c r="DK67" s="16"/>
      <c r="DL67" s="16"/>
      <c r="DM67" s="16"/>
      <c r="DN67" s="16"/>
      <c r="DO67" s="16"/>
      <c r="DP67" s="16"/>
      <c r="DQ67" s="16"/>
      <c r="DR67" s="20"/>
      <c r="DS67" s="20"/>
      <c r="DT67" s="20"/>
      <c r="DU67" s="20"/>
      <c r="DV67" s="20"/>
      <c r="DW67" s="20"/>
      <c r="DX67" s="20"/>
      <c r="DY67" s="20"/>
      <c r="DZ67" s="20"/>
      <c r="EA67" s="20"/>
      <c r="EB67" s="20"/>
      <c r="EC67" s="20"/>
      <c r="ED67" s="20"/>
      <c r="EE67" s="20"/>
      <c r="EF67" s="20"/>
      <c r="EG67" s="20"/>
      <c r="EH67" s="20"/>
      <c r="EI67" s="20"/>
      <c r="EJ67" s="20"/>
      <c r="EK67" s="20"/>
      <c r="EL67" s="20"/>
      <c r="EM67" s="20"/>
      <c r="EN67" s="20"/>
      <c r="EO67" s="20"/>
      <c r="EP67" s="20"/>
      <c r="EQ67" s="20"/>
      <c r="ER67" s="20"/>
      <c r="ES67" s="20"/>
      <c r="ET67" s="20"/>
      <c r="EU67" s="20"/>
      <c r="EV67" s="20"/>
      <c r="EW67" s="20"/>
      <c r="EX67" s="20"/>
      <c r="EY67" s="20"/>
      <c r="EZ67" s="20"/>
      <c r="FA67" s="20"/>
      <c r="FB67" s="20"/>
      <c r="FC67" s="20"/>
      <c r="FD67" s="20"/>
      <c r="FE67" s="20"/>
      <c r="FF67" s="20"/>
      <c r="FG67" s="20"/>
      <c r="FH67" s="20"/>
      <c r="FI67" s="20"/>
      <c r="FJ67" s="20"/>
      <c r="FK67" s="20"/>
      <c r="FL67" s="20"/>
      <c r="FM67" s="20"/>
      <c r="FN67" s="20"/>
      <c r="FO67" s="20"/>
      <c r="FP67" s="20"/>
      <c r="FQ67" s="20"/>
      <c r="FR67" s="20"/>
      <c r="FS67" s="20"/>
      <c r="FT67" s="20"/>
      <c r="FU67" s="20"/>
      <c r="FV67" s="20"/>
      <c r="FW67" s="20"/>
      <c r="FX67" s="20"/>
      <c r="FY67" s="20"/>
      <c r="FZ67" s="20"/>
      <c r="GA67" s="20"/>
      <c r="GB67" s="20"/>
      <c r="GC67" s="20"/>
      <c r="GD67" s="20"/>
      <c r="GE67" s="20"/>
      <c r="GF67" s="20"/>
      <c r="GG67" s="20"/>
      <c r="GH67" s="20"/>
      <c r="GI67" s="20"/>
      <c r="GJ67" s="20"/>
      <c r="GK67" s="20"/>
      <c r="GL67" s="20"/>
      <c r="GM67" s="20"/>
      <c r="GN67" s="20"/>
      <c r="GO67" s="20"/>
      <c r="GP67" s="20"/>
      <c r="GQ67" s="20"/>
      <c r="GR67" s="20"/>
      <c r="GS67" s="20"/>
      <c r="GT67" s="20"/>
      <c r="GU67" s="20"/>
      <c r="GV67" s="20"/>
      <c r="GW67" s="20"/>
      <c r="GX67" s="20"/>
      <c r="GY67" s="20"/>
      <c r="GZ67" s="20"/>
      <c r="HA67" s="20"/>
      <c r="HB67" s="20"/>
      <c r="HC67" s="20"/>
      <c r="HD67" s="20"/>
      <c r="HE67" s="20"/>
      <c r="HF67" s="20"/>
      <c r="HG67" s="20"/>
      <c r="HH67" s="20"/>
      <c r="HI67" s="20"/>
      <c r="HJ67" s="20"/>
      <c r="HK67" s="20"/>
      <c r="HL67" s="20"/>
      <c r="HM67" s="20"/>
      <c r="HN67" s="20"/>
      <c r="HO67" s="20"/>
      <c r="HP67" s="20"/>
      <c r="HQ67" s="20"/>
      <c r="HR67" s="20"/>
      <c r="HS67" s="20"/>
      <c r="HT67" s="20"/>
      <c r="HU67" s="20"/>
      <c r="HV67" s="20"/>
      <c r="HW67" s="20"/>
      <c r="HX67" s="20"/>
      <c r="HY67" s="20"/>
      <c r="HZ67" s="20"/>
      <c r="IA67" s="20"/>
      <c r="IB67" s="20"/>
      <c r="IC67" s="20"/>
      <c r="ID67" s="20"/>
      <c r="IE67" s="20"/>
      <c r="IF67" s="20"/>
      <c r="IG67" s="20"/>
      <c r="IH67" s="20"/>
      <c r="II67" s="20"/>
      <c r="IJ67" s="20"/>
      <c r="IK67" s="20"/>
      <c r="IL67" s="20"/>
      <c r="IM67" s="20"/>
      <c r="IN67" s="20"/>
      <c r="IO67" s="20"/>
      <c r="IP67" s="20"/>
      <c r="IQ67" s="20"/>
      <c r="IR67" s="20"/>
      <c r="IS67" s="20"/>
      <c r="IT67" s="20"/>
      <c r="IU67" s="20"/>
      <c r="IV67" s="20"/>
      <c r="IW67" s="20"/>
      <c r="IX67" s="20"/>
      <c r="IY67" s="20"/>
      <c r="IZ67" s="20"/>
      <c r="JA67" s="20"/>
      <c r="JB67" s="20"/>
      <c r="JC67" s="20"/>
      <c r="JD67" s="20"/>
      <c r="JE67" s="20"/>
      <c r="JF67" s="20"/>
      <c r="JG67" s="20"/>
      <c r="JH67" s="20"/>
      <c r="JI67" s="20"/>
      <c r="JJ67" s="20"/>
      <c r="JK67" s="20"/>
      <c r="JL67" s="20"/>
      <c r="JM67" s="20"/>
      <c r="JN67" s="20"/>
      <c r="JO67" s="20"/>
      <c r="JP67" s="20"/>
      <c r="JQ67" s="20"/>
      <c r="JR67" s="20"/>
      <c r="JS67" s="20"/>
      <c r="JT67" s="20"/>
      <c r="JU67" s="20"/>
      <c r="JV67" s="20"/>
      <c r="JW67" s="20"/>
      <c r="JX67" s="20"/>
      <c r="JY67" s="20"/>
      <c r="JZ67" s="20"/>
      <c r="KA67" s="20"/>
      <c r="KB67" s="20"/>
      <c r="KC67" s="20"/>
      <c r="KD67" s="20"/>
      <c r="KE67" s="20"/>
      <c r="KF67" s="20"/>
      <c r="KG67" s="20"/>
      <c r="KH67" s="20"/>
      <c r="KI67" s="20"/>
      <c r="KJ67" s="20"/>
      <c r="KK67" s="20"/>
      <c r="KL67" s="20"/>
      <c r="KM67" s="20"/>
      <c r="KN67" s="20"/>
      <c r="KO67" s="20"/>
      <c r="KP67" s="20"/>
      <c r="KQ67" s="20"/>
      <c r="KR67" s="20"/>
      <c r="KS67" s="20"/>
      <c r="KT67" s="20"/>
      <c r="KU67" s="20"/>
      <c r="KV67" s="20"/>
      <c r="KW67" s="20"/>
      <c r="KX67" s="20"/>
      <c r="KY67" s="20"/>
      <c r="KZ67" s="20"/>
      <c r="LA67" s="20"/>
      <c r="LB67" s="20"/>
      <c r="LC67" s="20"/>
      <c r="LD67" s="20"/>
      <c r="LE67" s="20"/>
      <c r="LF67" s="20"/>
      <c r="LG67" s="20"/>
      <c r="LH67" s="20"/>
      <c r="LI67" s="20"/>
      <c r="LJ67" s="20"/>
      <c r="LK67" s="20"/>
      <c r="LL67" s="20"/>
      <c r="LM67" s="20"/>
      <c r="LN67" s="20"/>
      <c r="LO67" s="20"/>
      <c r="LP67" s="20"/>
      <c r="LQ67" s="20"/>
      <c r="LR67" s="20"/>
      <c r="LS67" s="20"/>
      <c r="LT67" s="20"/>
      <c r="LU67" s="20"/>
      <c r="LV67" s="20"/>
      <c r="LW67" s="20"/>
      <c r="LX67" s="20"/>
      <c r="LY67" s="20"/>
      <c r="LZ67" s="20"/>
      <c r="MA67" s="20"/>
      <c r="MB67" s="20"/>
      <c r="MC67" s="20"/>
      <c r="MD67" s="20"/>
      <c r="ME67" s="20"/>
      <c r="MF67" s="20"/>
      <c r="MG67" s="20"/>
      <c r="MH67" s="20"/>
      <c r="MI67" s="20"/>
      <c r="MJ67" s="20"/>
      <c r="MK67" s="20"/>
      <c r="ML67" s="20"/>
      <c r="MM67" s="20"/>
      <c r="MN67" s="20"/>
      <c r="MO67" s="20"/>
      <c r="MP67" s="20"/>
      <c r="MQ67" s="20"/>
      <c r="MR67" s="20"/>
      <c r="MS67" s="20"/>
      <c r="MT67" s="20"/>
      <c r="MU67" s="20"/>
      <c r="MV67" s="20"/>
      <c r="MW67" s="20"/>
      <c r="MX67" s="20"/>
      <c r="MY67" s="20"/>
      <c r="MZ67" s="20"/>
      <c r="NA67" s="20"/>
      <c r="NB67" s="20"/>
      <c r="NC67" s="20"/>
      <c r="ND67" s="20"/>
      <c r="NE67" s="20"/>
      <c r="NF67" s="20"/>
      <c r="NG67" s="20"/>
      <c r="NH67" s="20"/>
      <c r="NI67" s="20"/>
      <c r="NJ67" s="20"/>
      <c r="NK67" s="20"/>
      <c r="NL67" s="20"/>
      <c r="NM67" s="20"/>
      <c r="NN67" s="20"/>
      <c r="NO67" s="20"/>
      <c r="NP67" s="16"/>
      <c r="NQ67" s="16"/>
      <c r="NR67" s="16"/>
      <c r="NS67" s="16"/>
      <c r="NT67" s="16"/>
      <c r="NU67" s="16"/>
      <c r="NV67" s="16"/>
      <c r="NW67" s="16"/>
      <c r="NX67" s="16"/>
      <c r="NY67" s="16"/>
      <c r="NZ67" s="16"/>
      <c r="OA67" s="16"/>
      <c r="OB67" s="16"/>
      <c r="OC67" s="16"/>
      <c r="OD67" s="20"/>
      <c r="OE67" s="20"/>
      <c r="OF67" s="20"/>
      <c r="OG67" s="20"/>
      <c r="OH67" s="20"/>
    </row>
    <row r="68" spans="1:398" x14ac:dyDescent="0.3">
      <c r="A68" s="3"/>
      <c r="B68" s="3"/>
      <c r="C68" s="20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20"/>
      <c r="U68" s="20"/>
      <c r="V68" s="20"/>
      <c r="W68" s="20"/>
      <c r="X68" s="20"/>
      <c r="Y68" s="20"/>
      <c r="Z68" s="20"/>
      <c r="AA68" s="20"/>
      <c r="AB68" s="20"/>
      <c r="AC68" s="20"/>
      <c r="AD68" s="20"/>
      <c r="AE68" s="20"/>
      <c r="AF68" s="20"/>
      <c r="AG68" s="20"/>
      <c r="AH68" s="20"/>
      <c r="AI68" s="20"/>
      <c r="AJ68" s="20"/>
      <c r="AK68" s="20"/>
      <c r="AL68" s="20"/>
      <c r="AM68" s="16"/>
      <c r="AN68" s="16"/>
      <c r="AO68" s="16"/>
      <c r="AP68" s="16"/>
      <c r="AQ68" s="16"/>
      <c r="AR68" s="16"/>
      <c r="AS68" s="16"/>
      <c r="AT68" s="16"/>
      <c r="AU68" s="16"/>
      <c r="AV68" s="16"/>
      <c r="AW68" s="16"/>
      <c r="AX68" s="16"/>
      <c r="AY68" s="16"/>
      <c r="AZ68" s="16"/>
      <c r="BA68" s="16"/>
      <c r="BB68" s="16"/>
      <c r="BC68" s="16"/>
      <c r="BD68" s="16"/>
      <c r="BE68" s="16"/>
      <c r="BF68" s="16"/>
      <c r="BG68" s="16"/>
      <c r="BH68" s="16"/>
      <c r="BI68" s="16"/>
      <c r="BJ68" s="16"/>
      <c r="BK68" s="16"/>
      <c r="BL68" s="16"/>
      <c r="BM68" s="16"/>
      <c r="BN68" s="16"/>
      <c r="BO68" s="16"/>
      <c r="BP68" s="16"/>
      <c r="BQ68" s="16"/>
      <c r="BR68" s="16"/>
      <c r="BS68" s="16"/>
      <c r="BT68" s="16"/>
      <c r="BU68" s="16"/>
      <c r="BV68" s="16"/>
      <c r="BW68" s="16"/>
      <c r="BX68" s="16"/>
      <c r="BY68" s="16"/>
      <c r="BZ68" s="16"/>
      <c r="CA68" s="16"/>
      <c r="CB68" s="16"/>
      <c r="CC68" s="16"/>
      <c r="CD68" s="16"/>
      <c r="CE68" s="16"/>
      <c r="CF68" s="16"/>
      <c r="CG68" s="16"/>
      <c r="CH68" s="16"/>
      <c r="CI68" s="16"/>
      <c r="CJ68" s="16"/>
      <c r="CK68" s="16"/>
      <c r="CL68" s="16"/>
      <c r="CM68" s="16"/>
      <c r="CN68" s="16"/>
      <c r="CO68" s="16"/>
      <c r="CP68" s="16"/>
      <c r="CQ68" s="16"/>
      <c r="CR68" s="16"/>
      <c r="CS68" s="16"/>
      <c r="CT68" s="16"/>
      <c r="CU68" s="16"/>
      <c r="CV68" s="16"/>
      <c r="CW68" s="16"/>
      <c r="CX68" s="16"/>
      <c r="CY68" s="16"/>
      <c r="CZ68" s="16"/>
      <c r="DA68" s="16"/>
      <c r="DB68" s="16"/>
      <c r="DC68" s="16"/>
      <c r="DD68" s="16"/>
      <c r="DE68" s="16"/>
      <c r="DF68" s="16"/>
      <c r="DG68" s="16"/>
      <c r="DH68" s="16"/>
      <c r="DI68" s="16"/>
      <c r="DJ68" s="16"/>
      <c r="DK68" s="16"/>
      <c r="DL68" s="16"/>
      <c r="DM68" s="16"/>
      <c r="DN68" s="16"/>
      <c r="DO68" s="16"/>
      <c r="DP68" s="16"/>
      <c r="DQ68" s="16"/>
      <c r="DR68" s="20"/>
      <c r="DS68" s="20"/>
      <c r="DT68" s="20"/>
      <c r="DU68" s="20"/>
      <c r="DV68" s="20"/>
      <c r="DW68" s="20"/>
      <c r="DX68" s="20"/>
      <c r="DY68" s="20"/>
      <c r="DZ68" s="20"/>
      <c r="EA68" s="20"/>
      <c r="EB68" s="20"/>
      <c r="EC68" s="20"/>
      <c r="ED68" s="20"/>
      <c r="EE68" s="20"/>
      <c r="EF68" s="20"/>
      <c r="EG68" s="20"/>
      <c r="EH68" s="20"/>
      <c r="EI68" s="20"/>
      <c r="EJ68" s="20"/>
      <c r="EK68" s="20"/>
      <c r="EL68" s="20"/>
      <c r="EM68" s="20"/>
      <c r="EN68" s="20"/>
      <c r="EO68" s="20"/>
      <c r="EP68" s="20"/>
      <c r="EQ68" s="20"/>
      <c r="ER68" s="20"/>
      <c r="ES68" s="20"/>
      <c r="ET68" s="20"/>
      <c r="EU68" s="20"/>
      <c r="EV68" s="20"/>
      <c r="EW68" s="20"/>
      <c r="EX68" s="20"/>
      <c r="EY68" s="20"/>
      <c r="EZ68" s="20"/>
      <c r="FA68" s="20"/>
      <c r="FB68" s="20"/>
      <c r="FC68" s="20"/>
      <c r="FD68" s="20"/>
      <c r="FE68" s="20"/>
      <c r="FF68" s="20"/>
      <c r="FG68" s="20"/>
      <c r="FH68" s="20"/>
      <c r="FI68" s="20"/>
      <c r="FJ68" s="20"/>
      <c r="FK68" s="20"/>
      <c r="FL68" s="20"/>
      <c r="FM68" s="20"/>
      <c r="FN68" s="20"/>
      <c r="FO68" s="20"/>
      <c r="FP68" s="20"/>
      <c r="FQ68" s="20"/>
      <c r="FR68" s="20"/>
      <c r="FS68" s="20"/>
      <c r="FT68" s="20"/>
      <c r="FU68" s="20"/>
      <c r="FV68" s="20"/>
      <c r="FW68" s="20"/>
      <c r="FX68" s="20"/>
      <c r="FY68" s="20"/>
      <c r="FZ68" s="20"/>
      <c r="GA68" s="20"/>
      <c r="GB68" s="20"/>
      <c r="GC68" s="20"/>
      <c r="GD68" s="20"/>
      <c r="GE68" s="20"/>
      <c r="GF68" s="20"/>
      <c r="GG68" s="20"/>
      <c r="GH68" s="20"/>
      <c r="GI68" s="20"/>
      <c r="GJ68" s="20"/>
      <c r="GK68" s="20"/>
      <c r="GL68" s="20"/>
      <c r="GM68" s="20"/>
      <c r="GN68" s="20"/>
      <c r="GO68" s="20"/>
      <c r="GP68" s="20"/>
      <c r="GQ68" s="20"/>
      <c r="GR68" s="20"/>
      <c r="GS68" s="20"/>
      <c r="GT68" s="20"/>
      <c r="GU68" s="20"/>
      <c r="GV68" s="20"/>
      <c r="GW68" s="20"/>
      <c r="GX68" s="20"/>
      <c r="GY68" s="20"/>
      <c r="GZ68" s="20"/>
      <c r="HA68" s="20"/>
      <c r="HB68" s="20"/>
      <c r="HC68" s="20"/>
      <c r="HD68" s="20"/>
      <c r="HE68" s="20"/>
      <c r="HF68" s="20"/>
      <c r="HG68" s="20"/>
      <c r="HH68" s="20"/>
      <c r="HI68" s="20"/>
      <c r="HJ68" s="20"/>
      <c r="HK68" s="20"/>
      <c r="HL68" s="20"/>
      <c r="HM68" s="20"/>
      <c r="HN68" s="20"/>
      <c r="HO68" s="20"/>
      <c r="HP68" s="20"/>
      <c r="HQ68" s="20"/>
      <c r="HR68" s="20"/>
      <c r="HS68" s="20"/>
      <c r="HT68" s="20"/>
      <c r="HU68" s="20"/>
      <c r="HV68" s="20"/>
      <c r="HW68" s="20"/>
      <c r="HX68" s="20"/>
      <c r="HY68" s="20"/>
      <c r="HZ68" s="20"/>
      <c r="IA68" s="20"/>
      <c r="IB68" s="20"/>
      <c r="IC68" s="20"/>
      <c r="ID68" s="20"/>
      <c r="IE68" s="20"/>
      <c r="IF68" s="20"/>
      <c r="IG68" s="20"/>
      <c r="IH68" s="20"/>
      <c r="II68" s="20"/>
      <c r="IJ68" s="20"/>
      <c r="IK68" s="20"/>
      <c r="IL68" s="20"/>
      <c r="IM68" s="20"/>
      <c r="IN68" s="20"/>
      <c r="IO68" s="20"/>
      <c r="IP68" s="20"/>
      <c r="IQ68" s="20"/>
      <c r="IR68" s="20"/>
      <c r="IS68" s="20"/>
      <c r="IT68" s="20"/>
      <c r="IU68" s="20"/>
      <c r="IV68" s="20"/>
      <c r="IW68" s="20"/>
      <c r="IX68" s="20"/>
      <c r="IY68" s="20"/>
      <c r="IZ68" s="20"/>
      <c r="JA68" s="20"/>
      <c r="JB68" s="20"/>
      <c r="JC68" s="20"/>
      <c r="JD68" s="20"/>
      <c r="JE68" s="20"/>
      <c r="JF68" s="20"/>
      <c r="JG68" s="20"/>
      <c r="JH68" s="20"/>
      <c r="JI68" s="20"/>
      <c r="JJ68" s="20"/>
      <c r="JK68" s="20"/>
      <c r="JL68" s="20"/>
      <c r="JM68" s="20"/>
      <c r="JN68" s="20"/>
      <c r="JO68" s="20"/>
      <c r="JP68" s="20"/>
      <c r="JQ68" s="20"/>
      <c r="JR68" s="20"/>
      <c r="JS68" s="20"/>
      <c r="JT68" s="20"/>
      <c r="JU68" s="20"/>
      <c r="JV68" s="20"/>
      <c r="JW68" s="20"/>
      <c r="JX68" s="20"/>
      <c r="JY68" s="20"/>
      <c r="JZ68" s="20"/>
      <c r="KA68" s="20"/>
      <c r="KB68" s="20"/>
      <c r="KC68" s="20"/>
      <c r="KD68" s="20"/>
      <c r="KE68" s="20"/>
      <c r="KF68" s="20"/>
      <c r="KG68" s="20"/>
      <c r="KH68" s="20"/>
      <c r="KI68" s="20"/>
      <c r="KJ68" s="20"/>
      <c r="KK68" s="20"/>
      <c r="KL68" s="20"/>
      <c r="KM68" s="20"/>
      <c r="KN68" s="20"/>
      <c r="KO68" s="20"/>
      <c r="KP68" s="20"/>
      <c r="KQ68" s="20"/>
      <c r="KR68" s="20"/>
      <c r="KS68" s="20"/>
      <c r="KT68" s="20"/>
      <c r="KU68" s="20"/>
      <c r="KV68" s="20"/>
      <c r="KW68" s="20"/>
      <c r="KX68" s="20"/>
      <c r="KY68" s="20"/>
      <c r="KZ68" s="20"/>
      <c r="LA68" s="20"/>
      <c r="LB68" s="20"/>
      <c r="LC68" s="20"/>
      <c r="LD68" s="20"/>
      <c r="LE68" s="20"/>
      <c r="LF68" s="20"/>
      <c r="LG68" s="20"/>
      <c r="LH68" s="20"/>
      <c r="LI68" s="20"/>
      <c r="LJ68" s="20"/>
      <c r="LK68" s="20"/>
      <c r="LL68" s="20"/>
      <c r="LM68" s="20"/>
      <c r="LN68" s="20"/>
      <c r="LO68" s="20"/>
      <c r="LP68" s="20"/>
      <c r="LQ68" s="20"/>
      <c r="LR68" s="20"/>
      <c r="LS68" s="20"/>
      <c r="LT68" s="20"/>
      <c r="LU68" s="20"/>
      <c r="LV68" s="20"/>
      <c r="LW68" s="20"/>
      <c r="LX68" s="20"/>
      <c r="LY68" s="20"/>
      <c r="LZ68" s="20"/>
      <c r="MA68" s="20"/>
      <c r="MB68" s="20"/>
      <c r="MC68" s="20"/>
      <c r="MD68" s="20"/>
      <c r="ME68" s="20"/>
      <c r="MF68" s="20"/>
      <c r="MG68" s="20"/>
      <c r="MH68" s="20"/>
      <c r="MI68" s="20"/>
      <c r="MJ68" s="20"/>
      <c r="MK68" s="20"/>
      <c r="ML68" s="20"/>
      <c r="MM68" s="20"/>
      <c r="MN68" s="20"/>
      <c r="MO68" s="20"/>
      <c r="MP68" s="20"/>
      <c r="MQ68" s="20"/>
      <c r="MR68" s="20"/>
      <c r="MS68" s="20"/>
      <c r="MT68" s="20"/>
      <c r="MU68" s="20"/>
      <c r="MV68" s="20"/>
      <c r="MW68" s="20"/>
      <c r="MX68" s="20"/>
      <c r="MY68" s="20"/>
      <c r="MZ68" s="20"/>
      <c r="NA68" s="20"/>
      <c r="NB68" s="20"/>
      <c r="NC68" s="20"/>
      <c r="ND68" s="20"/>
      <c r="NE68" s="20"/>
      <c r="NF68" s="20"/>
      <c r="NG68" s="20"/>
      <c r="NH68" s="20"/>
      <c r="NI68" s="20"/>
      <c r="NJ68" s="20"/>
      <c r="NK68" s="20"/>
      <c r="NL68" s="20"/>
      <c r="NM68" s="20"/>
      <c r="NN68" s="20"/>
      <c r="NO68" s="20"/>
      <c r="NP68" s="16"/>
      <c r="NQ68" s="16"/>
      <c r="NR68" s="16"/>
      <c r="NS68" s="16"/>
      <c r="NT68" s="16"/>
      <c r="NU68" s="16"/>
      <c r="NV68" s="16"/>
      <c r="NW68" s="16"/>
      <c r="NX68" s="16"/>
      <c r="NY68" s="16"/>
      <c r="NZ68" s="16"/>
      <c r="OA68" s="16"/>
      <c r="OB68" s="16"/>
      <c r="OC68" s="16"/>
      <c r="OD68" s="20"/>
      <c r="OE68" s="20"/>
      <c r="OF68" s="20"/>
      <c r="OG68" s="20"/>
      <c r="OH68" s="20"/>
    </row>
  </sheetData>
  <mergeCells count="86">
    <mergeCell ref="FE15:FF15"/>
    <mergeCell ref="FG15:FL15"/>
    <mergeCell ref="GC15:GH15"/>
    <mergeCell ref="DT15:DY15"/>
    <mergeCell ref="EA15:EB15"/>
    <mergeCell ref="EC15:EH15"/>
    <mergeCell ref="EX15:FC15"/>
    <mergeCell ref="ES15:EW15"/>
    <mergeCell ref="EJ15:EK15"/>
    <mergeCell ref="EL15:EQ15"/>
    <mergeCell ref="FN15:FO15"/>
    <mergeCell ref="FP15:FU15"/>
    <mergeCell ref="A11:A13"/>
    <mergeCell ref="BV15:CA15"/>
    <mergeCell ref="CE15:CJ15"/>
    <mergeCell ref="CL15:CN15"/>
    <mergeCell ref="CC15:CD15"/>
    <mergeCell ref="AH15:AM15"/>
    <mergeCell ref="AQ15:AV15"/>
    <mergeCell ref="AZ15:BE15"/>
    <mergeCell ref="AO15:AP15"/>
    <mergeCell ref="AX15:AY15"/>
    <mergeCell ref="BG15:BL15"/>
    <mergeCell ref="BM15:BR15"/>
    <mergeCell ref="BT15:BU15"/>
    <mergeCell ref="DG15:DL15"/>
    <mergeCell ref="CO8:DS8"/>
    <mergeCell ref="DT8:EW8"/>
    <mergeCell ref="AH8:BL8"/>
    <mergeCell ref="BM8:CN8"/>
    <mergeCell ref="DN15:DS15"/>
    <mergeCell ref="CO15:CT15"/>
    <mergeCell ref="CV15:CW15"/>
    <mergeCell ref="CX15:DC15"/>
    <mergeCell ref="DE15:DF15"/>
    <mergeCell ref="EX8:GB8"/>
    <mergeCell ref="LZ8:NC8"/>
    <mergeCell ref="ND8:OH8"/>
    <mergeCell ref="GC8:HF8"/>
    <mergeCell ref="HG8:IK8"/>
    <mergeCell ref="IL8:JP8"/>
    <mergeCell ref="JQ8:KT8"/>
    <mergeCell ref="KU8:LY8"/>
    <mergeCell ref="HY15:ID15"/>
    <mergeCell ref="JX15:JY15"/>
    <mergeCell ref="GJ15:GK15"/>
    <mergeCell ref="GL15:GQ15"/>
    <mergeCell ref="GS15:GT15"/>
    <mergeCell ref="GU15:GZ15"/>
    <mergeCell ref="IF15:IK15"/>
    <mergeCell ref="IL15:IQ15"/>
    <mergeCell ref="IS15:IT15"/>
    <mergeCell ref="HB15:HF15"/>
    <mergeCell ref="HG15:HL15"/>
    <mergeCell ref="HN15:HO15"/>
    <mergeCell ref="HP15:HU15"/>
    <mergeCell ref="HW15:HX15"/>
    <mergeCell ref="KI15:KN15"/>
    <mergeCell ref="KP15:KT15"/>
    <mergeCell ref="IU15:IZ15"/>
    <mergeCell ref="JB15:JC15"/>
    <mergeCell ref="JD15:JI15"/>
    <mergeCell ref="JK15:JP15"/>
    <mergeCell ref="JQ15:JV15"/>
    <mergeCell ref="OC15:OH15"/>
    <mergeCell ref="MP15:MQ15"/>
    <mergeCell ref="MR15:MW15"/>
    <mergeCell ref="MY15:NC15"/>
    <mergeCell ref="ND15:NI15"/>
    <mergeCell ref="NK15:NL15"/>
    <mergeCell ref="A7:B7"/>
    <mergeCell ref="C8:AG8"/>
    <mergeCell ref="NM15:NR15"/>
    <mergeCell ref="NT15:NU15"/>
    <mergeCell ref="NV15:OA15"/>
    <mergeCell ref="LT15:LY15"/>
    <mergeCell ref="LZ15:ME15"/>
    <mergeCell ref="MG15:MH15"/>
    <mergeCell ref="MI15:MN15"/>
    <mergeCell ref="KU15:KZ15"/>
    <mergeCell ref="LB15:LC15"/>
    <mergeCell ref="LD15:LI15"/>
    <mergeCell ref="LK15:LL15"/>
    <mergeCell ref="LM15:LR15"/>
    <mergeCell ref="JZ15:KE15"/>
    <mergeCell ref="KG15:KH15"/>
  </mergeCells>
  <phoneticPr fontId="12" type="noConversion"/>
  <conditionalFormatting sqref="A7:XFD7 C17:OH50">
    <cfRule type="expression" dxfId="34" priority="2">
      <formula>A$7="WE"</formula>
    </cfRule>
    <cfRule type="expression" dxfId="33" priority="3">
      <formula>A$7="Férié"</formula>
    </cfRule>
    <cfRule type="expression" dxfId="32" priority="13">
      <formula>A$7="I&amp;A"</formula>
    </cfRule>
    <cfRule type="expression" dxfId="31" priority="14">
      <formula>A$7="PIP"</formula>
    </cfRule>
  </conditionalFormatting>
  <conditionalFormatting sqref="A9:XFD9">
    <cfRule type="cellIs" dxfId="30" priority="1" operator="equal">
      <formula>TODAY()</formula>
    </cfRule>
  </conditionalFormatting>
  <conditionalFormatting sqref="C17:OH50 A7:XFD7">
    <cfRule type="expression" dxfId="22" priority="12">
      <formula>A$7="Présentiel"</formula>
    </cfRule>
  </conditionalFormatting>
  <conditionalFormatting sqref="C17:OH50">
    <cfRule type="cellIs" dxfId="21" priority="4" operator="lessThan">
      <formula>0.25</formula>
    </cfRule>
    <cfRule type="cellIs" dxfId="20" priority="10" operator="equal">
      <formula>0.5</formula>
    </cfRule>
    <cfRule type="cellIs" dxfId="19" priority="11" operator="equal">
      <formula>0.25</formula>
    </cfRule>
  </conditionalFormatting>
  <pageMargins left="0.7" right="0.7" top="0.75" bottom="0.75" header="0.3" footer="0.3"/>
  <pageSetup paperSize="9" orientation="portrait" verticalDpi="0" r:id="rId1"/>
  <drawing r:id="rId2"/>
  <tableParts count="1">
    <tablePart r:id="rId3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8" id="{B4E13444-E954-48FF-BD26-8D4417482F8C}">
            <xm:f>COUNTIFS(Paramètres!$G$3:$G$38,$B11,Paramètres!$H$3:$H$38,"&lt;="&amp;C9,Paramètres!$I$3:$I$38,"&gt;="&amp;C9)</xm:f>
            <x14:dxf>
              <font>
                <color theme="9" tint="-0.24994659260841701"/>
              </font>
              <fill>
                <patternFill>
                  <bgColor theme="9" tint="0.79998168889431442"/>
                </patternFill>
              </fill>
            </x14:dxf>
          </x14:cfRule>
          <xm:sqref>C11:OH11</xm:sqref>
        </x14:conditionalFormatting>
        <x14:conditionalFormatting xmlns:xm="http://schemas.microsoft.com/office/excel/2006/main">
          <x14:cfRule type="expression" priority="22" id="{778667FB-8499-4A3F-BE3F-C8198077FFE3}">
            <xm:f>COUNTIFS(Paramètres!$G$3:$G$38,$B12,Paramètres!$H$3:$H$38,"&lt;="&amp;C9,Paramètres!$I$3:$I$38,"&gt;="&amp;C9)</xm:f>
            <x14:dxf>
              <font>
                <color theme="4" tint="-0.24994659260841701"/>
              </font>
              <fill>
                <patternFill>
                  <bgColor theme="4" tint="0.79998168889431442"/>
                </patternFill>
              </fill>
            </x14:dxf>
          </x14:cfRule>
          <xm:sqref>C12:OH12</xm:sqref>
        </x14:conditionalFormatting>
        <x14:conditionalFormatting xmlns:xm="http://schemas.microsoft.com/office/excel/2006/main">
          <x14:cfRule type="expression" priority="21" id="{2A4B9620-58F9-47D7-A4E6-AD0BBD812C70}">
            <xm:f>COUNTIFS(Paramètres!$G$3:$G$38,$B13,Paramètres!$H$3:$H$38,"&lt;="&amp;C9,Paramètres!$I$3:$I$38,"&gt;="&amp;C9)</xm:f>
            <x14:dxf>
              <font>
                <color theme="7" tint="-0.24994659260841701"/>
              </font>
              <fill>
                <patternFill>
                  <bgColor rgb="FFFFF9E7"/>
                </patternFill>
              </fill>
            </x14:dxf>
          </x14:cfRule>
          <xm:sqref>C13:OH13</xm:sqref>
        </x14:conditionalFormatting>
        <x14:conditionalFormatting xmlns:xm="http://schemas.microsoft.com/office/excel/2006/main">
          <x14:cfRule type="expression" priority="15" id="{8B5284E7-2758-4729-9105-D74F93B55812}">
            <xm:f>COUNTIFS(Paramètres!$O$3:$O$38,"PI#20",Paramètres!$Q$3:$Q$38,"&lt;="&amp;C9,Paramètres!$R$3:$R$38,"&gt;="&amp;C9)</xm:f>
            <x14:dxf>
              <numFmt numFmtId="2" formatCode="0.00"/>
              <fill>
                <patternFill patternType="solid">
                  <fgColor auto="1"/>
                  <bgColor rgb="FFFF9900"/>
                </patternFill>
              </fill>
            </x14:dxf>
          </x14:cfRule>
          <x14:cfRule type="expression" priority="16" id="{E1786353-5C3F-4FCE-9A0B-4BAFAA358A6C}">
            <xm:f>COUNTIFS(Paramètres!$O$3:$O$38,"PI#19",Paramètres!$Q$3:$Q$38,"&lt;="&amp;C9,Paramètres!$R$3:$R$38,"&gt;="&amp;C9)</xm:f>
            <x14:dxf>
              <numFmt numFmtId="2" formatCode="0.00"/>
              <fill>
                <patternFill patternType="solid">
                  <fgColor auto="1"/>
                  <bgColor rgb="FFFFCC00"/>
                </patternFill>
              </fill>
            </x14:dxf>
          </x14:cfRule>
          <x14:cfRule type="expression" priority="17" id="{CAF7C0FC-11AC-4F8F-994B-F5523918E17A}">
            <xm:f>COUNTIFS(Paramètres!$O$3:$O$38,"PI#18",Paramètres!$Q$3:$Q$38,"&lt;="&amp;C9,Paramètres!$R$3:$R$38,"&gt;="&amp;C9)</xm:f>
            <x14:dxf>
              <numFmt numFmtId="2" formatCode="0.00"/>
              <fill>
                <patternFill patternType="solid">
                  <fgColor auto="1"/>
                  <bgColor rgb="FFFFCC66"/>
                </patternFill>
              </fill>
            </x14:dxf>
          </x14:cfRule>
          <x14:cfRule type="expression" priority="19" id="{6AC3D410-E0AA-4234-B85C-7C8C03BA4BD9}">
            <xm:f>COUNTIFS(Paramètres!$O$3:$O$38,"PI#17",Paramètres!$Q$3:$Q$38,"&lt;="&amp;C9,Paramètres!$R$3:$R$38,"&gt;="&amp;C9)</xm:f>
            <x14:dxf>
              <numFmt numFmtId="2" formatCode="0.00"/>
              <fill>
                <patternFill patternType="solid">
                  <fgColor auto="1"/>
                  <bgColor rgb="FFFFCC99"/>
                </patternFill>
              </fill>
            </x14:dxf>
          </x14:cfRule>
          <xm:sqref>C14:OH14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7CD13F5E-5BD0-4178-935B-CF7B629CA569}">
          <x14:formula1>
            <xm:f>Paramètres!$AA$3:$AA$6</xm:f>
          </x14:formula1>
          <xm:sqref>C17:OH50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4727A9-004C-4B02-94D8-7A0ADBEE3C1F}">
  <sheetPr codeName="Feuil2"/>
  <dimension ref="A1:AJ47"/>
  <sheetViews>
    <sheetView topLeftCell="T1" zoomScaleNormal="100" workbookViewId="0">
      <selection activeCell="W26" sqref="W26"/>
    </sheetView>
  </sheetViews>
  <sheetFormatPr baseColWidth="10" defaultColWidth="11.42578125" defaultRowHeight="16.5" customHeight="1" x14ac:dyDescent="0.25"/>
  <cols>
    <col min="1" max="1" width="18.28515625" bestFit="1" customWidth="1"/>
    <col min="2" max="2" width="25.5703125" bestFit="1" customWidth="1"/>
    <col min="3" max="3" width="25.28515625" bestFit="1" customWidth="1"/>
    <col min="4" max="4" width="3" customWidth="1"/>
    <col min="5" max="5" width="3" style="7" customWidth="1"/>
    <col min="6" max="6" width="17.7109375" style="7" bestFit="1" customWidth="1"/>
    <col min="8" max="8" width="14.42578125" bestFit="1" customWidth="1"/>
    <col min="9" max="9" width="11.85546875" bestFit="1" customWidth="1"/>
    <col min="14" max="14" width="6" customWidth="1"/>
    <col min="15" max="15" width="5.42578125" bestFit="1" customWidth="1"/>
    <col min="16" max="16" width="10.140625" customWidth="1"/>
    <col min="17" max="17" width="15.140625" bestFit="1" customWidth="1"/>
    <col min="18" max="18" width="14.42578125" bestFit="1" customWidth="1"/>
    <col min="19" max="19" width="15.140625" bestFit="1" customWidth="1"/>
    <col min="20" max="20" width="11.42578125" style="21"/>
    <col min="23" max="23" width="13.140625" bestFit="1" customWidth="1"/>
    <col min="24" max="24" width="18.5703125" customWidth="1"/>
    <col min="25" max="25" width="17.42578125" customWidth="1"/>
    <col min="27" max="27" width="13.85546875" customWidth="1"/>
    <col min="29" max="29" width="37.28515625" customWidth="1"/>
    <col min="35" max="35" width="3.5703125" style="8" customWidth="1"/>
    <col min="36" max="36" width="12.42578125" customWidth="1"/>
  </cols>
  <sheetData>
    <row r="1" spans="1:36" ht="16.5" customHeight="1" x14ac:dyDescent="0.25">
      <c r="F1" t="s">
        <v>440</v>
      </c>
      <c r="G1" s="6" t="s">
        <v>441</v>
      </c>
      <c r="O1" s="151" t="s">
        <v>442</v>
      </c>
      <c r="P1" s="151"/>
      <c r="Q1" s="151"/>
      <c r="R1" s="151"/>
      <c r="S1" s="151"/>
      <c r="T1" s="151"/>
      <c r="V1" t="s">
        <v>443</v>
      </c>
      <c r="Z1" s="13">
        <v>45671</v>
      </c>
      <c r="AA1" t="s">
        <v>444</v>
      </c>
      <c r="AC1" s="151" t="s">
        <v>445</v>
      </c>
      <c r="AD1" s="151"/>
      <c r="AE1" s="151"/>
      <c r="AF1" s="151"/>
      <c r="AG1" s="151"/>
      <c r="AI1" s="150" t="s">
        <v>446</v>
      </c>
      <c r="AJ1" s="150"/>
    </row>
    <row r="2" spans="1:36" ht="16.5" customHeight="1" thickBot="1" x14ac:dyDescent="0.3">
      <c r="A2" s="8" t="s">
        <v>447</v>
      </c>
      <c r="B2" s="8" t="s">
        <v>448</v>
      </c>
      <c r="C2" s="9" t="s">
        <v>449</v>
      </c>
      <c r="F2" t="s">
        <v>450</v>
      </c>
      <c r="G2" t="s">
        <v>451</v>
      </c>
      <c r="H2" s="7" t="s">
        <v>452</v>
      </c>
      <c r="I2" s="7" t="s">
        <v>453</v>
      </c>
      <c r="O2" s="22" t="s">
        <v>26</v>
      </c>
      <c r="P2" s="22" t="s">
        <v>454</v>
      </c>
      <c r="Q2" s="22" t="s">
        <v>455</v>
      </c>
      <c r="R2" s="22" t="s">
        <v>456</v>
      </c>
      <c r="S2" s="22" t="s">
        <v>457</v>
      </c>
      <c r="T2" s="23" t="s">
        <v>458</v>
      </c>
      <c r="V2" t="s">
        <v>26</v>
      </c>
      <c r="W2" t="s">
        <v>459</v>
      </c>
      <c r="X2" s="24" t="s">
        <v>460</v>
      </c>
      <c r="Y2" t="s">
        <v>461</v>
      </c>
      <c r="AA2" t="s">
        <v>462</v>
      </c>
      <c r="AC2" s="152" t="e" vm="1">
        <v>#VALUE!</v>
      </c>
      <c r="AD2" s="152"/>
      <c r="AE2" s="152"/>
      <c r="AF2" s="152"/>
      <c r="AG2" s="152"/>
      <c r="AI2" s="71"/>
      <c r="AJ2" s="84" t="s">
        <v>463</v>
      </c>
    </row>
    <row r="3" spans="1:36" ht="16.5" customHeight="1" thickTop="1" thickBot="1" x14ac:dyDescent="0.3">
      <c r="A3" t="s">
        <v>464</v>
      </c>
      <c r="B3" s="5">
        <f xml:space="preserve"> DATE(AnneeEnCours,12,25)</f>
        <v>45651</v>
      </c>
      <c r="C3" s="12">
        <f>IF(WEEKDAY(B3,2)&lt;6,B3,"")</f>
        <v>45651</v>
      </c>
      <c r="F3" t="s">
        <v>465</v>
      </c>
      <c r="G3" s="7" t="s">
        <v>24</v>
      </c>
      <c r="H3" s="10">
        <v>45537</v>
      </c>
      <c r="I3" s="10">
        <v>45537</v>
      </c>
      <c r="O3" t="s">
        <v>466</v>
      </c>
      <c r="P3" t="s">
        <v>467</v>
      </c>
      <c r="Q3" s="25">
        <v>45635</v>
      </c>
      <c r="R3" s="25">
        <v>45660</v>
      </c>
      <c r="S3">
        <f>ListePI_IT[[#This Row],[Date Fin]]-ListePI_IT[[#This Row],[Date Début]]</f>
        <v>25</v>
      </c>
      <c r="T3" s="21">
        <f>ListePI_IT[[#This Row],[Nbre de jours]]/7</f>
        <v>3.5714285714285716</v>
      </c>
      <c r="V3" t="s">
        <v>466</v>
      </c>
      <c r="W3" t="s">
        <v>468</v>
      </c>
      <c r="X3" s="25">
        <v>45671</v>
      </c>
      <c r="Y3" s="25">
        <v>45671</v>
      </c>
      <c r="AA3">
        <v>0</v>
      </c>
      <c r="AC3" s="152"/>
      <c r="AD3" s="152"/>
      <c r="AE3" s="152"/>
      <c r="AF3" s="152"/>
      <c r="AG3" s="152"/>
      <c r="AI3" s="72"/>
      <c r="AJ3" s="85" t="s">
        <v>469</v>
      </c>
    </row>
    <row r="4" spans="1:36" ht="16.5" customHeight="1" thickTop="1" thickBot="1" x14ac:dyDescent="0.3">
      <c r="A4" t="s">
        <v>470</v>
      </c>
      <c r="B4" s="5">
        <f xml:space="preserve"> DATE(AnneeEnCours+1,1,1)</f>
        <v>45658</v>
      </c>
      <c r="C4" s="12">
        <f t="shared" ref="C4:C29" si="0">IF(WEEKDAY(B4,2)&lt;6,B4,"")</f>
        <v>45658</v>
      </c>
      <c r="F4" t="s">
        <v>465</v>
      </c>
      <c r="G4" s="7" t="s">
        <v>23</v>
      </c>
      <c r="H4" s="10">
        <v>45537</v>
      </c>
      <c r="I4" s="10">
        <v>45537</v>
      </c>
      <c r="O4" t="s">
        <v>466</v>
      </c>
      <c r="P4" t="s">
        <v>471</v>
      </c>
      <c r="Q4" s="25">
        <v>45663</v>
      </c>
      <c r="R4" s="25">
        <v>45681</v>
      </c>
      <c r="S4">
        <f>ListePI_IT[[#This Row],[Date Fin]]-ListePI_IT[[#This Row],[Date Début]]</f>
        <v>18</v>
      </c>
      <c r="T4" s="21">
        <f>ListePI_IT[[#This Row],[Nbre de jours]]/7</f>
        <v>2.5714285714285716</v>
      </c>
      <c r="V4" t="s">
        <v>466</v>
      </c>
      <c r="W4" t="s">
        <v>468</v>
      </c>
      <c r="X4" s="25">
        <v>45702</v>
      </c>
      <c r="Y4" s="25">
        <v>45702</v>
      </c>
      <c r="AA4">
        <v>0.25</v>
      </c>
      <c r="AC4" s="152"/>
      <c r="AD4" s="152"/>
      <c r="AE4" s="152"/>
      <c r="AF4" s="152"/>
      <c r="AG4" s="152"/>
      <c r="AI4" s="73"/>
      <c r="AJ4" s="85" t="s">
        <v>472</v>
      </c>
    </row>
    <row r="5" spans="1:36" ht="16.5" customHeight="1" thickTop="1" thickBot="1" x14ac:dyDescent="0.3">
      <c r="A5" t="s">
        <v>473</v>
      </c>
      <c r="B5" s="5">
        <v>45767</v>
      </c>
      <c r="C5" s="12" t="str">
        <f t="shared" si="0"/>
        <v/>
      </c>
      <c r="F5" t="s">
        <v>465</v>
      </c>
      <c r="G5" s="7" t="s">
        <v>22</v>
      </c>
      <c r="H5" s="10">
        <v>45537</v>
      </c>
      <c r="I5" s="10">
        <v>45537</v>
      </c>
      <c r="O5" t="s">
        <v>466</v>
      </c>
      <c r="P5" t="s">
        <v>474</v>
      </c>
      <c r="Q5" s="25">
        <v>45684</v>
      </c>
      <c r="R5" s="25">
        <v>45702</v>
      </c>
      <c r="S5">
        <f>ListePI_IT[[#This Row],[Date Fin]]-ListePI_IT[[#This Row],[Date Début]]</f>
        <v>18</v>
      </c>
      <c r="T5" s="21">
        <f>ListePI_IT[[#This Row],[Nbre de jours]]/7</f>
        <v>2.5714285714285716</v>
      </c>
      <c r="V5" t="s">
        <v>466</v>
      </c>
      <c r="W5" t="s">
        <v>475</v>
      </c>
      <c r="X5" s="25">
        <v>45720</v>
      </c>
      <c r="Y5" s="25">
        <v>45720</v>
      </c>
      <c r="AA5">
        <v>0.5</v>
      </c>
      <c r="AC5" s="152"/>
      <c r="AD5" s="152"/>
      <c r="AE5" s="152"/>
      <c r="AF5" s="152"/>
      <c r="AG5" s="152"/>
      <c r="AI5" s="74"/>
      <c r="AJ5" s="85" t="s">
        <v>476</v>
      </c>
    </row>
    <row r="6" spans="1:36" ht="16.5" customHeight="1" thickTop="1" thickBot="1" x14ac:dyDescent="0.3">
      <c r="A6" t="s">
        <v>477</v>
      </c>
      <c r="B6" s="5">
        <v>45768</v>
      </c>
      <c r="C6" s="12">
        <f t="shared" si="0"/>
        <v>45768</v>
      </c>
      <c r="F6" t="s">
        <v>478</v>
      </c>
      <c r="G6" s="7" t="s">
        <v>24</v>
      </c>
      <c r="H6" s="10">
        <v>45584</v>
      </c>
      <c r="I6" s="10">
        <v>45599</v>
      </c>
      <c r="O6" t="s">
        <v>466</v>
      </c>
      <c r="P6" t="s">
        <v>479</v>
      </c>
      <c r="Q6" s="25">
        <v>45705</v>
      </c>
      <c r="R6" s="25">
        <v>45723</v>
      </c>
      <c r="S6">
        <f>ListePI_IT[[#This Row],[Date Fin]]-ListePI_IT[[#This Row],[Date Début]]</f>
        <v>18</v>
      </c>
      <c r="T6" s="21">
        <f>ListePI_IT[[#This Row],[Nbre de jours]]/7</f>
        <v>2.5714285714285716</v>
      </c>
      <c r="V6" t="s">
        <v>480</v>
      </c>
      <c r="W6" t="s">
        <v>481</v>
      </c>
      <c r="X6" s="25">
        <v>45721</v>
      </c>
      <c r="Y6" s="25">
        <v>45722</v>
      </c>
      <c r="AA6">
        <v>1</v>
      </c>
      <c r="AC6" s="152"/>
      <c r="AD6" s="152"/>
      <c r="AE6" s="152"/>
      <c r="AF6" s="152"/>
      <c r="AG6" s="152"/>
      <c r="AI6" s="75"/>
      <c r="AJ6" s="85" t="s">
        <v>482</v>
      </c>
    </row>
    <row r="7" spans="1:36" ht="16.5" customHeight="1" thickTop="1" thickBot="1" x14ac:dyDescent="0.3">
      <c r="A7" t="s">
        <v>483</v>
      </c>
      <c r="B7" s="5">
        <f xml:space="preserve"> DATE(AnneeEnCours+1,5,1)</f>
        <v>45778</v>
      </c>
      <c r="C7" s="12">
        <f t="shared" si="0"/>
        <v>45778</v>
      </c>
      <c r="F7" t="s">
        <v>478</v>
      </c>
      <c r="G7" s="7" t="s">
        <v>23</v>
      </c>
      <c r="H7" s="10">
        <v>45584</v>
      </c>
      <c r="I7" s="10">
        <v>45599</v>
      </c>
      <c r="O7" t="s">
        <v>480</v>
      </c>
      <c r="P7" t="s">
        <v>467</v>
      </c>
      <c r="Q7" s="25">
        <v>45726</v>
      </c>
      <c r="R7" s="25">
        <v>45744</v>
      </c>
      <c r="S7">
        <f>ListePI_IT[[#This Row],[Date Fin]]-ListePI_IT[[#This Row],[Date Début]]</f>
        <v>18</v>
      </c>
      <c r="T7" s="21">
        <f>ListePI_IT[[#This Row],[Nbre de jours]]/7</f>
        <v>2.5714285714285716</v>
      </c>
      <c r="V7" t="s">
        <v>480</v>
      </c>
      <c r="W7" t="s">
        <v>475</v>
      </c>
      <c r="X7" s="25">
        <v>45818</v>
      </c>
      <c r="Y7" s="25">
        <v>45818</v>
      </c>
      <c r="AC7" s="152"/>
      <c r="AD7" s="152"/>
      <c r="AE7" s="152"/>
      <c r="AF7" s="152"/>
      <c r="AG7" s="152"/>
      <c r="AI7" s="76"/>
      <c r="AJ7" s="85" t="s">
        <v>475</v>
      </c>
    </row>
    <row r="8" spans="1:36" ht="16.5" customHeight="1" thickTop="1" thickBot="1" x14ac:dyDescent="0.3">
      <c r="A8" t="s">
        <v>484</v>
      </c>
      <c r="B8" s="5">
        <f xml:space="preserve"> DATE(AnneeEnCours+1,5,8)</f>
        <v>45785</v>
      </c>
      <c r="C8" s="12">
        <f t="shared" si="0"/>
        <v>45785</v>
      </c>
      <c r="F8" t="s">
        <v>478</v>
      </c>
      <c r="G8" s="7" t="s">
        <v>22</v>
      </c>
      <c r="H8" s="10">
        <v>45584</v>
      </c>
      <c r="I8" s="10">
        <v>45599</v>
      </c>
      <c r="O8" t="s">
        <v>480</v>
      </c>
      <c r="P8" t="s">
        <v>471</v>
      </c>
      <c r="Q8" s="25">
        <v>45747</v>
      </c>
      <c r="R8" s="25">
        <v>45765</v>
      </c>
      <c r="S8">
        <f>ListePI_IT[[#This Row],[Date Fin]]-ListePI_IT[[#This Row],[Date Début]]</f>
        <v>18</v>
      </c>
      <c r="T8" s="21">
        <f>ListePI_IT[[#This Row],[Nbre de jours]]/7</f>
        <v>2.5714285714285716</v>
      </c>
      <c r="V8" t="s">
        <v>485</v>
      </c>
      <c r="W8" t="s">
        <v>481</v>
      </c>
      <c r="X8" s="25">
        <v>45819</v>
      </c>
      <c r="Y8" s="25">
        <v>45820</v>
      </c>
      <c r="AC8" s="152"/>
      <c r="AD8" s="152"/>
      <c r="AE8" s="152"/>
      <c r="AF8" s="152"/>
      <c r="AG8" s="152"/>
      <c r="AI8" s="76"/>
      <c r="AJ8" s="85" t="s">
        <v>481</v>
      </c>
    </row>
    <row r="9" spans="1:36" ht="16.5" customHeight="1" thickTop="1" thickBot="1" x14ac:dyDescent="0.3">
      <c r="A9" t="s">
        <v>486</v>
      </c>
      <c r="B9" s="5">
        <v>45806</v>
      </c>
      <c r="C9" s="12">
        <f t="shared" si="0"/>
        <v>45806</v>
      </c>
      <c r="F9" t="s">
        <v>464</v>
      </c>
      <c r="G9" s="7" t="s">
        <v>24</v>
      </c>
      <c r="H9" s="10">
        <v>45647</v>
      </c>
      <c r="I9" s="10">
        <v>45662</v>
      </c>
      <c r="O9" t="s">
        <v>480</v>
      </c>
      <c r="P9" t="s">
        <v>474</v>
      </c>
      <c r="Q9" s="25">
        <v>45768</v>
      </c>
      <c r="R9" s="25">
        <v>45786</v>
      </c>
      <c r="S9">
        <f>ListePI_IT[[#This Row],[Date Fin]]-ListePI_IT[[#This Row],[Date Début]]</f>
        <v>18</v>
      </c>
      <c r="T9" s="21">
        <f>ListePI_IT[[#This Row],[Nbre de jours]]/7</f>
        <v>2.5714285714285716</v>
      </c>
      <c r="V9" t="s">
        <v>485</v>
      </c>
      <c r="W9" t="s">
        <v>475</v>
      </c>
      <c r="X9" s="25">
        <v>45923</v>
      </c>
      <c r="Y9" s="25">
        <v>45923</v>
      </c>
      <c r="AC9" s="152"/>
      <c r="AD9" s="152"/>
      <c r="AE9" s="152"/>
      <c r="AF9" s="152"/>
      <c r="AG9" s="152"/>
      <c r="AI9" s="77"/>
      <c r="AJ9" s="85" t="s">
        <v>487</v>
      </c>
    </row>
    <row r="10" spans="1:36" ht="16.5" customHeight="1" thickTop="1" thickBot="1" x14ac:dyDescent="0.3">
      <c r="A10" t="s">
        <v>488</v>
      </c>
      <c r="B10" s="5">
        <f xml:space="preserve"> B5 + 49</f>
        <v>45816</v>
      </c>
      <c r="C10" s="12" t="str">
        <f t="shared" si="0"/>
        <v/>
      </c>
      <c r="F10" t="s">
        <v>464</v>
      </c>
      <c r="G10" s="7" t="s">
        <v>23</v>
      </c>
      <c r="H10" s="10">
        <v>45647</v>
      </c>
      <c r="I10" s="10">
        <v>45662</v>
      </c>
      <c r="O10" t="s">
        <v>480</v>
      </c>
      <c r="P10" t="s">
        <v>489</v>
      </c>
      <c r="Q10" s="25">
        <v>45789</v>
      </c>
      <c r="R10" s="25">
        <v>45807</v>
      </c>
      <c r="S10">
        <f>ListePI_IT[[#This Row],[Date Fin]]-ListePI_IT[[#This Row],[Date Début]]</f>
        <v>18</v>
      </c>
      <c r="T10" s="21">
        <f>ListePI_IT[[#This Row],[Nbre de jours]]/7</f>
        <v>2.5714285714285716</v>
      </c>
      <c r="V10" t="s">
        <v>490</v>
      </c>
      <c r="W10" t="s">
        <v>481</v>
      </c>
      <c r="X10" s="25">
        <v>45924</v>
      </c>
      <c r="Y10" s="25">
        <v>45925</v>
      </c>
      <c r="AC10" s="152"/>
      <c r="AD10" s="152"/>
      <c r="AE10" s="152"/>
      <c r="AF10" s="152"/>
      <c r="AG10" s="152"/>
      <c r="AI10" s="78"/>
      <c r="AJ10" s="85" t="s">
        <v>491</v>
      </c>
    </row>
    <row r="11" spans="1:36" ht="16.5" customHeight="1" thickTop="1" thickBot="1" x14ac:dyDescent="0.3">
      <c r="A11" t="s">
        <v>492</v>
      </c>
      <c r="B11" s="5">
        <f>B10+1</f>
        <v>45817</v>
      </c>
      <c r="C11" s="12">
        <f t="shared" si="0"/>
        <v>45817</v>
      </c>
      <c r="F11" t="s">
        <v>464</v>
      </c>
      <c r="G11" s="7" t="s">
        <v>22</v>
      </c>
      <c r="H11" s="10">
        <v>45647</v>
      </c>
      <c r="I11" s="10">
        <v>45662</v>
      </c>
      <c r="O11" t="s">
        <v>480</v>
      </c>
      <c r="P11" t="s">
        <v>479</v>
      </c>
      <c r="Q11" s="25">
        <v>45810</v>
      </c>
      <c r="R11" s="25">
        <v>45821</v>
      </c>
      <c r="S11">
        <f>ListePI_IT[[#This Row],[Date Fin]]-ListePI_IT[[#This Row],[Date Début]]</f>
        <v>11</v>
      </c>
      <c r="T11" s="21">
        <f>ListePI_IT[[#This Row],[Nbre de jours]]/7</f>
        <v>1.5714285714285714</v>
      </c>
      <c r="V11" t="s">
        <v>490</v>
      </c>
      <c r="W11" t="s">
        <v>475</v>
      </c>
      <c r="X11" s="25">
        <v>46035</v>
      </c>
      <c r="Y11" s="25">
        <v>46035</v>
      </c>
      <c r="AC11" s="152"/>
      <c r="AD11" s="152"/>
      <c r="AE11" s="152"/>
      <c r="AF11" s="152"/>
      <c r="AG11" s="152"/>
      <c r="AI11" s="79"/>
      <c r="AJ11" s="85" t="s">
        <v>493</v>
      </c>
    </row>
    <row r="12" spans="1:36" ht="16.5" customHeight="1" thickTop="1" thickBot="1" x14ac:dyDescent="0.3">
      <c r="A12" t="s">
        <v>494</v>
      </c>
      <c r="B12" s="5">
        <f xml:space="preserve"> DATE(AnneeEnCours+1,7,14)</f>
        <v>45852</v>
      </c>
      <c r="C12" s="12">
        <f t="shared" si="0"/>
        <v>45852</v>
      </c>
      <c r="F12" t="s">
        <v>495</v>
      </c>
      <c r="G12" s="7" t="s">
        <v>24</v>
      </c>
      <c r="H12" s="10">
        <v>45710</v>
      </c>
      <c r="I12" s="10">
        <v>45726</v>
      </c>
      <c r="O12" t="s">
        <v>485</v>
      </c>
      <c r="P12" t="s">
        <v>467</v>
      </c>
      <c r="Q12" s="25">
        <v>45824</v>
      </c>
      <c r="R12" s="25">
        <v>45842</v>
      </c>
      <c r="S12">
        <f>ListePI_IT[[#This Row],[Date Fin]]-ListePI_IT[[#This Row],[Date Début]]</f>
        <v>18</v>
      </c>
      <c r="T12" s="21">
        <f>ListePI_IT[[#This Row],[Nbre de jours]]/7</f>
        <v>2.5714285714285716</v>
      </c>
      <c r="AC12" s="152"/>
      <c r="AD12" s="152"/>
      <c r="AE12" s="152"/>
      <c r="AF12" s="152"/>
      <c r="AG12" s="152"/>
      <c r="AI12" s="80"/>
      <c r="AJ12" s="85" t="s">
        <v>496</v>
      </c>
    </row>
    <row r="13" spans="1:36" ht="16.5" customHeight="1" thickTop="1" thickBot="1" x14ac:dyDescent="0.3">
      <c r="A13" t="s">
        <v>497</v>
      </c>
      <c r="B13" s="5">
        <f xml:space="preserve"> DATE(AnneeEnCours+1,8,15)</f>
        <v>45884</v>
      </c>
      <c r="C13" s="12">
        <f t="shared" si="0"/>
        <v>45884</v>
      </c>
      <c r="F13" t="s">
        <v>495</v>
      </c>
      <c r="G13" s="7" t="s">
        <v>23</v>
      </c>
      <c r="H13" s="10">
        <v>45696</v>
      </c>
      <c r="I13" s="10">
        <v>45711</v>
      </c>
      <c r="O13" t="s">
        <v>485</v>
      </c>
      <c r="P13" t="s">
        <v>471</v>
      </c>
      <c r="Q13" s="25">
        <v>45845</v>
      </c>
      <c r="R13" s="25">
        <v>45863</v>
      </c>
      <c r="S13">
        <f>ListePI_IT[[#This Row],[Date Fin]]-ListePI_IT[[#This Row],[Date Début]]</f>
        <v>18</v>
      </c>
      <c r="T13" s="21">
        <f>ListePI_IT[[#This Row],[Nbre de jours]]/7</f>
        <v>2.5714285714285716</v>
      </c>
      <c r="W13" t="s">
        <v>498</v>
      </c>
      <c r="AC13" s="152"/>
      <c r="AD13" s="152"/>
      <c r="AE13" s="152"/>
      <c r="AF13" s="152"/>
      <c r="AG13" s="152"/>
      <c r="AI13" s="81"/>
      <c r="AJ13" s="85" t="s">
        <v>499</v>
      </c>
    </row>
    <row r="14" spans="1:36" ht="16.5" customHeight="1" thickTop="1" thickBot="1" x14ac:dyDescent="0.3">
      <c r="A14" t="s">
        <v>500</v>
      </c>
      <c r="B14" s="5">
        <f xml:space="preserve"> DATE(AnneeEnCours+1,11,1)</f>
        <v>45962</v>
      </c>
      <c r="C14" s="12" t="str">
        <f t="shared" si="0"/>
        <v/>
      </c>
      <c r="F14" t="s">
        <v>495</v>
      </c>
      <c r="G14" s="7" t="s">
        <v>22</v>
      </c>
      <c r="H14" s="10">
        <v>45703</v>
      </c>
      <c r="I14" s="10">
        <v>45718</v>
      </c>
      <c r="O14" t="s">
        <v>485</v>
      </c>
      <c r="P14" t="s">
        <v>474</v>
      </c>
      <c r="Q14" s="25">
        <v>45866</v>
      </c>
      <c r="R14" s="25">
        <v>45884</v>
      </c>
      <c r="S14">
        <f>ListePI_IT[[#This Row],[Date Fin]]-ListePI_IT[[#This Row],[Date Début]]</f>
        <v>18</v>
      </c>
      <c r="T14" s="21">
        <f>ListePI_IT[[#This Row],[Nbre de jours]]/7</f>
        <v>2.5714285714285716</v>
      </c>
      <c r="W14" t="s">
        <v>501</v>
      </c>
      <c r="AC14" s="152"/>
      <c r="AD14" s="152"/>
      <c r="AE14" s="152"/>
      <c r="AF14" s="152"/>
      <c r="AG14" s="152"/>
      <c r="AI14" s="82"/>
      <c r="AJ14" s="85" t="s">
        <v>502</v>
      </c>
    </row>
    <row r="15" spans="1:36" ht="16.5" customHeight="1" thickTop="1" x14ac:dyDescent="0.25">
      <c r="A15" t="s">
        <v>503</v>
      </c>
      <c r="B15" s="5">
        <f xml:space="preserve"> DATE(AnneeEnCours+1,11,11)</f>
        <v>45972</v>
      </c>
      <c r="C15" s="12">
        <f t="shared" si="0"/>
        <v>45972</v>
      </c>
      <c r="F15" t="s">
        <v>504</v>
      </c>
      <c r="G15" s="7" t="s">
        <v>24</v>
      </c>
      <c r="H15" s="10">
        <v>45766</v>
      </c>
      <c r="I15" s="10">
        <v>45781</v>
      </c>
      <c r="O15" t="s">
        <v>485</v>
      </c>
      <c r="P15" t="s">
        <v>489</v>
      </c>
      <c r="Q15" s="25">
        <v>45887</v>
      </c>
      <c r="R15" s="25">
        <v>45905</v>
      </c>
      <c r="S15">
        <f>ListePI_IT[[#This Row],[Date Fin]]-ListePI_IT[[#This Row],[Date Début]]</f>
        <v>18</v>
      </c>
      <c r="T15" s="21">
        <f>ListePI_IT[[#This Row],[Nbre de jours]]/7</f>
        <v>2.5714285714285716</v>
      </c>
      <c r="Y15" s="30"/>
      <c r="AC15" s="70"/>
      <c r="AD15" s="70"/>
      <c r="AE15" s="70"/>
      <c r="AF15" s="70"/>
      <c r="AG15" s="70"/>
      <c r="AI15" s="83"/>
      <c r="AJ15" s="86" t="s">
        <v>505</v>
      </c>
    </row>
    <row r="16" spans="1:36" ht="16.5" customHeight="1" x14ac:dyDescent="0.25">
      <c r="A16" t="s">
        <v>506</v>
      </c>
      <c r="B16" s="5">
        <f xml:space="preserve"> DATE(AnneeEnCours+1,12,25)</f>
        <v>46016</v>
      </c>
      <c r="C16" s="12">
        <f t="shared" si="0"/>
        <v>46016</v>
      </c>
      <c r="F16" t="s">
        <v>504</v>
      </c>
      <c r="G16" s="7" t="s">
        <v>23</v>
      </c>
      <c r="H16" s="10">
        <v>45752</v>
      </c>
      <c r="I16" s="10">
        <v>45768</v>
      </c>
      <c r="O16" t="s">
        <v>485</v>
      </c>
      <c r="P16" t="s">
        <v>479</v>
      </c>
      <c r="Q16" s="25">
        <v>45908</v>
      </c>
      <c r="R16" s="25">
        <v>45926</v>
      </c>
      <c r="S16">
        <f>ListePI_IT[[#This Row],[Date Fin]]-ListePI_IT[[#This Row],[Date Début]]</f>
        <v>18</v>
      </c>
      <c r="T16" s="21">
        <f>ListePI_IT[[#This Row],[Nbre de jours]]/7</f>
        <v>2.5714285714285716</v>
      </c>
      <c r="V16" t="str">
        <f t="array" ref="V16">IF(ROW()-1&gt;COUNTIF(P:P,"1"),"",INDEX(E:E,SMALL(IF(P:P=1,ROW(A:A),""),ROW()-1)))</f>
        <v/>
      </c>
      <c r="AC16" s="70"/>
      <c r="AD16" s="70"/>
      <c r="AE16" s="70"/>
      <c r="AF16" s="70"/>
      <c r="AG16" s="70"/>
      <c r="AI16" s="108"/>
      <c r="AJ16" t="s">
        <v>507</v>
      </c>
    </row>
    <row r="17" spans="1:26" ht="16.5" customHeight="1" x14ac:dyDescent="0.25">
      <c r="A17" t="s">
        <v>470</v>
      </c>
      <c r="B17" s="5">
        <f xml:space="preserve"> DATE(AnneeEnCours+2,1,1)</f>
        <v>46023</v>
      </c>
      <c r="C17" s="12">
        <f t="shared" si="0"/>
        <v>46023</v>
      </c>
      <c r="F17" t="s">
        <v>504</v>
      </c>
      <c r="G17" s="7" t="s">
        <v>22</v>
      </c>
      <c r="H17" s="10">
        <v>45759</v>
      </c>
      <c r="I17" s="10">
        <v>45774</v>
      </c>
      <c r="O17" t="s">
        <v>490</v>
      </c>
      <c r="P17" t="s">
        <v>467</v>
      </c>
      <c r="Q17" s="25">
        <v>45929</v>
      </c>
      <c r="R17" s="25">
        <v>45947</v>
      </c>
      <c r="S17">
        <f>ListePI_IT[[#This Row],[Date Fin]]-ListePI_IT[[#This Row],[Date Début]]</f>
        <v>18</v>
      </c>
      <c r="T17" s="21">
        <f>ListePI_IT[[#This Row],[Nbre de jours]]/7</f>
        <v>2.5714285714285716</v>
      </c>
      <c r="Z17" t="str">
        <f t="array" ref="Z17">IF(ROW()-1&gt;COUNTIF(AL:AL,"1"),"",INDEX(W:W,SMALL(IF(AL:AL=1,ROW(W:W),""),ROW()-1)))</f>
        <v/>
      </c>
    </row>
    <row r="18" spans="1:26" ht="16.5" customHeight="1" x14ac:dyDescent="0.25">
      <c r="A18" t="s">
        <v>473</v>
      </c>
      <c r="B18" s="5">
        <f xml:space="preserve"> FLOOR(DAY(MINUTE(AnneeEnCours+2/38)/2+56)&amp;"/5/"&amp;AnneeEnCours+2,7)-34</f>
        <v>46110</v>
      </c>
      <c r="C18" s="12" t="str">
        <f t="shared" si="0"/>
        <v/>
      </c>
      <c r="F18" t="s">
        <v>508</v>
      </c>
      <c r="G18" s="7" t="s">
        <v>24</v>
      </c>
      <c r="H18" s="10">
        <v>45843</v>
      </c>
      <c r="I18" s="10">
        <v>45900</v>
      </c>
      <c r="O18" t="s">
        <v>490</v>
      </c>
      <c r="P18" t="s">
        <v>471</v>
      </c>
      <c r="Q18" s="25">
        <v>45950</v>
      </c>
      <c r="R18" s="25">
        <v>45968</v>
      </c>
      <c r="S18">
        <f>ListePI_IT[[#This Row],[Date Fin]]-ListePI_IT[[#This Row],[Date Début]]</f>
        <v>18</v>
      </c>
      <c r="T18" s="21">
        <f>ListePI_IT[[#This Row],[Nbre de jours]]/7</f>
        <v>2.5714285714285716</v>
      </c>
    </row>
    <row r="19" spans="1:26" ht="16.5" customHeight="1" x14ac:dyDescent="0.25">
      <c r="A19" t="s">
        <v>477</v>
      </c>
      <c r="B19" s="5">
        <f>FLOOR(DAY(MINUTE(AnneeEnCours+2/38)/2+56)&amp;"/5/"&amp;AnneeEnCours+2,7)-34+1</f>
        <v>46111</v>
      </c>
      <c r="C19" s="12">
        <f t="shared" si="0"/>
        <v>46111</v>
      </c>
      <c r="F19" t="s">
        <v>508</v>
      </c>
      <c r="G19" s="7" t="s">
        <v>23</v>
      </c>
      <c r="H19" s="10">
        <v>45843</v>
      </c>
      <c r="I19" s="10">
        <v>45900</v>
      </c>
      <c r="O19" t="s">
        <v>490</v>
      </c>
      <c r="P19" t="s">
        <v>474</v>
      </c>
      <c r="Q19" s="25">
        <v>45971</v>
      </c>
      <c r="R19" s="25">
        <v>45989</v>
      </c>
      <c r="S19">
        <f>ListePI_IT[[#This Row],[Date Fin]]-ListePI_IT[[#This Row],[Date Début]]</f>
        <v>18</v>
      </c>
      <c r="T19" s="21">
        <f>ListePI_IT[[#This Row],[Nbre de jours]]/7</f>
        <v>2.5714285714285716</v>
      </c>
      <c r="Z19" s="125"/>
    </row>
    <row r="20" spans="1:26" ht="16.5" customHeight="1" x14ac:dyDescent="0.25">
      <c r="A20" t="s">
        <v>483</v>
      </c>
      <c r="B20" s="5">
        <f xml:space="preserve"> DATE(AnneeEnCours+2,5,1)</f>
        <v>46143</v>
      </c>
      <c r="C20" s="12">
        <f t="shared" si="0"/>
        <v>46143</v>
      </c>
      <c r="F20" t="s">
        <v>508</v>
      </c>
      <c r="G20" s="7" t="s">
        <v>22</v>
      </c>
      <c r="H20" s="10">
        <v>45843</v>
      </c>
      <c r="I20" s="10">
        <v>45900</v>
      </c>
      <c r="O20" t="s">
        <v>490</v>
      </c>
      <c r="P20" t="s">
        <v>489</v>
      </c>
      <c r="Q20" s="25">
        <v>45992</v>
      </c>
      <c r="R20" s="25">
        <v>46010</v>
      </c>
      <c r="S20">
        <f>ListePI_IT[[#This Row],[Date Fin]]-ListePI_IT[[#This Row],[Date Début]]</f>
        <v>18</v>
      </c>
      <c r="T20" s="21">
        <f>ListePI_IT[[#This Row],[Nbre de jours]]/7</f>
        <v>2.5714285714285716</v>
      </c>
    </row>
    <row r="21" spans="1:26" ht="16.5" customHeight="1" x14ac:dyDescent="0.25">
      <c r="A21" t="s">
        <v>484</v>
      </c>
      <c r="B21" s="5">
        <f xml:space="preserve"> DATE(AnneeEnCours+2,5,8)</f>
        <v>46150</v>
      </c>
      <c r="C21" s="12">
        <f t="shared" si="0"/>
        <v>46150</v>
      </c>
      <c r="F21" t="s">
        <v>465</v>
      </c>
      <c r="G21" s="7" t="s">
        <v>24</v>
      </c>
      <c r="H21" s="10">
        <v>45901</v>
      </c>
      <c r="I21" s="10">
        <v>45901</v>
      </c>
      <c r="O21" t="s">
        <v>490</v>
      </c>
      <c r="P21" t="s">
        <v>479</v>
      </c>
      <c r="Q21" s="25">
        <v>46013</v>
      </c>
      <c r="R21" s="25">
        <v>46038</v>
      </c>
      <c r="S21">
        <f>ListePI_IT[[#This Row],[Date Fin]]-ListePI_IT[[#This Row],[Date Début]]</f>
        <v>25</v>
      </c>
      <c r="T21" s="21">
        <f>ListePI_IT[[#This Row],[Nbre de jours]]/7</f>
        <v>3.5714285714285716</v>
      </c>
    </row>
    <row r="22" spans="1:26" ht="16.5" customHeight="1" x14ac:dyDescent="0.25">
      <c r="A22" t="s">
        <v>486</v>
      </c>
      <c r="B22" s="5">
        <v>46156</v>
      </c>
      <c r="C22" s="12">
        <f t="shared" si="0"/>
        <v>46156</v>
      </c>
      <c r="F22" t="s">
        <v>465</v>
      </c>
      <c r="G22" s="7" t="s">
        <v>23</v>
      </c>
      <c r="H22" s="10">
        <v>45901</v>
      </c>
      <c r="I22" s="10">
        <v>45901</v>
      </c>
    </row>
    <row r="23" spans="1:26" ht="16.5" customHeight="1" x14ac:dyDescent="0.25">
      <c r="A23" t="s">
        <v>488</v>
      </c>
      <c r="B23" s="5">
        <f xml:space="preserve"> B18 + 49</f>
        <v>46159</v>
      </c>
      <c r="C23" s="12" t="str">
        <f t="shared" si="0"/>
        <v/>
      </c>
      <c r="F23" t="s">
        <v>465</v>
      </c>
      <c r="G23" s="7" t="s">
        <v>22</v>
      </c>
      <c r="H23" s="10">
        <v>45901</v>
      </c>
      <c r="I23" s="10">
        <v>45901</v>
      </c>
    </row>
    <row r="24" spans="1:26" ht="16.5" customHeight="1" x14ac:dyDescent="0.25">
      <c r="A24" t="s">
        <v>492</v>
      </c>
      <c r="B24" s="5">
        <f xml:space="preserve"> ( FLOOR(DAY(MINUTE(AnneeEnCours+2/38)/2+56)&amp;"/5/"&amp;AnneeEnCours+2,7)-34) + 50</f>
        <v>46160</v>
      </c>
      <c r="C24" s="12">
        <f t="shared" si="0"/>
        <v>46160</v>
      </c>
      <c r="F24" t="s">
        <v>478</v>
      </c>
      <c r="G24" s="7" t="s">
        <v>24</v>
      </c>
      <c r="H24" s="10">
        <v>45948</v>
      </c>
      <c r="I24" s="10">
        <v>45963</v>
      </c>
    </row>
    <row r="25" spans="1:26" ht="16.5" customHeight="1" x14ac:dyDescent="0.25">
      <c r="A25" t="s">
        <v>494</v>
      </c>
      <c r="B25" s="5">
        <f xml:space="preserve"> DATE(AnneeEnCours+2,7,14)</f>
        <v>46217</v>
      </c>
      <c r="C25" s="12">
        <f t="shared" si="0"/>
        <v>46217</v>
      </c>
      <c r="F25" t="s">
        <v>478</v>
      </c>
      <c r="G25" s="7" t="s">
        <v>23</v>
      </c>
      <c r="H25" s="10">
        <v>45948</v>
      </c>
      <c r="I25" s="10">
        <v>45963</v>
      </c>
      <c r="Q25" t="str" cm="1">
        <f t="array" ref="Q25">IF(ROW()-1&gt;COUNTIF(AZ:AZ,"1"),"",INDEX(V:Y,SMALL(IF(AZ:AZ=1,ROW(V:Y),""),ROW()-1)))</f>
        <v/>
      </c>
    </row>
    <row r="26" spans="1:26" ht="16.5" customHeight="1" x14ac:dyDescent="0.25">
      <c r="A26" t="s">
        <v>497</v>
      </c>
      <c r="B26" s="5">
        <f xml:space="preserve"> DATE(AnneeEnCours+2,8,15)</f>
        <v>46249</v>
      </c>
      <c r="C26" s="12" t="str">
        <f t="shared" si="0"/>
        <v/>
      </c>
      <c r="F26" t="s">
        <v>478</v>
      </c>
      <c r="G26" s="7" t="s">
        <v>22</v>
      </c>
      <c r="H26" s="10">
        <v>45948</v>
      </c>
      <c r="I26" s="10">
        <v>45963</v>
      </c>
    </row>
    <row r="27" spans="1:26" ht="16.5" customHeight="1" x14ac:dyDescent="0.25">
      <c r="A27" t="s">
        <v>500</v>
      </c>
      <c r="B27" s="5">
        <f xml:space="preserve"> DATE(AnneeEnCours+2,11,1)</f>
        <v>46327</v>
      </c>
      <c r="C27" s="12" t="str">
        <f t="shared" si="0"/>
        <v/>
      </c>
      <c r="F27" t="s">
        <v>464</v>
      </c>
      <c r="G27" s="7" t="s">
        <v>24</v>
      </c>
      <c r="H27" s="10">
        <v>46011</v>
      </c>
      <c r="I27" s="10">
        <v>46026</v>
      </c>
    </row>
    <row r="28" spans="1:26" ht="16.5" customHeight="1" x14ac:dyDescent="0.25">
      <c r="A28" t="s">
        <v>503</v>
      </c>
      <c r="B28" s="5">
        <f xml:space="preserve"> DATE(AnneeEnCours+2,11,11)</f>
        <v>46337</v>
      </c>
      <c r="C28" s="12">
        <f t="shared" si="0"/>
        <v>46337</v>
      </c>
      <c r="F28" t="s">
        <v>464</v>
      </c>
      <c r="G28" s="7" t="s">
        <v>23</v>
      </c>
      <c r="H28" s="10">
        <v>46011</v>
      </c>
      <c r="I28" s="10">
        <v>46026</v>
      </c>
    </row>
    <row r="29" spans="1:26" ht="16.5" customHeight="1" x14ac:dyDescent="0.25">
      <c r="A29" t="s">
        <v>506</v>
      </c>
      <c r="B29" s="5">
        <f xml:space="preserve"> DATE(AnneeEnCours+2,12,25)</f>
        <v>46381</v>
      </c>
      <c r="C29" s="12">
        <f t="shared" si="0"/>
        <v>46381</v>
      </c>
      <c r="F29" t="s">
        <v>464</v>
      </c>
      <c r="G29" s="7" t="s">
        <v>22</v>
      </c>
      <c r="H29" s="10">
        <v>46011</v>
      </c>
      <c r="I29" s="10">
        <v>46026</v>
      </c>
    </row>
    <row r="30" spans="1:26" ht="16.5" customHeight="1" x14ac:dyDescent="0.25">
      <c r="A30" t="s">
        <v>470</v>
      </c>
      <c r="B30" s="5">
        <f xml:space="preserve"> DATE(AnneeEnCours+3,1,1)</f>
        <v>46388</v>
      </c>
      <c r="C30" s="12">
        <f t="shared" ref="C30:C42" si="1">IF(WEEKDAY(B30,2)&lt;6,B30,"")</f>
        <v>46388</v>
      </c>
      <c r="F30" t="s">
        <v>495</v>
      </c>
      <c r="G30" s="7" t="s">
        <v>24</v>
      </c>
      <c r="H30" s="10">
        <v>46060</v>
      </c>
      <c r="I30" s="10">
        <v>46075</v>
      </c>
    </row>
    <row r="31" spans="1:26" ht="16.5" customHeight="1" x14ac:dyDescent="0.25">
      <c r="A31" t="s">
        <v>473</v>
      </c>
      <c r="B31" s="5">
        <f xml:space="preserve"> FLOOR(DAY(MINUTE(AnneeEnCours+3/38)/2+56)&amp;"/5/"&amp;AnneeEnCours+3,7)-34</f>
        <v>46495</v>
      </c>
      <c r="C31" s="12" t="str">
        <f t="shared" si="1"/>
        <v/>
      </c>
      <c r="F31" t="s">
        <v>495</v>
      </c>
      <c r="G31" s="7" t="s">
        <v>23</v>
      </c>
      <c r="H31" s="10">
        <v>46067</v>
      </c>
      <c r="I31" s="10">
        <v>46082</v>
      </c>
    </row>
    <row r="32" spans="1:26" ht="16.5" customHeight="1" x14ac:dyDescent="0.25">
      <c r="A32" t="s">
        <v>477</v>
      </c>
      <c r="B32" s="5">
        <f>FLOOR(DAY(MINUTE(AnneeEnCours+3/38)/2+56)&amp;"/5/"&amp;AnneeEnCours+3,7)-34+1</f>
        <v>46496</v>
      </c>
      <c r="C32" s="12">
        <f t="shared" si="1"/>
        <v>46496</v>
      </c>
      <c r="F32" t="s">
        <v>495</v>
      </c>
      <c r="G32" s="7" t="s">
        <v>22</v>
      </c>
      <c r="H32" s="10">
        <v>46074</v>
      </c>
      <c r="I32" s="10">
        <v>46089</v>
      </c>
    </row>
    <row r="33" spans="1:9" ht="16.5" customHeight="1" x14ac:dyDescent="0.25">
      <c r="A33" t="s">
        <v>483</v>
      </c>
      <c r="B33" s="5">
        <f xml:space="preserve"> DATE(AnneeEnCours+3,5,1)</f>
        <v>46508</v>
      </c>
      <c r="C33" s="12" t="str">
        <f t="shared" si="1"/>
        <v/>
      </c>
      <c r="F33" t="s">
        <v>504</v>
      </c>
      <c r="G33" s="7" t="s">
        <v>24</v>
      </c>
      <c r="H33" s="10">
        <v>46116</v>
      </c>
      <c r="I33" s="10">
        <v>46131</v>
      </c>
    </row>
    <row r="34" spans="1:9" ht="16.5" customHeight="1" x14ac:dyDescent="0.25">
      <c r="A34" t="s">
        <v>484</v>
      </c>
      <c r="B34" s="5">
        <f xml:space="preserve"> DATE(AnneeEnCours+3,5,8)</f>
        <v>46515</v>
      </c>
      <c r="C34" s="12" t="str">
        <f t="shared" si="1"/>
        <v/>
      </c>
      <c r="F34" t="s">
        <v>504</v>
      </c>
      <c r="G34" s="7" t="s">
        <v>23</v>
      </c>
      <c r="H34" s="10">
        <v>46123</v>
      </c>
      <c r="I34" s="10">
        <v>46138</v>
      </c>
    </row>
    <row r="35" spans="1:9" ht="16.5" customHeight="1" x14ac:dyDescent="0.25">
      <c r="A35" t="s">
        <v>486</v>
      </c>
      <c r="B35" s="5">
        <f>FLOOR(DAY(MINUTE(AnneeEnCours+3/38)/2+56)&amp;"/5/"&amp;AnneeEnCours+3,7)-34+39</f>
        <v>46534</v>
      </c>
      <c r="C35" s="12">
        <f t="shared" si="1"/>
        <v>46534</v>
      </c>
      <c r="F35" t="s">
        <v>504</v>
      </c>
      <c r="G35" s="7" t="s">
        <v>22</v>
      </c>
      <c r="H35" s="10">
        <v>46130</v>
      </c>
      <c r="I35" s="10">
        <v>46145</v>
      </c>
    </row>
    <row r="36" spans="1:9" ht="16.5" customHeight="1" x14ac:dyDescent="0.25">
      <c r="A36" t="s">
        <v>488</v>
      </c>
      <c r="B36" s="5">
        <f xml:space="preserve"> B31 + 49</f>
        <v>46544</v>
      </c>
      <c r="C36" s="12" t="str">
        <f t="shared" si="1"/>
        <v/>
      </c>
      <c r="F36" t="s">
        <v>508</v>
      </c>
      <c r="G36" s="7" t="s">
        <v>24</v>
      </c>
      <c r="H36" s="10">
        <v>46207</v>
      </c>
      <c r="I36" s="10"/>
    </row>
    <row r="37" spans="1:9" ht="16.5" customHeight="1" x14ac:dyDescent="0.25">
      <c r="A37" t="s">
        <v>492</v>
      </c>
      <c r="B37" s="5">
        <f xml:space="preserve"> ( FLOOR(DAY(MINUTE(AnneeEnCours+3/38)/2+56)&amp;"/5/"&amp;AnneeEnCours+3,7)-34) + 50</f>
        <v>46545</v>
      </c>
      <c r="C37" s="12">
        <f t="shared" si="1"/>
        <v>46545</v>
      </c>
      <c r="F37" t="s">
        <v>508</v>
      </c>
      <c r="G37" s="7" t="s">
        <v>23</v>
      </c>
      <c r="H37" s="10">
        <v>46207</v>
      </c>
      <c r="I37" s="10"/>
    </row>
    <row r="38" spans="1:9" ht="16.5" customHeight="1" x14ac:dyDescent="0.25">
      <c r="A38" t="s">
        <v>494</v>
      </c>
      <c r="B38" s="5">
        <f xml:space="preserve"> DATE(AnneeEnCours+3,7,14)</f>
        <v>46582</v>
      </c>
      <c r="C38" s="12">
        <f t="shared" si="1"/>
        <v>46582</v>
      </c>
      <c r="F38" t="s">
        <v>508</v>
      </c>
      <c r="G38" s="7" t="s">
        <v>22</v>
      </c>
      <c r="H38" s="10">
        <v>46207</v>
      </c>
      <c r="I38" s="10"/>
    </row>
    <row r="39" spans="1:9" ht="16.5" customHeight="1" x14ac:dyDescent="0.25">
      <c r="A39" t="s">
        <v>497</v>
      </c>
      <c r="B39" s="5">
        <f xml:space="preserve"> DATE(AnneeEnCours+3,8,15)</f>
        <v>46614</v>
      </c>
      <c r="C39" s="12" t="str">
        <f t="shared" si="1"/>
        <v/>
      </c>
    </row>
    <row r="40" spans="1:9" ht="16.5" customHeight="1" x14ac:dyDescent="0.25">
      <c r="A40" t="s">
        <v>500</v>
      </c>
      <c r="B40" s="5">
        <f xml:space="preserve"> DATE(AnneeEnCours+3,11,1)</f>
        <v>46692</v>
      </c>
      <c r="C40" s="12">
        <f t="shared" si="1"/>
        <v>46692</v>
      </c>
    </row>
    <row r="41" spans="1:9" ht="16.5" customHeight="1" x14ac:dyDescent="0.25">
      <c r="A41" t="s">
        <v>503</v>
      </c>
      <c r="B41" s="5">
        <f xml:space="preserve"> DATE(AnneeEnCours+3,11,11)</f>
        <v>46702</v>
      </c>
      <c r="C41" s="12">
        <f t="shared" si="1"/>
        <v>46702</v>
      </c>
    </row>
    <row r="42" spans="1:9" ht="16.5" customHeight="1" x14ac:dyDescent="0.25">
      <c r="A42" t="s">
        <v>506</v>
      </c>
      <c r="B42" s="5">
        <f xml:space="preserve"> DATE(AnneeEnCours+3,12,25)</f>
        <v>46746</v>
      </c>
      <c r="C42" s="12" t="str">
        <f t="shared" si="1"/>
        <v/>
      </c>
    </row>
    <row r="47" spans="1:9" ht="16.5" customHeight="1" x14ac:dyDescent="0.25">
      <c r="E47" s="11" t="s">
        <v>509</v>
      </c>
    </row>
  </sheetData>
  <mergeCells count="4">
    <mergeCell ref="AI1:AJ1"/>
    <mergeCell ref="O1:T1"/>
    <mergeCell ref="AC1:AG1"/>
    <mergeCell ref="AC2:AG14"/>
  </mergeCells>
  <phoneticPr fontId="12" type="noConversion"/>
  <conditionalFormatting sqref="F3:I38">
    <cfRule type="expression" dxfId="18" priority="13">
      <formula>$G3="C"</formula>
    </cfRule>
  </conditionalFormatting>
  <conditionalFormatting sqref="H3:I38">
    <cfRule type="duplicateValues" dxfId="17" priority="1"/>
  </conditionalFormatting>
  <conditionalFormatting sqref="H30:I38">
    <cfRule type="duplicateValues" dxfId="16" priority="2"/>
  </conditionalFormatting>
  <hyperlinks>
    <hyperlink ref="G1" r:id="rId1" xr:uid="{6C661E1F-AA6E-453F-AFB4-CADD386BF338}"/>
  </hyperlinks>
  <pageMargins left="0.7" right="0.7" top="0.75" bottom="0.75" header="0.3" footer="0.3"/>
  <pageSetup paperSize="9" orientation="portrait" verticalDpi="0" r:id="rId2"/>
  <drawing r:id="rId3"/>
  <tableParts count="5">
    <tablePart r:id="rId4"/>
    <tablePart r:id="rId5"/>
    <tablePart r:id="rId6"/>
    <tablePart r:id="rId7"/>
    <tablePart r:id="rId8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4C65CC-82C7-47A8-88D7-98D730A20A8E}">
  <sheetPr codeName="Feuil3"/>
  <dimension ref="A1:QM68"/>
  <sheetViews>
    <sheetView tabSelected="1" zoomScaleNormal="100" workbookViewId="0">
      <pane xSplit="2" ySplit="16" topLeftCell="C17" activePane="bottomRight" state="frozen"/>
      <selection pane="topRight"/>
      <selection pane="bottomLeft"/>
      <selection pane="bottomRight" activeCell="C7" sqref="C7"/>
    </sheetView>
  </sheetViews>
  <sheetFormatPr baseColWidth="10" defaultColWidth="13" defaultRowHeight="18.75" x14ac:dyDescent="0.3"/>
  <cols>
    <col min="1" max="1" width="38.42578125" style="1" bestFit="1" customWidth="1"/>
    <col min="2" max="2" width="23" style="2" bestFit="1" customWidth="1"/>
    <col min="3" max="38" width="13" style="15"/>
    <col min="39" max="46" width="13" style="14"/>
    <col min="47" max="47" width="15.85546875" style="14" bestFit="1" customWidth="1"/>
    <col min="48" max="48" width="13" style="14"/>
    <col min="49" max="49" width="15.85546875" style="14" bestFit="1" customWidth="1"/>
    <col min="50" max="121" width="13" style="14"/>
    <col min="122" max="379" width="13" style="15"/>
    <col min="380" max="393" width="13" style="14"/>
    <col min="394" max="398" width="13" style="15"/>
    <col min="399" max="16384" width="13" style="1"/>
  </cols>
  <sheetData>
    <row r="1" spans="1:455" s="110" customFormat="1" ht="11.25" customHeight="1" x14ac:dyDescent="0.2">
      <c r="B1" s="111"/>
      <c r="C1" s="112" t="s">
        <v>0</v>
      </c>
      <c r="D1" s="112" t="s">
        <v>1</v>
      </c>
      <c r="E1" s="112" t="s">
        <v>2</v>
      </c>
      <c r="F1" s="113"/>
      <c r="G1" s="113"/>
      <c r="H1" s="113"/>
      <c r="I1" s="113"/>
      <c r="J1" s="113"/>
      <c r="K1" s="113"/>
      <c r="L1" s="113"/>
      <c r="M1" s="113"/>
      <c r="N1" s="113"/>
      <c r="O1" s="113"/>
      <c r="P1" s="113"/>
      <c r="Q1" s="113"/>
      <c r="R1" s="113"/>
      <c r="S1" s="113"/>
      <c r="T1" s="113"/>
      <c r="U1" s="113"/>
      <c r="V1" s="113"/>
      <c r="W1" s="113"/>
      <c r="X1" s="113"/>
      <c r="Y1" s="113"/>
      <c r="Z1" s="113"/>
      <c r="AA1" s="113"/>
      <c r="AB1" s="113"/>
      <c r="AC1" s="113"/>
      <c r="AD1" s="113"/>
      <c r="AE1" s="113"/>
      <c r="AF1" s="113"/>
      <c r="AG1" s="113"/>
      <c r="AH1" s="113"/>
      <c r="AI1" s="113"/>
      <c r="AJ1" s="113"/>
      <c r="AK1" s="113"/>
      <c r="AL1" s="113"/>
      <c r="AM1" s="113"/>
      <c r="AN1" s="113"/>
      <c r="AO1" s="113"/>
      <c r="AP1" s="113"/>
      <c r="AQ1" s="113"/>
      <c r="AR1" s="113"/>
      <c r="AS1" s="113"/>
      <c r="AT1" s="113"/>
      <c r="AU1" s="113"/>
      <c r="AV1" s="113"/>
      <c r="AW1" s="113"/>
      <c r="AX1" s="113"/>
      <c r="AY1" s="113"/>
      <c r="AZ1" s="113"/>
      <c r="BA1" s="113"/>
      <c r="BB1" s="113"/>
      <c r="BC1" s="113"/>
      <c r="BD1" s="113"/>
      <c r="BE1" s="113"/>
      <c r="BF1" s="113"/>
      <c r="BG1" s="113"/>
      <c r="BH1" s="113"/>
      <c r="BI1" s="113"/>
      <c r="BJ1" s="113"/>
      <c r="BK1" s="113"/>
      <c r="BL1" s="113"/>
      <c r="BM1" s="113"/>
      <c r="BN1" s="113"/>
      <c r="BO1" s="113"/>
      <c r="BP1" s="113"/>
      <c r="BQ1" s="113"/>
      <c r="BR1" s="113"/>
      <c r="BS1" s="113"/>
      <c r="BT1" s="113"/>
      <c r="BU1" s="113"/>
      <c r="BV1" s="113"/>
      <c r="BW1" s="113"/>
      <c r="BX1" s="113"/>
      <c r="BY1" s="113"/>
      <c r="BZ1" s="113"/>
      <c r="CA1" s="113"/>
      <c r="CB1" s="113"/>
      <c r="CC1" s="113"/>
      <c r="CD1" s="113"/>
      <c r="CE1" s="113"/>
      <c r="CF1" s="113"/>
      <c r="CG1" s="113"/>
      <c r="CH1" s="113"/>
      <c r="CI1" s="113"/>
      <c r="CJ1" s="113"/>
      <c r="CK1" s="113"/>
      <c r="CL1" s="113"/>
      <c r="CM1" s="113"/>
      <c r="CN1" s="113"/>
      <c r="CO1" s="113"/>
      <c r="CP1" s="113"/>
      <c r="CQ1" s="113"/>
      <c r="CR1" s="113"/>
      <c r="CS1" s="113"/>
      <c r="CT1" s="113"/>
      <c r="CU1" s="113"/>
      <c r="CV1" s="113"/>
      <c r="CW1" s="113"/>
      <c r="CX1" s="113"/>
      <c r="CY1" s="113"/>
      <c r="CZ1" s="113"/>
      <c r="DA1" s="113"/>
      <c r="DB1" s="113"/>
      <c r="DC1" s="113"/>
      <c r="DD1" s="113"/>
      <c r="DE1" s="113"/>
      <c r="DF1" s="113"/>
      <c r="DG1" s="113"/>
      <c r="DH1" s="113"/>
      <c r="DI1" s="113"/>
      <c r="DJ1" s="113"/>
      <c r="DK1" s="113"/>
      <c r="DL1" s="113"/>
      <c r="DM1" s="113"/>
      <c r="DN1" s="113"/>
      <c r="DO1" s="113"/>
      <c r="DP1" s="113"/>
      <c r="DQ1" s="113"/>
      <c r="DR1" s="113"/>
      <c r="DS1" s="113"/>
      <c r="DT1" s="113"/>
      <c r="DU1" s="113"/>
      <c r="DV1" s="113"/>
      <c r="DW1" s="113"/>
      <c r="DX1" s="113"/>
      <c r="DY1" s="113"/>
      <c r="DZ1" s="113"/>
      <c r="EA1" s="113"/>
      <c r="EB1" s="113"/>
      <c r="EC1" s="113"/>
      <c r="ED1" s="113"/>
      <c r="EE1" s="113"/>
      <c r="EF1" s="113"/>
      <c r="EG1" s="113"/>
      <c r="EH1" s="113"/>
      <c r="EI1" s="113"/>
      <c r="EJ1" s="113"/>
      <c r="EK1" s="113"/>
      <c r="EL1" s="113"/>
      <c r="EM1" s="113"/>
      <c r="EN1" s="113"/>
      <c r="EO1" s="113"/>
      <c r="EP1" s="113"/>
      <c r="EQ1" s="113"/>
      <c r="ER1" s="113"/>
      <c r="ES1" s="113"/>
      <c r="ET1" s="113"/>
      <c r="EU1" s="113"/>
      <c r="EV1" s="113"/>
      <c r="EW1" s="113"/>
      <c r="EX1" s="113"/>
      <c r="EY1" s="113"/>
      <c r="EZ1" s="113"/>
      <c r="FA1" s="113"/>
      <c r="FB1" s="113"/>
      <c r="FC1" s="113"/>
      <c r="FD1" s="113"/>
      <c r="FE1" s="113"/>
      <c r="FF1" s="113"/>
      <c r="FG1" s="113"/>
      <c r="FH1" s="113"/>
      <c r="FI1" s="113"/>
      <c r="FJ1" s="113"/>
      <c r="FK1" s="113"/>
      <c r="FL1" s="113"/>
      <c r="FM1" s="113"/>
      <c r="FN1" s="113"/>
      <c r="FO1" s="113"/>
      <c r="FP1" s="113"/>
      <c r="FQ1" s="113"/>
      <c r="FR1" s="113"/>
      <c r="FS1" s="113"/>
      <c r="FT1" s="113"/>
      <c r="FU1" s="113"/>
      <c r="FV1" s="113"/>
      <c r="FW1" s="113"/>
      <c r="FX1" s="113"/>
      <c r="FY1" s="113"/>
      <c r="FZ1" s="113"/>
      <c r="GA1" s="113"/>
      <c r="GB1" s="113"/>
      <c r="GC1" s="113"/>
      <c r="GD1" s="113"/>
      <c r="GE1" s="113"/>
      <c r="GF1" s="113"/>
      <c r="GG1" s="113"/>
      <c r="GH1" s="113"/>
      <c r="GI1" s="113"/>
      <c r="GJ1" s="113"/>
      <c r="GK1" s="113"/>
      <c r="GL1" s="113"/>
      <c r="GM1" s="113"/>
      <c r="GN1" s="113"/>
      <c r="GO1" s="113"/>
      <c r="GP1" s="113"/>
      <c r="GQ1" s="113"/>
      <c r="GR1" s="113"/>
      <c r="GS1" s="113"/>
      <c r="GT1" s="113"/>
      <c r="GU1" s="113"/>
      <c r="GV1" s="113"/>
      <c r="GW1" s="113"/>
      <c r="GX1" s="113"/>
      <c r="GY1" s="113"/>
      <c r="GZ1" s="113"/>
      <c r="HA1" s="113"/>
      <c r="HB1" s="113"/>
      <c r="HC1" s="113"/>
      <c r="HD1" s="113"/>
      <c r="HE1" s="113"/>
      <c r="HF1" s="113"/>
      <c r="HG1" s="113"/>
      <c r="HH1" s="113"/>
      <c r="HI1" s="113"/>
      <c r="HJ1" s="113"/>
      <c r="HK1" s="113"/>
      <c r="HL1" s="113"/>
      <c r="HM1" s="113"/>
      <c r="HN1" s="113"/>
      <c r="HO1" s="113"/>
      <c r="HP1" s="113"/>
      <c r="HQ1" s="113"/>
      <c r="HR1" s="113"/>
      <c r="HS1" s="113"/>
      <c r="HT1" s="113"/>
      <c r="HU1" s="113"/>
      <c r="HV1" s="113"/>
      <c r="HW1" s="113"/>
      <c r="HX1" s="113"/>
      <c r="HY1" s="113"/>
      <c r="HZ1" s="113"/>
      <c r="IA1" s="113"/>
      <c r="IB1" s="113"/>
      <c r="IC1" s="113"/>
      <c r="ID1" s="113"/>
      <c r="IE1" s="113"/>
      <c r="IF1" s="113"/>
      <c r="IG1" s="113"/>
      <c r="IH1" s="113"/>
      <c r="II1" s="113"/>
      <c r="IJ1" s="113"/>
      <c r="IK1" s="113"/>
      <c r="IL1" s="113"/>
      <c r="IM1" s="113"/>
      <c r="IN1" s="113"/>
      <c r="IO1" s="113"/>
      <c r="IP1" s="113"/>
      <c r="IQ1" s="113"/>
      <c r="IR1" s="113"/>
      <c r="IS1" s="113"/>
      <c r="IT1" s="113"/>
      <c r="IU1" s="113"/>
      <c r="IV1" s="113"/>
      <c r="IW1" s="113"/>
      <c r="IX1" s="113"/>
      <c r="IY1" s="113"/>
      <c r="IZ1" s="113"/>
      <c r="JA1" s="113"/>
      <c r="JB1" s="113"/>
      <c r="JC1" s="113"/>
      <c r="JD1" s="113"/>
      <c r="JE1" s="113"/>
      <c r="JF1" s="113"/>
      <c r="JG1" s="113"/>
      <c r="JH1" s="113"/>
      <c r="JI1" s="113"/>
      <c r="JJ1" s="113"/>
      <c r="JK1" s="113"/>
      <c r="JL1" s="113"/>
      <c r="JM1" s="113"/>
      <c r="JN1" s="113"/>
      <c r="JO1" s="113"/>
      <c r="JP1" s="113"/>
      <c r="JQ1" s="113"/>
      <c r="JR1" s="113"/>
      <c r="JS1" s="113"/>
      <c r="JT1" s="113"/>
      <c r="JU1" s="113"/>
      <c r="JV1" s="113"/>
      <c r="JW1" s="113"/>
      <c r="JX1" s="113"/>
      <c r="JY1" s="113"/>
      <c r="JZ1" s="113"/>
      <c r="KA1" s="113"/>
      <c r="KB1" s="113"/>
      <c r="KC1" s="113"/>
      <c r="KD1" s="113"/>
      <c r="KE1" s="113"/>
      <c r="KF1" s="113"/>
      <c r="KG1" s="113"/>
      <c r="KH1" s="113"/>
      <c r="KI1" s="113"/>
      <c r="KJ1" s="113"/>
      <c r="KK1" s="113"/>
      <c r="KL1" s="113"/>
      <c r="KM1" s="113"/>
      <c r="KN1" s="113"/>
      <c r="KO1" s="113"/>
      <c r="KP1" s="113"/>
      <c r="KQ1" s="113"/>
      <c r="KR1" s="113"/>
      <c r="KS1" s="113"/>
      <c r="KT1" s="113"/>
      <c r="KU1" s="113"/>
      <c r="KV1" s="113"/>
      <c r="KW1" s="113"/>
      <c r="KX1" s="113"/>
      <c r="KY1" s="113"/>
      <c r="KZ1" s="113"/>
      <c r="LA1" s="113"/>
      <c r="LB1" s="113"/>
      <c r="LC1" s="113"/>
      <c r="LD1" s="113"/>
      <c r="LE1" s="113"/>
      <c r="LF1" s="113"/>
      <c r="LG1" s="113"/>
      <c r="LH1" s="113"/>
      <c r="LI1" s="113"/>
      <c r="LJ1" s="113"/>
      <c r="LK1" s="113"/>
      <c r="LL1" s="113"/>
      <c r="LM1" s="113"/>
      <c r="LN1" s="113"/>
      <c r="LO1" s="113"/>
      <c r="LP1" s="113"/>
      <c r="LQ1" s="113"/>
      <c r="LR1" s="113"/>
      <c r="LS1" s="113"/>
      <c r="LT1" s="113"/>
      <c r="LU1" s="113"/>
      <c r="LV1" s="113"/>
      <c r="LW1" s="113"/>
      <c r="LX1" s="113"/>
      <c r="LY1" s="113"/>
      <c r="LZ1" s="113"/>
      <c r="MA1" s="113"/>
      <c r="MB1" s="113"/>
      <c r="MC1" s="113"/>
      <c r="MD1" s="113"/>
      <c r="ME1" s="113"/>
      <c r="MF1" s="113"/>
      <c r="MG1" s="113"/>
      <c r="MH1" s="113"/>
      <c r="MI1" s="113"/>
      <c r="MJ1" s="113"/>
      <c r="MK1" s="113"/>
      <c r="ML1" s="113"/>
      <c r="MM1" s="113"/>
      <c r="MN1" s="113"/>
      <c r="MO1" s="113"/>
      <c r="MP1" s="113"/>
      <c r="MQ1" s="113"/>
      <c r="MR1" s="113"/>
      <c r="MS1" s="113"/>
      <c r="MT1" s="113"/>
      <c r="MU1" s="113"/>
      <c r="MV1" s="113"/>
      <c r="MW1" s="113"/>
      <c r="MX1" s="113"/>
      <c r="MY1" s="113"/>
      <c r="MZ1" s="113"/>
      <c r="NA1" s="113"/>
      <c r="NB1" s="113"/>
      <c r="NC1" s="113"/>
      <c r="ND1" s="113"/>
      <c r="NE1" s="113"/>
      <c r="NF1" s="113"/>
      <c r="NG1" s="113"/>
      <c r="NH1" s="113"/>
      <c r="NI1" s="113"/>
      <c r="NJ1" s="113"/>
      <c r="NK1" s="113"/>
      <c r="NL1" s="113"/>
      <c r="NM1" s="113"/>
      <c r="NN1" s="113"/>
      <c r="NO1" s="113"/>
      <c r="NP1" s="113"/>
      <c r="NQ1" s="113"/>
      <c r="NR1" s="113"/>
      <c r="NS1" s="113"/>
      <c r="NT1" s="113"/>
      <c r="NU1" s="113"/>
      <c r="NV1" s="113"/>
      <c r="NW1" s="113"/>
      <c r="NX1" s="113"/>
      <c r="NY1" s="113"/>
      <c r="NZ1" s="113"/>
      <c r="OA1" s="113"/>
      <c r="OB1" s="113"/>
      <c r="OC1" s="113"/>
      <c r="OD1" s="113"/>
      <c r="OE1" s="113"/>
      <c r="OF1" s="113"/>
      <c r="OG1" s="113"/>
      <c r="OH1" s="113"/>
    </row>
    <row r="2" spans="1:455" s="114" customFormat="1" ht="11.25" customHeight="1" x14ac:dyDescent="0.2">
      <c r="B2" s="115" t="s">
        <v>3</v>
      </c>
      <c r="C2" s="116">
        <f>C3+C4+C5+C6</f>
        <v>8632</v>
      </c>
      <c r="D2" s="116">
        <f>D3+D4+D5+D6</f>
        <v>8350</v>
      </c>
      <c r="E2" s="116">
        <f>E3+E4+E5+E6</f>
        <v>282</v>
      </c>
      <c r="F2" s="113"/>
      <c r="G2" s="113"/>
      <c r="H2" s="113"/>
      <c r="I2" s="113"/>
      <c r="J2" s="113"/>
      <c r="K2" s="113"/>
      <c r="L2" s="113"/>
      <c r="M2" s="113"/>
      <c r="N2" s="113"/>
      <c r="O2" s="113"/>
      <c r="P2" s="113"/>
      <c r="Q2" s="113"/>
      <c r="R2" s="113"/>
      <c r="S2" s="113"/>
      <c r="T2" s="113"/>
      <c r="U2" s="113"/>
      <c r="V2" s="113"/>
      <c r="W2" s="113"/>
      <c r="X2" s="113"/>
      <c r="Y2" s="113"/>
      <c r="Z2" s="113"/>
      <c r="AA2" s="113"/>
      <c r="AB2" s="113"/>
      <c r="AC2" s="113"/>
      <c r="AD2" s="113"/>
      <c r="AE2" s="113"/>
      <c r="AF2" s="113"/>
      <c r="AG2" s="113"/>
      <c r="AH2" s="113"/>
      <c r="AI2" s="113"/>
      <c r="AJ2" s="113"/>
      <c r="AK2" s="113"/>
      <c r="AL2" s="113"/>
      <c r="AM2" s="113"/>
      <c r="AN2" s="113"/>
      <c r="AO2" s="113"/>
      <c r="AP2" s="113"/>
      <c r="AQ2" s="113"/>
      <c r="AR2" s="113"/>
      <c r="AS2" s="113"/>
      <c r="AT2" s="113"/>
      <c r="AU2" s="113"/>
      <c r="AV2" s="113"/>
      <c r="AW2" s="113"/>
      <c r="AX2" s="113"/>
      <c r="AY2" s="113"/>
      <c r="AZ2" s="113"/>
      <c r="BA2" s="113"/>
      <c r="BB2" s="113"/>
      <c r="BC2" s="113"/>
      <c r="BD2" s="113"/>
      <c r="BE2" s="113"/>
      <c r="BF2" s="113"/>
      <c r="BG2" s="113"/>
      <c r="BH2" s="113"/>
      <c r="BI2" s="113"/>
      <c r="BJ2" s="113"/>
      <c r="BK2" s="113"/>
      <c r="BL2" s="113"/>
      <c r="BM2" s="113"/>
      <c r="BN2" s="113"/>
      <c r="BO2" s="113"/>
      <c r="BP2" s="113"/>
      <c r="BQ2" s="113"/>
      <c r="BR2" s="113"/>
      <c r="BS2" s="113"/>
      <c r="BT2" s="113"/>
      <c r="BU2" s="113"/>
      <c r="BV2" s="113"/>
      <c r="BW2" s="113"/>
      <c r="BX2" s="113"/>
      <c r="BY2" s="113"/>
      <c r="BZ2" s="113"/>
      <c r="CA2" s="113"/>
      <c r="CB2" s="113"/>
      <c r="CC2" s="113"/>
      <c r="CD2" s="113"/>
      <c r="CE2" s="113"/>
      <c r="CF2" s="113"/>
      <c r="CG2" s="113"/>
      <c r="CH2" s="113"/>
      <c r="CI2" s="113"/>
      <c r="CJ2" s="113"/>
      <c r="CK2" s="113"/>
      <c r="CL2" s="113"/>
      <c r="CM2" s="113"/>
      <c r="CN2" s="113"/>
      <c r="CO2" s="113"/>
      <c r="CP2" s="113"/>
      <c r="CQ2" s="113"/>
      <c r="CR2" s="113"/>
      <c r="CS2" s="113"/>
      <c r="CT2" s="113"/>
      <c r="CU2" s="113"/>
      <c r="CV2" s="113"/>
      <c r="CW2" s="113"/>
      <c r="CX2" s="113"/>
      <c r="CY2" s="113"/>
      <c r="CZ2" s="113"/>
      <c r="DA2" s="113"/>
      <c r="DB2" s="113"/>
      <c r="DC2" s="113"/>
      <c r="DD2" s="113"/>
      <c r="DE2" s="113"/>
      <c r="DF2" s="113"/>
      <c r="DG2" s="113"/>
      <c r="DH2" s="113"/>
      <c r="DI2" s="113"/>
      <c r="DJ2" s="113"/>
      <c r="DK2" s="113"/>
      <c r="DL2" s="113"/>
      <c r="DM2" s="113"/>
      <c r="DN2" s="113"/>
      <c r="DO2" s="113"/>
      <c r="DP2" s="113"/>
      <c r="DQ2" s="113"/>
      <c r="DR2" s="113"/>
      <c r="DS2" s="113"/>
      <c r="DT2" s="113"/>
      <c r="DU2" s="113"/>
      <c r="DV2" s="113"/>
      <c r="DW2" s="113"/>
      <c r="DX2" s="113"/>
      <c r="DY2" s="113"/>
      <c r="DZ2" s="113"/>
      <c r="EA2" s="113"/>
      <c r="EB2" s="113"/>
      <c r="EC2" s="113"/>
      <c r="ED2" s="113"/>
      <c r="EE2" s="113"/>
      <c r="EF2" s="113"/>
      <c r="EG2" s="113"/>
      <c r="EH2" s="113"/>
      <c r="EI2" s="113"/>
      <c r="EJ2" s="113"/>
      <c r="EK2" s="113"/>
      <c r="EL2" s="113"/>
      <c r="EM2" s="113"/>
      <c r="EN2" s="113"/>
      <c r="EO2" s="113"/>
      <c r="EP2" s="113"/>
      <c r="EQ2" s="113"/>
      <c r="ER2" s="113"/>
      <c r="ES2" s="113"/>
      <c r="ET2" s="113"/>
      <c r="EU2" s="113"/>
      <c r="EV2" s="113"/>
      <c r="EW2" s="113"/>
      <c r="EX2" s="113"/>
      <c r="EY2" s="113"/>
      <c r="EZ2" s="113"/>
      <c r="FA2" s="113"/>
      <c r="FB2" s="113"/>
      <c r="FC2" s="113"/>
      <c r="FD2" s="113"/>
      <c r="FE2" s="113"/>
      <c r="FF2" s="113"/>
      <c r="FG2" s="113"/>
      <c r="FH2" s="113"/>
      <c r="FI2" s="113"/>
      <c r="FJ2" s="113"/>
      <c r="FK2" s="113"/>
      <c r="FL2" s="113"/>
      <c r="FM2" s="113"/>
      <c r="FN2" s="113"/>
      <c r="FO2" s="113"/>
      <c r="FP2" s="113"/>
      <c r="FQ2" s="113"/>
      <c r="FR2" s="113"/>
      <c r="FS2" s="113"/>
      <c r="FT2" s="113"/>
      <c r="FU2" s="113"/>
      <c r="FV2" s="113"/>
      <c r="FW2" s="113"/>
      <c r="FX2" s="113"/>
      <c r="FY2" s="113"/>
      <c r="FZ2" s="113"/>
      <c r="GA2" s="113"/>
      <c r="GB2" s="113"/>
      <c r="GC2" s="113"/>
      <c r="GD2" s="113"/>
      <c r="GE2" s="113"/>
      <c r="GF2" s="113"/>
      <c r="GG2" s="113"/>
      <c r="GH2" s="113"/>
      <c r="GI2" s="113"/>
      <c r="GJ2" s="113"/>
      <c r="GK2" s="113"/>
      <c r="GL2" s="113"/>
      <c r="GM2" s="113"/>
      <c r="GN2" s="113"/>
      <c r="GO2" s="113"/>
      <c r="GP2" s="113"/>
      <c r="GQ2" s="113"/>
      <c r="GR2" s="113"/>
      <c r="GS2" s="113"/>
      <c r="GT2" s="113"/>
      <c r="GU2" s="113"/>
      <c r="GV2" s="113"/>
      <c r="GW2" s="113"/>
      <c r="GX2" s="113"/>
      <c r="GY2" s="113"/>
      <c r="GZ2" s="113"/>
      <c r="HA2" s="113"/>
      <c r="HB2" s="113"/>
      <c r="HC2" s="113"/>
      <c r="HD2" s="113"/>
      <c r="HE2" s="113"/>
      <c r="HF2" s="113"/>
      <c r="HG2" s="113"/>
      <c r="HH2" s="113"/>
      <c r="HI2" s="113"/>
      <c r="HJ2" s="113"/>
      <c r="HK2" s="113"/>
      <c r="HL2" s="113"/>
      <c r="HM2" s="113"/>
      <c r="HN2" s="113"/>
      <c r="HO2" s="113"/>
      <c r="HP2" s="113"/>
      <c r="HQ2" s="113"/>
      <c r="HR2" s="113"/>
      <c r="HS2" s="113"/>
      <c r="HT2" s="113"/>
      <c r="HU2" s="113"/>
      <c r="HV2" s="113"/>
      <c r="HW2" s="113"/>
      <c r="HX2" s="113"/>
      <c r="HY2" s="113"/>
      <c r="HZ2" s="113"/>
      <c r="IA2" s="113"/>
      <c r="IB2" s="113"/>
      <c r="IC2" s="113"/>
      <c r="ID2" s="113"/>
      <c r="IE2" s="113"/>
      <c r="IF2" s="113"/>
      <c r="IG2" s="113"/>
      <c r="IH2" s="113"/>
      <c r="II2" s="113"/>
      <c r="IJ2" s="113"/>
      <c r="IK2" s="113"/>
      <c r="IL2" s="113"/>
      <c r="IM2" s="113"/>
      <c r="IN2" s="113"/>
      <c r="IO2" s="113"/>
      <c r="IP2" s="113"/>
      <c r="IQ2" s="113"/>
      <c r="IR2" s="113"/>
      <c r="IS2" s="113"/>
      <c r="IT2" s="113"/>
      <c r="IU2" s="113"/>
      <c r="IV2" s="113"/>
      <c r="IW2" s="113"/>
      <c r="IX2" s="113"/>
      <c r="IY2" s="113"/>
      <c r="IZ2" s="113"/>
      <c r="JA2" s="113"/>
      <c r="JB2" s="113"/>
      <c r="JC2" s="113"/>
      <c r="JD2" s="113"/>
      <c r="JE2" s="113"/>
      <c r="JF2" s="113"/>
      <c r="JG2" s="113"/>
      <c r="JH2" s="113"/>
      <c r="JI2" s="113"/>
      <c r="JJ2" s="113"/>
      <c r="JK2" s="113"/>
      <c r="JL2" s="113"/>
      <c r="JM2" s="113"/>
      <c r="JN2" s="113"/>
      <c r="JO2" s="113"/>
      <c r="JP2" s="113"/>
      <c r="JQ2" s="113"/>
      <c r="JR2" s="113"/>
      <c r="JS2" s="113"/>
      <c r="JT2" s="113"/>
      <c r="JU2" s="113"/>
      <c r="JV2" s="113"/>
      <c r="JW2" s="113"/>
      <c r="JX2" s="113"/>
      <c r="JY2" s="113"/>
      <c r="JZ2" s="113"/>
      <c r="KA2" s="113"/>
      <c r="KB2" s="113"/>
      <c r="KC2" s="113"/>
      <c r="KD2" s="113"/>
      <c r="KE2" s="113"/>
      <c r="KF2" s="113"/>
      <c r="KG2" s="113"/>
      <c r="KH2" s="113"/>
      <c r="KI2" s="113"/>
      <c r="KJ2" s="113"/>
      <c r="KK2" s="113"/>
      <c r="KL2" s="113"/>
      <c r="KM2" s="113"/>
      <c r="KN2" s="113"/>
      <c r="KO2" s="113"/>
      <c r="KP2" s="113"/>
      <c r="KQ2" s="113"/>
      <c r="KR2" s="113"/>
      <c r="KS2" s="113"/>
      <c r="KT2" s="113"/>
      <c r="KU2" s="113"/>
      <c r="KV2" s="113"/>
      <c r="KW2" s="113"/>
      <c r="KX2" s="113"/>
      <c r="KY2" s="113"/>
      <c r="KZ2" s="113"/>
      <c r="LA2" s="113"/>
      <c r="LB2" s="113"/>
      <c r="LC2" s="113"/>
      <c r="LD2" s="113"/>
      <c r="LE2" s="113"/>
      <c r="LF2" s="113"/>
      <c r="LG2" s="113"/>
      <c r="LH2" s="113"/>
      <c r="LI2" s="113"/>
      <c r="LJ2" s="113"/>
      <c r="LK2" s="113"/>
      <c r="LL2" s="113"/>
      <c r="LM2" s="113"/>
      <c r="LN2" s="113"/>
      <c r="LO2" s="113"/>
      <c r="LP2" s="113"/>
      <c r="LQ2" s="113"/>
      <c r="LR2" s="113"/>
      <c r="LS2" s="113"/>
      <c r="LT2" s="113"/>
      <c r="LU2" s="113"/>
      <c r="LV2" s="113"/>
      <c r="LW2" s="113"/>
      <c r="LX2" s="113"/>
      <c r="LY2" s="113"/>
      <c r="LZ2" s="117"/>
      <c r="MA2" s="117"/>
      <c r="MB2" s="117"/>
      <c r="MC2" s="117"/>
      <c r="MD2" s="117"/>
      <c r="ME2" s="117"/>
      <c r="MF2" s="117"/>
      <c r="MG2" s="117"/>
      <c r="MH2" s="117"/>
      <c r="MI2" s="117"/>
      <c r="MJ2" s="117"/>
      <c r="MK2" s="117"/>
      <c r="ML2" s="117"/>
      <c r="MM2" s="117"/>
      <c r="MN2" s="117"/>
      <c r="MO2" s="117"/>
      <c r="MP2" s="117"/>
      <c r="MQ2" s="117"/>
      <c r="MR2" s="117"/>
      <c r="MS2" s="117"/>
      <c r="MT2" s="117"/>
      <c r="MU2" s="117"/>
      <c r="MV2" s="117"/>
      <c r="MW2" s="117"/>
      <c r="MX2" s="117"/>
      <c r="MY2" s="117"/>
      <c r="MZ2" s="117"/>
      <c r="NA2" s="117"/>
      <c r="NB2" s="117"/>
      <c r="NC2" s="117"/>
      <c r="ND2" s="117"/>
      <c r="NE2" s="117"/>
      <c r="NF2" s="117"/>
      <c r="NG2" s="117"/>
      <c r="NH2" s="117"/>
      <c r="NI2" s="117"/>
      <c r="NJ2" s="117"/>
      <c r="NK2" s="117"/>
      <c r="NL2" s="117"/>
      <c r="NM2" s="117"/>
      <c r="NN2" s="117"/>
      <c r="NO2" s="117"/>
      <c r="NP2" s="117"/>
      <c r="NQ2" s="117"/>
      <c r="NR2" s="117"/>
      <c r="NS2" s="117"/>
      <c r="NT2" s="117"/>
      <c r="NU2" s="117"/>
      <c r="NV2" s="117"/>
      <c r="NW2" s="117"/>
      <c r="NX2" s="117"/>
      <c r="NY2" s="117"/>
      <c r="NZ2" s="117"/>
      <c r="OA2" s="117"/>
      <c r="OB2" s="117"/>
      <c r="OC2" s="117"/>
      <c r="OD2" s="117"/>
      <c r="OE2" s="117"/>
      <c r="OF2" s="117"/>
      <c r="OG2" s="117"/>
      <c r="OH2" s="117"/>
    </row>
    <row r="3" spans="1:455" s="114" customFormat="1" ht="11.25" customHeight="1" x14ac:dyDescent="0.2">
      <c r="B3" s="115" t="s">
        <v>4</v>
      </c>
      <c r="C3" s="116">
        <f>AN15+BS15+CU15</f>
        <v>2140</v>
      </c>
      <c r="D3" s="116">
        <f>BF15+CK15+DM15</f>
        <v>2010.5</v>
      </c>
      <c r="E3" s="116">
        <f>AW15+CB15+DD15</f>
        <v>129.5</v>
      </c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  <c r="U3" s="113"/>
      <c r="V3" s="113"/>
      <c r="W3" s="113"/>
      <c r="X3" s="113"/>
      <c r="Y3" s="113"/>
      <c r="Z3" s="113"/>
      <c r="AA3" s="113"/>
      <c r="AB3" s="113"/>
      <c r="AC3" s="113"/>
      <c r="AD3" s="113"/>
      <c r="AE3" s="113"/>
      <c r="AF3" s="113"/>
      <c r="AG3" s="113"/>
      <c r="AH3" s="113"/>
      <c r="AI3" s="113"/>
      <c r="AJ3" s="113"/>
      <c r="AK3" s="113"/>
      <c r="AL3" s="113"/>
      <c r="AM3" s="113"/>
      <c r="AN3" s="113"/>
      <c r="AO3" s="113"/>
      <c r="AP3" s="113"/>
      <c r="AQ3" s="113"/>
      <c r="AR3" s="113"/>
      <c r="AS3" s="113"/>
      <c r="AT3" s="113"/>
      <c r="AU3" s="113"/>
      <c r="AV3" s="113"/>
      <c r="AW3" s="113"/>
      <c r="AX3" s="113"/>
      <c r="AY3" s="113"/>
      <c r="AZ3" s="113"/>
      <c r="BA3" s="113"/>
      <c r="BB3" s="113"/>
      <c r="BC3" s="113"/>
      <c r="BD3" s="113"/>
      <c r="BE3" s="113"/>
      <c r="BF3" s="113"/>
      <c r="BG3" s="113"/>
      <c r="BH3" s="113"/>
      <c r="BI3" s="113"/>
      <c r="BJ3" s="113"/>
      <c r="BK3" s="113"/>
      <c r="BL3" s="113"/>
      <c r="BM3" s="113"/>
      <c r="BN3" s="113"/>
      <c r="BO3" s="113"/>
      <c r="BP3" s="113"/>
      <c r="BQ3" s="113"/>
      <c r="BR3" s="113"/>
      <c r="BS3" s="113"/>
      <c r="BT3" s="113"/>
      <c r="BU3" s="113"/>
      <c r="BV3" s="113"/>
      <c r="BW3" s="113"/>
      <c r="BX3" s="113"/>
      <c r="BY3" s="113"/>
      <c r="BZ3" s="113"/>
      <c r="CA3" s="113"/>
      <c r="CB3" s="113"/>
      <c r="CC3" s="113"/>
      <c r="CD3" s="113"/>
      <c r="CE3" s="113"/>
      <c r="CF3" s="113"/>
      <c r="CG3" s="113"/>
      <c r="CH3" s="113"/>
      <c r="CI3" s="113"/>
      <c r="CJ3" s="113"/>
      <c r="CK3" s="113"/>
      <c r="CL3" s="113"/>
      <c r="CM3" s="113"/>
      <c r="CN3" s="113"/>
      <c r="CO3" s="113"/>
      <c r="CP3" s="113"/>
      <c r="CQ3" s="113"/>
      <c r="CR3" s="113"/>
      <c r="CS3" s="113"/>
      <c r="CT3" s="113"/>
      <c r="CU3" s="113"/>
      <c r="CV3" s="113"/>
      <c r="CW3" s="113"/>
      <c r="CX3" s="113"/>
      <c r="CY3" s="113"/>
      <c r="CZ3" s="113"/>
      <c r="DA3" s="113"/>
      <c r="DB3" s="113"/>
      <c r="DC3" s="113"/>
      <c r="DD3" s="113"/>
      <c r="DE3" s="113"/>
      <c r="DF3" s="113"/>
      <c r="DG3" s="113"/>
      <c r="DH3" s="113"/>
      <c r="DI3" s="113"/>
      <c r="DJ3" s="113"/>
      <c r="DK3" s="113"/>
      <c r="DL3" s="113"/>
      <c r="DM3" s="113"/>
      <c r="DN3" s="113"/>
      <c r="DO3" s="113"/>
      <c r="DP3" s="113"/>
      <c r="DQ3" s="113"/>
      <c r="DR3" s="113"/>
      <c r="DS3" s="113"/>
      <c r="DT3" s="113"/>
      <c r="DU3" s="113"/>
      <c r="DV3" s="113"/>
      <c r="DW3" s="113"/>
      <c r="DX3" s="113"/>
      <c r="DY3" s="113"/>
      <c r="DZ3" s="113"/>
      <c r="EA3" s="113"/>
      <c r="EB3" s="113"/>
      <c r="EC3" s="113"/>
      <c r="ED3" s="113"/>
      <c r="EE3" s="113"/>
      <c r="EF3" s="113"/>
      <c r="EG3" s="113"/>
      <c r="EH3" s="113"/>
      <c r="EI3" s="113"/>
      <c r="EJ3" s="113"/>
      <c r="EK3" s="113"/>
      <c r="EL3" s="113"/>
      <c r="EM3" s="113"/>
      <c r="EN3" s="113"/>
      <c r="EO3" s="113"/>
      <c r="EP3" s="113"/>
      <c r="EQ3" s="113"/>
      <c r="ER3" s="113"/>
      <c r="ES3" s="113"/>
      <c r="ET3" s="113"/>
      <c r="EU3" s="113"/>
      <c r="EV3" s="113"/>
      <c r="EW3" s="113"/>
      <c r="EX3" s="113"/>
      <c r="EY3" s="113"/>
      <c r="EZ3" s="113"/>
      <c r="FA3" s="113"/>
      <c r="FB3" s="113"/>
      <c r="FC3" s="113"/>
      <c r="FD3" s="113"/>
      <c r="FE3" s="113"/>
      <c r="FF3" s="113"/>
      <c r="FG3" s="113"/>
      <c r="FH3" s="113"/>
      <c r="FI3" s="113"/>
      <c r="FJ3" s="113"/>
      <c r="FK3" s="113"/>
      <c r="FL3" s="113"/>
      <c r="FM3" s="113"/>
      <c r="FN3" s="113"/>
      <c r="FO3" s="113"/>
      <c r="FP3" s="113"/>
      <c r="FQ3" s="113"/>
      <c r="FR3" s="113"/>
      <c r="FS3" s="113"/>
      <c r="FT3" s="113"/>
      <c r="FU3" s="113"/>
      <c r="FV3" s="113"/>
      <c r="FW3" s="113"/>
      <c r="FX3" s="113"/>
      <c r="FY3" s="113"/>
      <c r="FZ3" s="113"/>
      <c r="GA3" s="113"/>
      <c r="GB3" s="113"/>
      <c r="GC3" s="113"/>
      <c r="GD3" s="113"/>
      <c r="GE3" s="113"/>
      <c r="GF3" s="113"/>
      <c r="GG3" s="113"/>
      <c r="GH3" s="113"/>
      <c r="GI3" s="113"/>
      <c r="GJ3" s="113"/>
      <c r="GK3" s="113"/>
      <c r="GL3" s="113"/>
      <c r="GM3" s="113"/>
      <c r="GN3" s="113"/>
      <c r="GO3" s="113"/>
      <c r="GP3" s="113"/>
      <c r="GQ3" s="113"/>
      <c r="GR3" s="113"/>
      <c r="GS3" s="113"/>
      <c r="GT3" s="113"/>
      <c r="GU3" s="113"/>
      <c r="GV3" s="113"/>
      <c r="GW3" s="113"/>
      <c r="GX3" s="113"/>
      <c r="GY3" s="113"/>
      <c r="GZ3" s="113"/>
      <c r="HA3" s="113"/>
      <c r="HB3" s="113"/>
      <c r="HC3" s="113"/>
      <c r="HD3" s="113"/>
      <c r="HE3" s="113"/>
      <c r="HF3" s="113"/>
      <c r="HG3" s="113"/>
      <c r="HH3" s="113"/>
      <c r="HI3" s="113"/>
      <c r="HJ3" s="113"/>
      <c r="HK3" s="113"/>
      <c r="HL3" s="113"/>
      <c r="HM3" s="113"/>
      <c r="HN3" s="113"/>
      <c r="HO3" s="113"/>
      <c r="HP3" s="113"/>
      <c r="HQ3" s="113"/>
      <c r="HR3" s="113"/>
      <c r="HS3" s="113"/>
      <c r="HT3" s="113"/>
      <c r="HU3" s="113"/>
      <c r="HV3" s="113"/>
      <c r="HW3" s="113"/>
      <c r="HX3" s="113"/>
      <c r="HY3" s="113"/>
      <c r="HZ3" s="113"/>
      <c r="IA3" s="113"/>
      <c r="IB3" s="113"/>
      <c r="IC3" s="113"/>
      <c r="ID3" s="113"/>
      <c r="IE3" s="113"/>
      <c r="IF3" s="113"/>
      <c r="IG3" s="113"/>
      <c r="IH3" s="113"/>
      <c r="II3" s="113"/>
      <c r="IJ3" s="113"/>
      <c r="IK3" s="113"/>
      <c r="IL3" s="113"/>
      <c r="IM3" s="113"/>
      <c r="IN3" s="113"/>
      <c r="IO3" s="113"/>
      <c r="IP3" s="113"/>
      <c r="IQ3" s="113"/>
      <c r="IR3" s="113"/>
      <c r="IS3" s="113"/>
      <c r="IT3" s="113"/>
      <c r="IU3" s="113"/>
      <c r="IV3" s="113"/>
      <c r="IW3" s="113"/>
      <c r="IX3" s="113"/>
      <c r="IY3" s="113"/>
      <c r="IZ3" s="113"/>
      <c r="JA3" s="113"/>
      <c r="JB3" s="113"/>
      <c r="JC3" s="113"/>
      <c r="JD3" s="113"/>
      <c r="JE3" s="113"/>
      <c r="JF3" s="113"/>
      <c r="JG3" s="113"/>
      <c r="JH3" s="113"/>
      <c r="JI3" s="113"/>
      <c r="JJ3" s="113"/>
      <c r="JK3" s="113"/>
      <c r="JL3" s="113"/>
      <c r="JM3" s="113"/>
      <c r="JN3" s="113"/>
      <c r="JO3" s="113"/>
      <c r="JP3" s="113"/>
      <c r="JQ3" s="113"/>
      <c r="JR3" s="113"/>
      <c r="JS3" s="113"/>
      <c r="JT3" s="113"/>
      <c r="JU3" s="113"/>
      <c r="JV3" s="113"/>
      <c r="JW3" s="113"/>
      <c r="JX3" s="113"/>
      <c r="JY3" s="113"/>
      <c r="JZ3" s="113"/>
      <c r="KA3" s="113"/>
      <c r="KB3" s="113"/>
      <c r="KC3" s="113"/>
      <c r="KD3" s="113"/>
      <c r="KE3" s="113"/>
      <c r="KF3" s="113"/>
      <c r="KG3" s="113"/>
      <c r="KH3" s="113"/>
      <c r="KI3" s="113"/>
      <c r="KJ3" s="113"/>
      <c r="KK3" s="113"/>
      <c r="KL3" s="113"/>
      <c r="KM3" s="113"/>
      <c r="KN3" s="113"/>
      <c r="KO3" s="113"/>
      <c r="KP3" s="113"/>
      <c r="KQ3" s="113"/>
      <c r="KR3" s="113"/>
      <c r="KS3" s="113"/>
      <c r="KT3" s="113"/>
      <c r="KU3" s="113"/>
      <c r="KV3" s="113"/>
      <c r="KW3" s="113"/>
      <c r="KX3" s="113"/>
      <c r="KY3" s="113"/>
      <c r="KZ3" s="113"/>
      <c r="LA3" s="113"/>
      <c r="LB3" s="113"/>
      <c r="LC3" s="113"/>
      <c r="LD3" s="113"/>
      <c r="LE3" s="113"/>
      <c r="LF3" s="113"/>
      <c r="LG3" s="113"/>
      <c r="LH3" s="113"/>
      <c r="LI3" s="113"/>
      <c r="LJ3" s="113"/>
      <c r="LK3" s="113"/>
      <c r="LL3" s="113"/>
      <c r="LM3" s="113"/>
      <c r="LN3" s="113"/>
      <c r="LO3" s="113"/>
      <c r="LP3" s="113"/>
      <c r="LQ3" s="113"/>
      <c r="LR3" s="113"/>
      <c r="LS3" s="113"/>
      <c r="LT3" s="113"/>
      <c r="LU3" s="113"/>
      <c r="LV3" s="113"/>
      <c r="LW3" s="113"/>
      <c r="LX3" s="113"/>
      <c r="LY3" s="113"/>
      <c r="LZ3" s="117"/>
      <c r="MA3" s="117"/>
      <c r="MB3" s="117"/>
      <c r="MC3" s="117"/>
      <c r="MD3" s="117"/>
      <c r="ME3" s="117"/>
      <c r="MF3" s="117"/>
      <c r="MG3" s="117"/>
      <c r="MH3" s="117"/>
      <c r="MI3" s="117"/>
      <c r="MJ3" s="117"/>
      <c r="MK3" s="117"/>
      <c r="ML3" s="117"/>
      <c r="MM3" s="117"/>
      <c r="MN3" s="117"/>
      <c r="MO3" s="117"/>
      <c r="MP3" s="117"/>
      <c r="MQ3" s="117"/>
      <c r="MR3" s="117"/>
      <c r="MS3" s="117"/>
      <c r="MT3" s="117"/>
      <c r="MU3" s="117"/>
      <c r="MV3" s="117"/>
      <c r="MW3" s="117"/>
      <c r="MX3" s="117"/>
      <c r="MY3" s="117"/>
      <c r="MZ3" s="117"/>
      <c r="NA3" s="117"/>
      <c r="NB3" s="117"/>
      <c r="NC3" s="117"/>
      <c r="ND3" s="117"/>
      <c r="NE3" s="117"/>
      <c r="NF3" s="117"/>
      <c r="NG3" s="117"/>
      <c r="NH3" s="117"/>
      <c r="NI3" s="117"/>
      <c r="NJ3" s="117"/>
      <c r="NK3" s="117"/>
      <c r="NL3" s="117"/>
      <c r="NM3" s="117"/>
      <c r="NN3" s="117"/>
      <c r="NO3" s="117"/>
      <c r="NP3" s="117"/>
      <c r="NQ3" s="117"/>
      <c r="NR3" s="117"/>
      <c r="NS3" s="117"/>
      <c r="NT3" s="117"/>
      <c r="NU3" s="117"/>
      <c r="NV3" s="117"/>
      <c r="NW3" s="117"/>
      <c r="NX3" s="117"/>
      <c r="NY3" s="117"/>
      <c r="NZ3" s="117"/>
      <c r="OA3" s="117"/>
      <c r="OB3" s="117"/>
      <c r="OC3" s="117"/>
      <c r="OD3" s="117"/>
      <c r="OE3" s="117"/>
      <c r="OF3" s="117"/>
      <c r="OG3" s="117"/>
      <c r="OH3" s="117"/>
    </row>
    <row r="4" spans="1:455" s="110" customFormat="1" ht="11.25" customHeight="1" x14ac:dyDescent="0.2">
      <c r="A4" s="114"/>
      <c r="B4" s="115" t="s">
        <v>5</v>
      </c>
      <c r="C4" s="116">
        <f>DZ15+FD15+GI15</f>
        <v>2039</v>
      </c>
      <c r="D4" s="116">
        <f>ER15+FV15+HA15</f>
        <v>2026</v>
      </c>
      <c r="E4" s="116">
        <f>EI15+FM15+GR15</f>
        <v>13</v>
      </c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  <c r="U4" s="113"/>
      <c r="V4" s="113"/>
      <c r="W4" s="113"/>
      <c r="X4" s="113"/>
      <c r="Y4" s="113"/>
      <c r="Z4" s="113"/>
      <c r="AA4" s="113"/>
      <c r="AB4" s="113"/>
      <c r="AC4" s="113"/>
      <c r="AD4" s="113"/>
      <c r="AE4" s="113"/>
      <c r="AF4" s="113"/>
      <c r="AG4" s="113"/>
      <c r="AH4" s="113"/>
      <c r="AI4" s="113"/>
      <c r="AJ4" s="113"/>
      <c r="AK4" s="113"/>
      <c r="AL4" s="113"/>
      <c r="AM4" s="113"/>
      <c r="AN4" s="113"/>
      <c r="AO4" s="113"/>
      <c r="AP4" s="113"/>
      <c r="AQ4" s="113"/>
      <c r="AR4" s="113"/>
      <c r="AS4" s="113"/>
      <c r="AT4" s="113"/>
      <c r="AU4" s="113"/>
      <c r="AV4" s="113"/>
      <c r="AW4" s="113"/>
      <c r="AX4" s="113"/>
      <c r="AY4" s="113"/>
      <c r="AZ4" s="113"/>
      <c r="BA4" s="113"/>
      <c r="BB4" s="113"/>
      <c r="BC4" s="113"/>
      <c r="BD4" s="113"/>
      <c r="BE4" s="113"/>
      <c r="BF4" s="113"/>
      <c r="BG4" s="113"/>
      <c r="BH4" s="113"/>
      <c r="BI4" s="113"/>
      <c r="BJ4" s="113"/>
      <c r="BK4" s="113"/>
      <c r="BL4" s="113"/>
      <c r="BM4" s="113"/>
      <c r="BN4" s="113"/>
      <c r="BO4" s="113"/>
      <c r="BP4" s="113"/>
      <c r="BQ4" s="113"/>
      <c r="BR4" s="113"/>
      <c r="BS4" s="113"/>
      <c r="BT4" s="113"/>
      <c r="BU4" s="113"/>
      <c r="BV4" s="113"/>
      <c r="BW4" s="113"/>
      <c r="BX4" s="113"/>
      <c r="BY4" s="113"/>
      <c r="BZ4" s="113"/>
      <c r="CA4" s="113"/>
      <c r="CB4" s="113"/>
      <c r="CC4" s="113"/>
      <c r="CD4" s="113"/>
      <c r="CE4" s="113"/>
      <c r="CF4" s="113"/>
      <c r="CG4" s="113"/>
      <c r="CH4" s="113"/>
      <c r="CI4" s="113"/>
      <c r="CJ4" s="113"/>
      <c r="CK4" s="113"/>
      <c r="CL4" s="113"/>
      <c r="CM4" s="113"/>
      <c r="CN4" s="113"/>
      <c r="CO4" s="113"/>
      <c r="CP4" s="113"/>
      <c r="CQ4" s="113"/>
      <c r="CR4" s="113"/>
      <c r="CS4" s="113"/>
      <c r="CT4" s="113"/>
      <c r="CU4" s="113"/>
      <c r="CV4" s="113"/>
      <c r="CW4" s="113"/>
      <c r="CX4" s="113"/>
      <c r="CY4" s="113"/>
      <c r="CZ4" s="113"/>
      <c r="DA4" s="113"/>
      <c r="DB4" s="113"/>
      <c r="DC4" s="113"/>
      <c r="DD4" s="113"/>
      <c r="DE4" s="113"/>
      <c r="DF4" s="113"/>
      <c r="DG4" s="113"/>
      <c r="DH4" s="113"/>
      <c r="DI4" s="113"/>
      <c r="DJ4" s="113"/>
      <c r="DK4" s="113"/>
      <c r="DL4" s="113"/>
      <c r="DM4" s="113"/>
      <c r="DN4" s="113"/>
      <c r="DO4" s="113"/>
      <c r="DP4" s="113"/>
      <c r="DQ4" s="113"/>
      <c r="DR4" s="113"/>
      <c r="DS4" s="113"/>
      <c r="DT4" s="113"/>
      <c r="DU4" s="113"/>
      <c r="DV4" s="113"/>
      <c r="DW4" s="113"/>
      <c r="DX4" s="113"/>
      <c r="DY4" s="113"/>
      <c r="DZ4" s="113"/>
      <c r="EA4" s="113"/>
      <c r="EB4" s="113"/>
      <c r="EC4" s="113"/>
      <c r="ED4" s="113"/>
      <c r="EE4" s="113"/>
      <c r="EF4" s="113"/>
      <c r="EG4" s="113"/>
      <c r="EH4" s="113"/>
      <c r="EI4" s="113"/>
      <c r="EJ4" s="113"/>
      <c r="EK4" s="113"/>
      <c r="EL4" s="113"/>
      <c r="EM4" s="113"/>
      <c r="EN4" s="113"/>
      <c r="EO4" s="113"/>
      <c r="EP4" s="113"/>
      <c r="EQ4" s="113"/>
      <c r="ER4" s="113"/>
      <c r="ES4" s="113"/>
      <c r="ET4" s="113"/>
      <c r="EU4" s="113"/>
      <c r="EV4" s="113"/>
      <c r="EW4" s="113"/>
      <c r="EX4" s="113"/>
      <c r="EY4" s="113"/>
      <c r="EZ4" s="113"/>
      <c r="FA4" s="113"/>
      <c r="FB4" s="113"/>
      <c r="FC4" s="113"/>
      <c r="FD4" s="113"/>
      <c r="FE4" s="113"/>
      <c r="FF4" s="113"/>
      <c r="FG4" s="113"/>
      <c r="FH4" s="113"/>
      <c r="FI4" s="113"/>
      <c r="FJ4" s="113"/>
      <c r="FK4" s="113"/>
      <c r="FL4" s="113"/>
      <c r="FM4" s="113"/>
      <c r="FN4" s="113"/>
      <c r="FO4" s="113"/>
      <c r="FP4" s="113"/>
      <c r="FQ4" s="113"/>
      <c r="FR4" s="113"/>
      <c r="FS4" s="113"/>
      <c r="FT4" s="113"/>
      <c r="FU4" s="113"/>
      <c r="FV4" s="113"/>
      <c r="FW4" s="113"/>
      <c r="FX4" s="113"/>
      <c r="FY4" s="113"/>
      <c r="FZ4" s="113"/>
      <c r="GA4" s="113"/>
      <c r="GB4" s="113"/>
      <c r="GC4" s="113"/>
      <c r="GD4" s="113"/>
      <c r="GE4" s="113"/>
      <c r="GF4" s="113"/>
      <c r="GG4" s="113"/>
      <c r="GH4" s="113"/>
      <c r="GI4" s="113"/>
      <c r="GJ4" s="113"/>
      <c r="GK4" s="113"/>
      <c r="GL4" s="113"/>
      <c r="GM4" s="113"/>
      <c r="GN4" s="113"/>
      <c r="GO4" s="113"/>
      <c r="GP4" s="113"/>
      <c r="GQ4" s="113"/>
      <c r="GR4" s="113"/>
      <c r="GS4" s="113"/>
      <c r="GT4" s="113"/>
      <c r="GU4" s="113"/>
      <c r="GV4" s="113"/>
      <c r="GW4" s="113"/>
      <c r="GX4" s="113"/>
      <c r="GY4" s="113"/>
      <c r="GZ4" s="113"/>
      <c r="HA4" s="113"/>
      <c r="HB4" s="113"/>
      <c r="HC4" s="113"/>
      <c r="HD4" s="113"/>
      <c r="HE4" s="113"/>
      <c r="HF4" s="113"/>
      <c r="HG4" s="113"/>
      <c r="HH4" s="113"/>
      <c r="HI4" s="113"/>
      <c r="HJ4" s="113"/>
      <c r="HK4" s="113"/>
      <c r="HL4" s="113"/>
      <c r="HM4" s="113"/>
      <c r="HN4" s="113"/>
      <c r="HO4" s="113"/>
      <c r="HP4" s="113"/>
      <c r="HQ4" s="113"/>
      <c r="HR4" s="113"/>
      <c r="HS4" s="113"/>
      <c r="HT4" s="113"/>
      <c r="HU4" s="113"/>
      <c r="HV4" s="113"/>
      <c r="HW4" s="113"/>
      <c r="HX4" s="113"/>
      <c r="HY4" s="113"/>
      <c r="HZ4" s="113"/>
      <c r="IA4" s="113"/>
      <c r="IB4" s="113"/>
      <c r="IC4" s="113"/>
      <c r="ID4" s="113"/>
      <c r="IE4" s="113"/>
      <c r="IF4" s="113"/>
      <c r="IG4" s="113"/>
      <c r="IH4" s="113"/>
      <c r="II4" s="113"/>
      <c r="IJ4" s="113"/>
      <c r="IK4" s="113"/>
      <c r="IL4" s="113"/>
      <c r="IM4" s="113"/>
      <c r="IN4" s="113"/>
      <c r="IO4" s="113"/>
      <c r="IP4" s="113"/>
      <c r="IQ4" s="113"/>
      <c r="IR4" s="113"/>
      <c r="IS4" s="113"/>
      <c r="IT4" s="113"/>
      <c r="IU4" s="113"/>
      <c r="IV4" s="113"/>
      <c r="IW4" s="113"/>
      <c r="IX4" s="113"/>
      <c r="IY4" s="113"/>
      <c r="IZ4" s="113"/>
      <c r="JA4" s="113"/>
      <c r="JB4" s="113"/>
      <c r="JC4" s="113"/>
      <c r="JD4" s="113"/>
      <c r="JE4" s="113"/>
      <c r="JF4" s="113"/>
      <c r="JG4" s="113"/>
      <c r="JH4" s="113"/>
      <c r="JI4" s="113"/>
      <c r="JJ4" s="113"/>
      <c r="JK4" s="113"/>
      <c r="JL4" s="113"/>
      <c r="JM4" s="113"/>
      <c r="JN4" s="113"/>
      <c r="JO4" s="113"/>
      <c r="JP4" s="113"/>
      <c r="JQ4" s="113"/>
      <c r="JR4" s="113"/>
      <c r="JS4" s="113"/>
      <c r="JT4" s="113"/>
      <c r="JU4" s="113"/>
      <c r="JV4" s="113"/>
      <c r="JW4" s="113"/>
      <c r="JX4" s="113"/>
      <c r="JY4" s="113"/>
      <c r="JZ4" s="113"/>
      <c r="KA4" s="113"/>
      <c r="KB4" s="113"/>
      <c r="KC4" s="113"/>
      <c r="KD4" s="113"/>
      <c r="KE4" s="113"/>
      <c r="KF4" s="113"/>
      <c r="KG4" s="113"/>
      <c r="KH4" s="113"/>
      <c r="KI4" s="113"/>
      <c r="KJ4" s="113"/>
      <c r="KK4" s="113"/>
      <c r="KL4" s="113"/>
      <c r="KM4" s="113"/>
      <c r="KN4" s="113"/>
      <c r="KO4" s="113"/>
      <c r="KP4" s="113"/>
      <c r="KQ4" s="113"/>
      <c r="KR4" s="113"/>
      <c r="KS4" s="113"/>
      <c r="KT4" s="113"/>
      <c r="KU4" s="113"/>
      <c r="KV4" s="113"/>
      <c r="KW4" s="113"/>
      <c r="KX4" s="113"/>
      <c r="KY4" s="113"/>
      <c r="KZ4" s="113"/>
      <c r="LA4" s="113"/>
      <c r="LB4" s="113"/>
      <c r="LC4" s="113"/>
      <c r="LD4" s="113"/>
      <c r="LE4" s="113"/>
      <c r="LF4" s="113"/>
      <c r="LG4" s="113"/>
      <c r="LH4" s="113"/>
      <c r="LI4" s="113"/>
      <c r="LJ4" s="113"/>
      <c r="LK4" s="113"/>
      <c r="LL4" s="113"/>
      <c r="LM4" s="113"/>
      <c r="LN4" s="113"/>
      <c r="LO4" s="113"/>
      <c r="LP4" s="113"/>
      <c r="LQ4" s="113"/>
      <c r="LR4" s="113"/>
      <c r="LS4" s="113"/>
      <c r="LT4" s="113"/>
      <c r="LU4" s="113"/>
      <c r="LV4" s="113"/>
      <c r="LW4" s="113"/>
      <c r="LX4" s="113"/>
      <c r="LY4" s="113"/>
      <c r="LZ4" s="118"/>
      <c r="MA4" s="118"/>
      <c r="MB4" s="118"/>
      <c r="MC4" s="118"/>
      <c r="MD4" s="118"/>
      <c r="ME4" s="118"/>
      <c r="MF4" s="118"/>
      <c r="MG4" s="118"/>
      <c r="MH4" s="118"/>
      <c r="MI4" s="118"/>
      <c r="MJ4" s="118"/>
      <c r="MK4" s="118"/>
      <c r="ML4" s="118"/>
      <c r="MM4" s="118"/>
      <c r="MN4" s="118"/>
      <c r="MO4" s="118"/>
      <c r="MP4" s="118"/>
      <c r="MQ4" s="118"/>
      <c r="MR4" s="118"/>
      <c r="MS4" s="118"/>
      <c r="MT4" s="118"/>
      <c r="MU4" s="118"/>
      <c r="MV4" s="118"/>
      <c r="MW4" s="118"/>
      <c r="MX4" s="118"/>
      <c r="MY4" s="118"/>
      <c r="MZ4" s="118"/>
      <c r="NA4" s="118"/>
      <c r="NB4" s="118"/>
      <c r="NC4" s="118"/>
      <c r="ND4" s="118"/>
      <c r="NE4" s="117"/>
      <c r="NF4" s="117"/>
      <c r="NG4" s="117"/>
      <c r="NH4" s="117"/>
      <c r="NI4" s="117"/>
      <c r="NJ4" s="117"/>
      <c r="NK4" s="117"/>
      <c r="NL4" s="117"/>
      <c r="NM4" s="117"/>
      <c r="NN4" s="117"/>
      <c r="NO4" s="117"/>
      <c r="NP4" s="117"/>
      <c r="NQ4" s="117"/>
      <c r="NR4" s="117"/>
      <c r="NS4" s="117"/>
      <c r="NT4" s="117"/>
      <c r="NU4" s="117"/>
      <c r="NV4" s="117"/>
      <c r="NW4" s="117"/>
      <c r="NX4" s="117"/>
      <c r="NY4" s="117"/>
      <c r="NZ4" s="117"/>
      <c r="OA4" s="117"/>
      <c r="OB4" s="117"/>
      <c r="OC4" s="117"/>
      <c r="OD4" s="117"/>
      <c r="OE4" s="117"/>
      <c r="OF4" s="117"/>
      <c r="OG4" s="117"/>
      <c r="OH4" s="117"/>
      <c r="OI4" s="114"/>
      <c r="OJ4" s="114"/>
      <c r="OK4" s="114"/>
      <c r="OL4" s="114"/>
      <c r="OM4" s="114"/>
      <c r="ON4" s="114"/>
      <c r="OO4" s="114"/>
      <c r="OP4" s="114"/>
      <c r="OQ4" s="114"/>
      <c r="OR4" s="114"/>
      <c r="OS4" s="114"/>
      <c r="OT4" s="114"/>
      <c r="OU4" s="114"/>
      <c r="OV4" s="114"/>
      <c r="OW4" s="114"/>
      <c r="OX4" s="114"/>
      <c r="OY4" s="114"/>
      <c r="OZ4" s="114"/>
      <c r="PA4" s="114"/>
      <c r="PB4" s="114"/>
      <c r="PC4" s="114"/>
      <c r="PD4" s="114"/>
    </row>
    <row r="5" spans="1:455" s="110" customFormat="1" ht="11.25" customHeight="1" x14ac:dyDescent="0.2">
      <c r="A5" s="114"/>
      <c r="B5" s="115" t="s">
        <v>6</v>
      </c>
      <c r="C5" s="116">
        <f>HM15+IR15+JW15</f>
        <v>2209</v>
      </c>
      <c r="D5" s="116">
        <f>IE15+JJ15+KO15</f>
        <v>2127</v>
      </c>
      <c r="E5" s="116">
        <f>HV15+JA15+KF15</f>
        <v>82</v>
      </c>
      <c r="F5" s="113"/>
      <c r="G5" s="113"/>
      <c r="H5" s="113"/>
      <c r="I5" s="113"/>
      <c r="J5" s="113"/>
      <c r="K5" s="113"/>
      <c r="L5" s="113"/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3"/>
      <c r="AB5" s="113"/>
      <c r="AC5" s="113"/>
      <c r="AD5" s="113"/>
      <c r="AE5" s="113"/>
      <c r="AF5" s="113"/>
      <c r="AG5" s="113"/>
      <c r="AH5" s="113"/>
      <c r="AI5" s="113"/>
      <c r="AJ5" s="113"/>
      <c r="AK5" s="113"/>
      <c r="AL5" s="113"/>
      <c r="AM5" s="113"/>
      <c r="AN5" s="113"/>
      <c r="AO5" s="113"/>
      <c r="AP5" s="113"/>
      <c r="AQ5" s="113"/>
      <c r="AR5" s="113"/>
      <c r="AS5" s="113"/>
      <c r="AT5" s="113"/>
      <c r="AU5" s="113"/>
      <c r="AV5" s="113"/>
      <c r="AW5" s="113"/>
      <c r="AX5" s="113"/>
      <c r="AY5" s="113"/>
      <c r="AZ5" s="113"/>
      <c r="BA5" s="113"/>
      <c r="BB5" s="113"/>
      <c r="BC5" s="113"/>
      <c r="BD5" s="113"/>
      <c r="BE5" s="113"/>
      <c r="BF5" s="113"/>
      <c r="BG5" s="113"/>
      <c r="BH5" s="113"/>
      <c r="BI5" s="113"/>
      <c r="BJ5" s="113"/>
      <c r="BK5" s="113"/>
      <c r="BL5" s="113"/>
      <c r="BM5" s="113"/>
      <c r="BN5" s="113"/>
      <c r="BO5" s="113"/>
      <c r="BP5" s="113"/>
      <c r="BQ5" s="113"/>
      <c r="BR5" s="113"/>
      <c r="BS5" s="113"/>
      <c r="BT5" s="113"/>
      <c r="BU5" s="113"/>
      <c r="BV5" s="113"/>
      <c r="BW5" s="113"/>
      <c r="BX5" s="113"/>
      <c r="BY5" s="113"/>
      <c r="BZ5" s="113"/>
      <c r="CA5" s="113"/>
      <c r="CB5" s="113"/>
      <c r="CC5" s="113"/>
      <c r="CD5" s="113"/>
      <c r="CE5" s="113"/>
      <c r="CF5" s="113"/>
      <c r="CG5" s="113"/>
      <c r="CH5" s="113"/>
      <c r="CI5" s="113"/>
      <c r="CJ5" s="113"/>
      <c r="CK5" s="113"/>
      <c r="CL5" s="113"/>
      <c r="CM5" s="113"/>
      <c r="CN5" s="113"/>
      <c r="CO5" s="113"/>
      <c r="CP5" s="113"/>
      <c r="CQ5" s="113"/>
      <c r="CR5" s="113"/>
      <c r="CS5" s="113"/>
      <c r="CT5" s="113"/>
      <c r="CU5" s="113"/>
      <c r="CV5" s="113"/>
      <c r="CW5" s="113"/>
      <c r="CX5" s="113"/>
      <c r="CY5" s="113"/>
      <c r="CZ5" s="113"/>
      <c r="DA5" s="113"/>
      <c r="DB5" s="113"/>
      <c r="DC5" s="113"/>
      <c r="DD5" s="113"/>
      <c r="DE5" s="113"/>
      <c r="DF5" s="113"/>
      <c r="DG5" s="113"/>
      <c r="DH5" s="113"/>
      <c r="DI5" s="113"/>
      <c r="DJ5" s="113"/>
      <c r="DK5" s="113"/>
      <c r="DL5" s="113"/>
      <c r="DM5" s="113"/>
      <c r="DN5" s="113"/>
      <c r="DO5" s="113"/>
      <c r="DP5" s="113"/>
      <c r="DQ5" s="113"/>
      <c r="DR5" s="113"/>
      <c r="DS5" s="113"/>
      <c r="DT5" s="113"/>
      <c r="DU5" s="113"/>
      <c r="DV5" s="113"/>
      <c r="DW5" s="113"/>
      <c r="DX5" s="113"/>
      <c r="DY5" s="113"/>
      <c r="DZ5" s="113"/>
      <c r="EA5" s="113"/>
      <c r="EB5" s="113"/>
      <c r="EC5" s="113"/>
      <c r="ED5" s="113"/>
      <c r="EE5" s="113"/>
      <c r="EF5" s="113"/>
      <c r="EG5" s="113"/>
      <c r="EH5" s="113"/>
      <c r="EI5" s="113"/>
      <c r="EJ5" s="113"/>
      <c r="EK5" s="113"/>
      <c r="EL5" s="113"/>
      <c r="EM5" s="113"/>
      <c r="EN5" s="113"/>
      <c r="EO5" s="113"/>
      <c r="EP5" s="113"/>
      <c r="EQ5" s="113"/>
      <c r="ER5" s="113"/>
      <c r="ES5" s="113"/>
      <c r="ET5" s="113"/>
      <c r="EU5" s="113"/>
      <c r="EV5" s="113"/>
      <c r="EW5" s="113"/>
      <c r="EX5" s="113"/>
      <c r="EY5" s="113"/>
      <c r="EZ5" s="113"/>
      <c r="FA5" s="113"/>
      <c r="FB5" s="113"/>
      <c r="FC5" s="113"/>
      <c r="FD5" s="113"/>
      <c r="FE5" s="113"/>
      <c r="FF5" s="113"/>
      <c r="FG5" s="113"/>
      <c r="FH5" s="113"/>
      <c r="FI5" s="113"/>
      <c r="FJ5" s="113"/>
      <c r="FK5" s="113"/>
      <c r="FL5" s="113"/>
      <c r="FM5" s="113"/>
      <c r="FN5" s="113"/>
      <c r="FO5" s="113"/>
      <c r="FP5" s="113"/>
      <c r="FQ5" s="113"/>
      <c r="FR5" s="113"/>
      <c r="FS5" s="113"/>
      <c r="FT5" s="113"/>
      <c r="FU5" s="113"/>
      <c r="FV5" s="113"/>
      <c r="FW5" s="113"/>
      <c r="FX5" s="113"/>
      <c r="FY5" s="113"/>
      <c r="FZ5" s="113"/>
      <c r="GA5" s="113"/>
      <c r="GB5" s="113"/>
      <c r="GC5" s="113"/>
      <c r="GD5" s="113"/>
      <c r="GE5" s="113"/>
      <c r="GF5" s="113"/>
      <c r="GG5" s="113"/>
      <c r="GH5" s="113"/>
      <c r="GI5" s="113"/>
      <c r="GJ5" s="113"/>
      <c r="GK5" s="113"/>
      <c r="GL5" s="113"/>
      <c r="GM5" s="113"/>
      <c r="GN5" s="113"/>
      <c r="GO5" s="113"/>
      <c r="GP5" s="113"/>
      <c r="GQ5" s="113"/>
      <c r="GR5" s="113"/>
      <c r="GS5" s="113"/>
      <c r="GT5" s="113"/>
      <c r="GU5" s="113"/>
      <c r="GV5" s="113"/>
      <c r="GW5" s="113"/>
      <c r="GX5" s="113"/>
      <c r="GY5" s="113"/>
      <c r="GZ5" s="113"/>
      <c r="HA5" s="113"/>
      <c r="HB5" s="113"/>
      <c r="HC5" s="113"/>
      <c r="HD5" s="113"/>
      <c r="HE5" s="113"/>
      <c r="HF5" s="113"/>
      <c r="HG5" s="113"/>
      <c r="HH5" s="113"/>
      <c r="HI5" s="113"/>
      <c r="HJ5" s="113"/>
      <c r="HK5" s="113"/>
      <c r="HL5" s="113"/>
      <c r="HM5" s="113"/>
      <c r="HN5" s="113"/>
      <c r="HO5" s="113"/>
      <c r="HP5" s="113"/>
      <c r="HQ5" s="113"/>
      <c r="HR5" s="113"/>
      <c r="HS5" s="113"/>
      <c r="HT5" s="113"/>
      <c r="HU5" s="113"/>
      <c r="HV5" s="113"/>
      <c r="HW5" s="113"/>
      <c r="HX5" s="113"/>
      <c r="HY5" s="113"/>
      <c r="HZ5" s="113"/>
      <c r="IA5" s="113"/>
      <c r="IB5" s="113"/>
      <c r="IC5" s="113"/>
      <c r="ID5" s="113"/>
      <c r="IE5" s="113"/>
      <c r="IF5" s="113"/>
      <c r="IG5" s="113"/>
      <c r="IH5" s="113"/>
      <c r="II5" s="113"/>
      <c r="IJ5" s="113"/>
      <c r="IK5" s="113"/>
      <c r="IL5" s="113"/>
      <c r="IM5" s="113"/>
      <c r="IN5" s="113"/>
      <c r="IO5" s="113"/>
      <c r="IP5" s="113"/>
      <c r="IQ5" s="113"/>
      <c r="IR5" s="113"/>
      <c r="IS5" s="113"/>
      <c r="IT5" s="113"/>
      <c r="IU5" s="113"/>
      <c r="IV5" s="113"/>
      <c r="IW5" s="113"/>
      <c r="IX5" s="113"/>
      <c r="IY5" s="113"/>
      <c r="IZ5" s="113"/>
      <c r="JA5" s="113"/>
      <c r="JB5" s="113"/>
      <c r="JC5" s="113"/>
      <c r="JD5" s="113"/>
      <c r="JE5" s="113"/>
      <c r="JF5" s="113"/>
      <c r="JG5" s="113"/>
      <c r="JH5" s="113"/>
      <c r="JI5" s="113"/>
      <c r="JJ5" s="113"/>
      <c r="JK5" s="113"/>
      <c r="JL5" s="113"/>
      <c r="JM5" s="113"/>
      <c r="JN5" s="113"/>
      <c r="JO5" s="113"/>
      <c r="JP5" s="113"/>
      <c r="JQ5" s="113"/>
      <c r="JR5" s="113"/>
      <c r="JS5" s="113"/>
      <c r="JT5" s="113"/>
      <c r="JU5" s="113"/>
      <c r="JV5" s="113"/>
      <c r="JW5" s="113"/>
      <c r="JX5" s="113"/>
      <c r="JY5" s="113"/>
      <c r="JZ5" s="113"/>
      <c r="KA5" s="113"/>
      <c r="KB5" s="113"/>
      <c r="KC5" s="113"/>
      <c r="KD5" s="113"/>
      <c r="KE5" s="113"/>
      <c r="KF5" s="113"/>
      <c r="KG5" s="113"/>
      <c r="KH5" s="113"/>
      <c r="KI5" s="113"/>
      <c r="KJ5" s="113"/>
      <c r="KK5" s="113"/>
      <c r="KL5" s="113"/>
      <c r="KM5" s="113"/>
      <c r="KN5" s="113"/>
      <c r="KO5" s="113"/>
      <c r="KP5" s="113"/>
      <c r="KQ5" s="113"/>
      <c r="KR5" s="113"/>
      <c r="KS5" s="113"/>
      <c r="KT5" s="113"/>
      <c r="KU5" s="113"/>
      <c r="KV5" s="113"/>
      <c r="KW5" s="113"/>
      <c r="KX5" s="113"/>
      <c r="KY5" s="113"/>
      <c r="KZ5" s="113"/>
      <c r="LA5" s="113"/>
      <c r="LB5" s="113"/>
      <c r="LC5" s="113"/>
      <c r="LD5" s="113"/>
      <c r="LE5" s="113"/>
      <c r="LF5" s="113"/>
      <c r="LG5" s="113"/>
      <c r="LH5" s="113"/>
      <c r="LI5" s="113"/>
      <c r="LJ5" s="113"/>
      <c r="LK5" s="113"/>
      <c r="LL5" s="113"/>
      <c r="LM5" s="113"/>
      <c r="LN5" s="113"/>
      <c r="LO5" s="113"/>
      <c r="LP5" s="113"/>
      <c r="LQ5" s="113"/>
      <c r="LR5" s="113"/>
      <c r="LS5" s="113"/>
      <c r="LT5" s="113"/>
      <c r="LU5" s="113"/>
      <c r="LV5" s="113"/>
      <c r="LW5" s="113"/>
      <c r="LX5" s="113"/>
      <c r="LY5" s="113"/>
      <c r="LZ5" s="118"/>
      <c r="MA5" s="118"/>
      <c r="MB5" s="118"/>
      <c r="MC5" s="118"/>
      <c r="MD5" s="118"/>
      <c r="ME5" s="118"/>
      <c r="MF5" s="118"/>
      <c r="MG5" s="118"/>
      <c r="MH5" s="118"/>
      <c r="MI5" s="118"/>
      <c r="MJ5" s="118"/>
      <c r="MK5" s="118"/>
      <c r="ML5" s="118"/>
      <c r="MM5" s="118"/>
      <c r="MN5" s="118"/>
      <c r="MO5" s="118"/>
      <c r="MP5" s="118"/>
      <c r="MQ5" s="118"/>
      <c r="MR5" s="118"/>
      <c r="MS5" s="118"/>
      <c r="MT5" s="118"/>
      <c r="MU5" s="118"/>
      <c r="MV5" s="118"/>
      <c r="MW5" s="118"/>
      <c r="MX5" s="118"/>
      <c r="MY5" s="118"/>
      <c r="MZ5" s="118"/>
      <c r="NA5" s="118"/>
      <c r="NB5" s="118"/>
      <c r="NC5" s="118"/>
      <c r="ND5" s="118"/>
      <c r="NE5" s="117"/>
      <c r="NF5" s="117"/>
      <c r="NG5" s="117"/>
      <c r="NH5" s="117"/>
      <c r="NI5" s="117"/>
      <c r="NJ5" s="117"/>
      <c r="NK5" s="117"/>
      <c r="NL5" s="117"/>
      <c r="NM5" s="117"/>
      <c r="NN5" s="117"/>
      <c r="NO5" s="117"/>
      <c r="NP5" s="117"/>
      <c r="NQ5" s="117"/>
      <c r="NR5" s="117"/>
      <c r="NS5" s="117"/>
      <c r="NT5" s="117"/>
      <c r="NU5" s="117"/>
      <c r="NV5" s="117"/>
      <c r="NW5" s="117"/>
      <c r="NX5" s="117"/>
      <c r="NY5" s="117"/>
      <c r="NZ5" s="117"/>
      <c r="OA5" s="117"/>
      <c r="OB5" s="117"/>
      <c r="OC5" s="117"/>
      <c r="OD5" s="117"/>
      <c r="OE5" s="117"/>
      <c r="OF5" s="117"/>
      <c r="OG5" s="117"/>
      <c r="OH5" s="117"/>
      <c r="OI5" s="114"/>
      <c r="OJ5" s="114"/>
      <c r="OK5" s="114"/>
      <c r="OL5" s="114"/>
      <c r="OM5" s="114"/>
      <c r="ON5" s="114"/>
      <c r="OO5" s="114"/>
      <c r="OP5" s="114"/>
      <c r="OQ5" s="114"/>
      <c r="OR5" s="114"/>
      <c r="OS5" s="114"/>
      <c r="OT5" s="114"/>
      <c r="OU5" s="114"/>
      <c r="OV5" s="114"/>
      <c r="OW5" s="114"/>
      <c r="OX5" s="114"/>
      <c r="OY5" s="114"/>
      <c r="OZ5" s="114"/>
      <c r="PA5" s="114"/>
      <c r="PB5" s="114"/>
      <c r="PC5" s="114"/>
      <c r="PD5" s="114"/>
    </row>
    <row r="6" spans="1:455" s="110" customFormat="1" ht="11.25" customHeight="1" x14ac:dyDescent="0.2">
      <c r="A6" s="114"/>
      <c r="B6" s="115" t="s">
        <v>7</v>
      </c>
      <c r="C6" s="116">
        <f>LA15+MF15+NJ15</f>
        <v>2244</v>
      </c>
      <c r="D6" s="116">
        <f>LS15+MX15+OB15</f>
        <v>2186.5</v>
      </c>
      <c r="E6" s="116">
        <f>LJ15+MO15+NS15</f>
        <v>57.5</v>
      </c>
      <c r="F6" s="113"/>
      <c r="G6" s="113"/>
      <c r="H6" s="113"/>
      <c r="I6" s="113"/>
      <c r="J6" s="113"/>
      <c r="K6" s="113"/>
      <c r="L6" s="113"/>
      <c r="M6" s="113"/>
      <c r="N6" s="113"/>
      <c r="O6" s="113"/>
      <c r="P6" s="113"/>
      <c r="Q6" s="113"/>
      <c r="R6" s="113"/>
      <c r="S6" s="113"/>
      <c r="T6" s="113"/>
      <c r="U6" s="113"/>
      <c r="V6" s="113"/>
      <c r="W6" s="113"/>
      <c r="X6" s="113"/>
      <c r="Y6" s="113"/>
      <c r="Z6" s="113"/>
      <c r="AA6" s="113"/>
      <c r="AB6" s="113"/>
      <c r="AC6" s="113"/>
      <c r="AD6" s="113"/>
      <c r="AE6" s="113"/>
      <c r="AF6" s="113"/>
      <c r="AG6" s="113"/>
      <c r="AH6" s="113"/>
      <c r="AI6" s="113"/>
      <c r="AJ6" s="113"/>
      <c r="AK6" s="113"/>
      <c r="AL6" s="113"/>
      <c r="AM6" s="113"/>
      <c r="AN6" s="113"/>
      <c r="AO6" s="113"/>
      <c r="AP6" s="113"/>
      <c r="AQ6" s="113"/>
      <c r="AR6" s="113"/>
      <c r="AS6" s="113"/>
      <c r="AT6" s="113"/>
      <c r="AU6" s="113"/>
      <c r="AV6" s="113"/>
      <c r="AW6" s="113"/>
      <c r="AX6" s="113"/>
      <c r="AY6" s="113"/>
      <c r="AZ6" s="113"/>
      <c r="BA6" s="113"/>
      <c r="BB6" s="113"/>
      <c r="BC6" s="113"/>
      <c r="BD6" s="113"/>
      <c r="BE6" s="113"/>
      <c r="BF6" s="113"/>
      <c r="BG6" s="113"/>
      <c r="BH6" s="113"/>
      <c r="BI6" s="113"/>
      <c r="BJ6" s="113"/>
      <c r="BK6" s="113"/>
      <c r="BL6" s="113"/>
      <c r="BM6" s="113"/>
      <c r="BN6" s="113"/>
      <c r="BO6" s="113"/>
      <c r="BP6" s="113"/>
      <c r="BQ6" s="113"/>
      <c r="BR6" s="113"/>
      <c r="BS6" s="113"/>
      <c r="BT6" s="113"/>
      <c r="BU6" s="113"/>
      <c r="BV6" s="113"/>
      <c r="BW6" s="113"/>
      <c r="BX6" s="113"/>
      <c r="BY6" s="113"/>
      <c r="BZ6" s="113"/>
      <c r="CA6" s="113"/>
      <c r="CB6" s="113"/>
      <c r="CC6" s="113"/>
      <c r="CD6" s="113"/>
      <c r="CE6" s="113"/>
      <c r="CF6" s="113"/>
      <c r="CG6" s="113"/>
      <c r="CH6" s="113"/>
      <c r="CI6" s="113"/>
      <c r="CJ6" s="113"/>
      <c r="CK6" s="113"/>
      <c r="CL6" s="113"/>
      <c r="CM6" s="113"/>
      <c r="CN6" s="113"/>
      <c r="CO6" s="113"/>
      <c r="CP6" s="113"/>
      <c r="CQ6" s="113"/>
      <c r="CR6" s="113"/>
      <c r="CS6" s="113"/>
      <c r="CT6" s="113"/>
      <c r="CU6" s="113"/>
      <c r="CV6" s="113"/>
      <c r="CW6" s="113"/>
      <c r="CX6" s="113"/>
      <c r="CY6" s="113"/>
      <c r="CZ6" s="113"/>
      <c r="DA6" s="113"/>
      <c r="DB6" s="113"/>
      <c r="DC6" s="113"/>
      <c r="DD6" s="113"/>
      <c r="DE6" s="113"/>
      <c r="DF6" s="113"/>
      <c r="DG6" s="113"/>
      <c r="DH6" s="113"/>
      <c r="DI6" s="113"/>
      <c r="DJ6" s="113"/>
      <c r="DK6" s="113"/>
      <c r="DL6" s="113"/>
      <c r="DM6" s="113"/>
      <c r="DN6" s="113"/>
      <c r="DO6" s="113"/>
      <c r="DP6" s="113"/>
      <c r="DQ6" s="113"/>
      <c r="DR6" s="113"/>
      <c r="DS6" s="113"/>
      <c r="DT6" s="113"/>
      <c r="DU6" s="113"/>
      <c r="DV6" s="113"/>
      <c r="DW6" s="113"/>
      <c r="DX6" s="113"/>
      <c r="DY6" s="113"/>
      <c r="DZ6" s="113"/>
      <c r="EA6" s="113"/>
      <c r="EB6" s="113"/>
      <c r="EC6" s="113"/>
      <c r="ED6" s="113"/>
      <c r="EE6" s="113"/>
      <c r="EF6" s="113"/>
      <c r="EG6" s="113"/>
      <c r="EH6" s="113"/>
      <c r="EI6" s="113"/>
      <c r="EJ6" s="113"/>
      <c r="EK6" s="113"/>
      <c r="EL6" s="113"/>
      <c r="EM6" s="113"/>
      <c r="EN6" s="113"/>
      <c r="EO6" s="113"/>
      <c r="EP6" s="113"/>
      <c r="EQ6" s="113"/>
      <c r="ER6" s="113"/>
      <c r="ES6" s="113"/>
      <c r="ET6" s="113"/>
      <c r="EU6" s="113"/>
      <c r="EV6" s="113"/>
      <c r="EW6" s="113"/>
      <c r="EX6" s="113"/>
      <c r="EY6" s="113"/>
      <c r="EZ6" s="113"/>
      <c r="FA6" s="113"/>
      <c r="FB6" s="113"/>
      <c r="FC6" s="113"/>
      <c r="FD6" s="113"/>
      <c r="FE6" s="113"/>
      <c r="FF6" s="113"/>
      <c r="FG6" s="113"/>
      <c r="FH6" s="113"/>
      <c r="FI6" s="113"/>
      <c r="FJ6" s="113"/>
      <c r="FK6" s="113"/>
      <c r="FL6" s="113"/>
      <c r="FM6" s="113"/>
      <c r="FN6" s="113"/>
      <c r="FO6" s="113"/>
      <c r="FP6" s="113"/>
      <c r="FQ6" s="113"/>
      <c r="FR6" s="113"/>
      <c r="FS6" s="113"/>
      <c r="FT6" s="113"/>
      <c r="FU6" s="113"/>
      <c r="FV6" s="113"/>
      <c r="FW6" s="113"/>
      <c r="FX6" s="113"/>
      <c r="FY6" s="113"/>
      <c r="FZ6" s="113"/>
      <c r="GA6" s="113"/>
      <c r="GB6" s="113"/>
      <c r="GC6" s="113"/>
      <c r="GD6" s="113"/>
      <c r="GE6" s="113"/>
      <c r="GF6" s="113"/>
      <c r="GG6" s="113"/>
      <c r="GH6" s="113"/>
      <c r="GI6" s="113"/>
      <c r="GJ6" s="113"/>
      <c r="GK6" s="113"/>
      <c r="GL6" s="113"/>
      <c r="GM6" s="113"/>
      <c r="GN6" s="113"/>
      <c r="GO6" s="113"/>
      <c r="GP6" s="113"/>
      <c r="GQ6" s="113"/>
      <c r="GR6" s="113"/>
      <c r="GS6" s="113"/>
      <c r="GT6" s="113"/>
      <c r="GU6" s="113"/>
      <c r="GV6" s="113"/>
      <c r="GW6" s="113"/>
      <c r="GX6" s="113"/>
      <c r="GY6" s="113"/>
      <c r="GZ6" s="113"/>
      <c r="HA6" s="113"/>
      <c r="HB6" s="113"/>
      <c r="HC6" s="113"/>
      <c r="HD6" s="113"/>
      <c r="HE6" s="113"/>
      <c r="HF6" s="113"/>
      <c r="HG6" s="113"/>
      <c r="HH6" s="113"/>
      <c r="HI6" s="113"/>
      <c r="HJ6" s="113"/>
      <c r="HK6" s="113"/>
      <c r="HL6" s="113"/>
      <c r="HM6" s="113"/>
      <c r="HN6" s="113"/>
      <c r="HO6" s="113"/>
      <c r="HP6" s="113"/>
      <c r="HQ6" s="113"/>
      <c r="HR6" s="113"/>
      <c r="HS6" s="113"/>
      <c r="HT6" s="113"/>
      <c r="HU6" s="113"/>
      <c r="HV6" s="113"/>
      <c r="HW6" s="113"/>
      <c r="HX6" s="113"/>
      <c r="HY6" s="113"/>
      <c r="HZ6" s="113"/>
      <c r="IA6" s="113"/>
      <c r="IB6" s="113"/>
      <c r="IC6" s="113"/>
      <c r="ID6" s="113"/>
      <c r="IE6" s="113"/>
      <c r="IF6" s="113"/>
      <c r="IG6" s="113"/>
      <c r="IH6" s="113"/>
      <c r="II6" s="113"/>
      <c r="IJ6" s="113"/>
      <c r="IK6" s="113"/>
      <c r="IL6" s="113"/>
      <c r="IM6" s="113"/>
      <c r="IN6" s="113"/>
      <c r="IO6" s="113"/>
      <c r="IP6" s="113"/>
      <c r="IQ6" s="113"/>
      <c r="IR6" s="113"/>
      <c r="IS6" s="113"/>
      <c r="IT6" s="113"/>
      <c r="IU6" s="113"/>
      <c r="IV6" s="113"/>
      <c r="IW6" s="113"/>
      <c r="IX6" s="113"/>
      <c r="IY6" s="113"/>
      <c r="IZ6" s="113"/>
      <c r="JA6" s="113"/>
      <c r="JB6" s="113"/>
      <c r="JC6" s="113"/>
      <c r="JD6" s="113"/>
      <c r="JE6" s="113"/>
      <c r="JF6" s="113"/>
      <c r="JG6" s="113"/>
      <c r="JH6" s="113"/>
      <c r="JI6" s="113"/>
      <c r="JJ6" s="113"/>
      <c r="JK6" s="113"/>
      <c r="JL6" s="113"/>
      <c r="JM6" s="113"/>
      <c r="JN6" s="113"/>
      <c r="JO6" s="113"/>
      <c r="JP6" s="113"/>
      <c r="JQ6" s="113"/>
      <c r="JR6" s="113"/>
      <c r="JS6" s="113"/>
      <c r="JT6" s="113"/>
      <c r="JU6" s="113"/>
      <c r="JV6" s="113"/>
      <c r="JW6" s="113"/>
      <c r="JX6" s="113"/>
      <c r="JY6" s="113"/>
      <c r="JZ6" s="113"/>
      <c r="KA6" s="113"/>
      <c r="KB6" s="113"/>
      <c r="KC6" s="113"/>
      <c r="KD6" s="113"/>
      <c r="KE6" s="113"/>
      <c r="KF6" s="113"/>
      <c r="KG6" s="113"/>
      <c r="KH6" s="113"/>
      <c r="KI6" s="113"/>
      <c r="KJ6" s="113"/>
      <c r="KK6" s="113"/>
      <c r="KL6" s="113"/>
      <c r="KM6" s="113"/>
      <c r="KN6" s="113"/>
      <c r="KO6" s="113"/>
      <c r="KP6" s="113"/>
      <c r="KQ6" s="113"/>
      <c r="KR6" s="113"/>
      <c r="KS6" s="113"/>
      <c r="KT6" s="113"/>
      <c r="KU6" s="113"/>
      <c r="KV6" s="113"/>
      <c r="KW6" s="113"/>
      <c r="KX6" s="113"/>
      <c r="KY6" s="113"/>
      <c r="KZ6" s="113"/>
      <c r="LA6" s="113"/>
      <c r="LB6" s="113"/>
      <c r="LC6" s="113"/>
      <c r="LD6" s="113"/>
      <c r="LE6" s="113"/>
      <c r="LF6" s="113"/>
      <c r="LG6" s="113"/>
      <c r="LH6" s="113"/>
      <c r="LI6" s="113"/>
      <c r="LJ6" s="113"/>
      <c r="LK6" s="113"/>
      <c r="LL6" s="113"/>
      <c r="LM6" s="113"/>
      <c r="LN6" s="113"/>
      <c r="LO6" s="113"/>
      <c r="LP6" s="113"/>
      <c r="LQ6" s="113"/>
      <c r="LR6" s="113"/>
      <c r="LS6" s="113"/>
      <c r="LT6" s="113"/>
      <c r="LU6" s="113"/>
      <c r="LV6" s="113"/>
      <c r="LW6" s="113"/>
      <c r="LX6" s="113"/>
      <c r="LY6" s="113"/>
      <c r="LZ6" s="118"/>
      <c r="MA6" s="118"/>
      <c r="MB6" s="118"/>
      <c r="MC6" s="118"/>
      <c r="MD6" s="118"/>
      <c r="ME6" s="118"/>
      <c r="MF6" s="118"/>
      <c r="MG6" s="118"/>
      <c r="MH6" s="118"/>
      <c r="MI6" s="118"/>
      <c r="MJ6" s="118"/>
      <c r="MK6" s="118"/>
      <c r="ML6" s="118"/>
      <c r="MM6" s="118"/>
      <c r="MN6" s="118"/>
      <c r="MO6" s="118"/>
      <c r="MP6" s="118"/>
      <c r="MQ6" s="118"/>
      <c r="MR6" s="118"/>
      <c r="MS6" s="118"/>
      <c r="MT6" s="118"/>
      <c r="MU6" s="118"/>
      <c r="MV6" s="118"/>
      <c r="MW6" s="118"/>
      <c r="MX6" s="118"/>
      <c r="MY6" s="118"/>
      <c r="MZ6" s="118"/>
      <c r="NA6" s="118"/>
      <c r="NB6" s="118"/>
      <c r="NC6" s="118"/>
      <c r="ND6" s="118"/>
      <c r="NE6" s="117"/>
      <c r="NF6" s="117"/>
      <c r="NG6" s="117"/>
      <c r="NH6" s="117"/>
      <c r="NI6" s="117"/>
      <c r="NJ6" s="117"/>
      <c r="NK6" s="117"/>
      <c r="NL6" s="117"/>
      <c r="NM6" s="117"/>
      <c r="NN6" s="117"/>
      <c r="NO6" s="117"/>
      <c r="NP6" s="117"/>
      <c r="NQ6" s="117"/>
      <c r="NR6" s="117"/>
      <c r="NS6" s="117"/>
      <c r="NT6" s="117"/>
      <c r="NU6" s="117"/>
      <c r="NV6" s="117"/>
      <c r="NW6" s="117"/>
      <c r="NX6" s="117"/>
      <c r="NY6" s="117"/>
      <c r="NZ6" s="117"/>
      <c r="OA6" s="117"/>
      <c r="OB6" s="117"/>
      <c r="OC6" s="117"/>
      <c r="OD6" s="117"/>
      <c r="OE6" s="117"/>
      <c r="OF6" s="117"/>
      <c r="OG6" s="117"/>
      <c r="OH6" s="117"/>
      <c r="OI6" s="114"/>
      <c r="OJ6" s="114"/>
      <c r="OK6" s="114"/>
      <c r="OL6" s="114"/>
      <c r="OM6" s="114"/>
      <c r="ON6" s="114"/>
      <c r="OO6" s="114"/>
      <c r="OP6" s="114"/>
      <c r="OQ6" s="114"/>
      <c r="OR6" s="114"/>
      <c r="OS6" s="114"/>
      <c r="OT6" s="114"/>
      <c r="OU6" s="114"/>
      <c r="OV6" s="114"/>
      <c r="OW6" s="114"/>
      <c r="OX6" s="114"/>
      <c r="OY6" s="114"/>
      <c r="OZ6" s="114"/>
      <c r="PA6" s="114"/>
      <c r="PB6" s="114"/>
      <c r="PC6" s="114"/>
      <c r="PD6" s="114"/>
    </row>
    <row r="7" spans="1:455" s="106" customFormat="1" ht="15" x14ac:dyDescent="0.25">
      <c r="A7" s="126"/>
      <c r="B7" s="127"/>
      <c r="C7" s="104" t="str" cm="1">
        <f t="array" ref="C7">_xlfn.SINGLE(IFERROR(IF(WEEKDAY(_xlfn.SINGLE(9:9),2)&gt;5,"WE",IF(VLOOKUP(C9,Paramètres!$C$3:$C$42,1,FALSE)=C9,"Férié","")),_xlfn._xlws.FILTER(Date_IA_PIP[Cérémonie],(Date_IA_PIP[Date début]&lt;=C9)*(Date_IA_PIP[[Date fin ]]&gt;=C9),"")))</f>
        <v>WE</v>
      </c>
      <c r="D7" s="104" t="str" cm="1">
        <f t="array" ref="D7">_xlfn.SINGLE(IFERROR(IF(WEEKDAY(_xlfn.SINGLE(9:9),2)&gt;5,"WE",IF(VLOOKUP(D9,Paramètres!$C$3:$C$42,1,FALSE)=D9,"Férié","")),_xlfn._xlws.FILTER(Date_IA_PIP[Cérémonie],(Date_IA_PIP[Date début]&lt;=D9)*(Date_IA_PIP[[Date fin ]]&gt;=D9),"")))</f>
        <v/>
      </c>
      <c r="E7" s="104" t="str" cm="1">
        <f t="array" ref="E7">_xlfn.SINGLE(IFERROR(IF(WEEKDAY(_xlfn.SINGLE(9:9),2)&gt;5,"WE",IF(VLOOKUP(E9,Paramètres!$C$3:$C$42,1,FALSE)=E9,"Férié","")),_xlfn._xlws.FILTER(Date_IA_PIP[Cérémonie],(Date_IA_PIP[Date début]&lt;=E9)*(Date_IA_PIP[[Date fin ]]&gt;=E9),"")))</f>
        <v/>
      </c>
      <c r="F7" s="104" t="str" cm="1">
        <f t="array" ref="F7">_xlfn.SINGLE(IFERROR(IF(WEEKDAY(_xlfn.SINGLE(9:9),2)&gt;5,"WE",IF(VLOOKUP(F9,Paramètres!$C$3:$C$42,1,FALSE)=F9,"Férié","")),_xlfn._xlws.FILTER(Date_IA_PIP[Cérémonie],(Date_IA_PIP[Date début]&lt;=F9)*(Date_IA_PIP[[Date fin ]]&gt;=F9),"")))</f>
        <v/>
      </c>
      <c r="G7" s="104" t="str" cm="1">
        <f t="array" ref="G7">_xlfn.SINGLE(IFERROR(IF(WEEKDAY(_xlfn.SINGLE(9:9),2)&gt;5,"WE",IF(VLOOKUP(G9,Paramètres!$C$3:$C$42,1,FALSE)=G9,"Férié","")),_xlfn._xlws.FILTER(Date_IA_PIP[Cérémonie],(Date_IA_PIP[Date début]&lt;=G9)*(Date_IA_PIP[[Date fin ]]&gt;=G9),"")))</f>
        <v/>
      </c>
      <c r="H7" s="104" t="str" cm="1">
        <f t="array" ref="H7">_xlfn.SINGLE(IFERROR(IF(WEEKDAY(_xlfn.SINGLE(9:9),2)&gt;5,"WE",IF(VLOOKUP(H9,Paramètres!$C$3:$C$42,1,FALSE)=H9,"Férié","")),_xlfn._xlws.FILTER(Date_IA_PIP[Cérémonie],(Date_IA_PIP[Date début]&lt;=H9)*(Date_IA_PIP[[Date fin ]]&gt;=H9),"")))</f>
        <v/>
      </c>
      <c r="I7" s="104" t="str" cm="1">
        <f t="array" ref="I7">_xlfn.SINGLE(IFERROR(IF(WEEKDAY(_xlfn.SINGLE(9:9),2)&gt;5,"WE",IF(VLOOKUP(I9,Paramètres!$C$3:$C$42,1,FALSE)=I9,"Férié","")),_xlfn._xlws.FILTER(Date_IA_PIP[Cérémonie],(Date_IA_PIP[Date début]&lt;=I9)*(Date_IA_PIP[[Date fin ]]&gt;=I9),"")))</f>
        <v>WE</v>
      </c>
      <c r="J7" s="104" t="str" cm="1">
        <f t="array" ref="J7">_xlfn.SINGLE(IFERROR(IF(WEEKDAY(_xlfn.SINGLE(9:9),2)&gt;5,"WE",IF(VLOOKUP(J9,Paramètres!$C$3:$C$42,1,FALSE)=J9,"Férié","")),_xlfn._xlws.FILTER(Date_IA_PIP[Cérémonie],(Date_IA_PIP[Date début]&lt;=J9)*(Date_IA_PIP[[Date fin ]]&gt;=J9),"")))</f>
        <v>WE</v>
      </c>
      <c r="K7" s="104" t="str" cm="1">
        <f t="array" ref="K7">_xlfn.SINGLE(IFERROR(IF(WEEKDAY(_xlfn.SINGLE(9:9),2)&gt;5,"WE",IF(VLOOKUP(K9,Paramètres!$C$3:$C$42,1,FALSE)=K9,"Férié","")),_xlfn._xlws.FILTER(Date_IA_PIP[Cérémonie],(Date_IA_PIP[Date début]&lt;=K9)*(Date_IA_PIP[[Date fin ]]&gt;=K9),"")))</f>
        <v/>
      </c>
      <c r="L7" s="104" t="str" cm="1">
        <f t="array" ref="L7">_xlfn.SINGLE(IFERROR(IF(WEEKDAY(_xlfn.SINGLE(9:9),2)&gt;5,"WE",IF(VLOOKUP(L9,Paramètres!$C$3:$C$42,1,FALSE)=L9,"Férié","")),_xlfn._xlws.FILTER(Date_IA_PIP[Cérémonie],(Date_IA_PIP[Date début]&lt;=L9)*(Date_IA_PIP[[Date fin ]]&gt;=L9),"")))</f>
        <v/>
      </c>
      <c r="M7" s="104" t="str" cm="1">
        <f t="array" ref="M7">_xlfn.SINGLE(IFERROR(IF(WEEKDAY(_xlfn.SINGLE(9:9),2)&gt;5,"WE",IF(VLOOKUP(M9,Paramètres!$C$3:$C$42,1,FALSE)=M9,"Férié","")),_xlfn._xlws.FILTER(Date_IA_PIP[Cérémonie],(Date_IA_PIP[Date début]&lt;=M9)*(Date_IA_PIP[[Date fin ]]&gt;=M9),"")))</f>
        <v/>
      </c>
      <c r="N7" s="104" t="str" cm="1">
        <f t="array" ref="N7">_xlfn.SINGLE(IFERROR(IF(WEEKDAY(_xlfn.SINGLE(9:9),2)&gt;5,"WE",IF(VLOOKUP(N9,Paramètres!$C$3:$C$42,1,FALSE)=N9,"Férié","")),_xlfn._xlws.FILTER(Date_IA_PIP[Cérémonie],(Date_IA_PIP[Date début]&lt;=N9)*(Date_IA_PIP[[Date fin ]]&gt;=N9),"")))</f>
        <v/>
      </c>
      <c r="O7" s="104" t="str" cm="1">
        <f t="array" ref="O7">_xlfn.SINGLE(IFERROR(IF(WEEKDAY(_xlfn.SINGLE(9:9),2)&gt;5,"WE",IF(VLOOKUP(O9,Paramètres!$C$3:$C$42,1,FALSE)=O9,"Férié","")),_xlfn._xlws.FILTER(Date_IA_PIP[Cérémonie],(Date_IA_PIP[Date début]&lt;=O9)*(Date_IA_PIP[[Date fin ]]&gt;=O9),"")))</f>
        <v/>
      </c>
      <c r="P7" s="104" t="str" cm="1">
        <f t="array" ref="P7">_xlfn.SINGLE(IFERROR(IF(WEEKDAY(_xlfn.SINGLE(9:9),2)&gt;5,"WE",IF(VLOOKUP(P9,Paramètres!$C$3:$C$42,1,FALSE)=P9,"Férié","")),_xlfn._xlws.FILTER(Date_IA_PIP[Cérémonie],(Date_IA_PIP[Date début]&lt;=P9)*(Date_IA_PIP[[Date fin ]]&gt;=P9),"")))</f>
        <v>WE</v>
      </c>
      <c r="Q7" s="104" t="str" cm="1">
        <f t="array" ref="Q7">_xlfn.SINGLE(IFERROR(IF(WEEKDAY(_xlfn.SINGLE(9:9),2)&gt;5,"WE",IF(VLOOKUP(Q9,Paramètres!$C$3:$C$42,1,FALSE)=Q9,"Férié","")),_xlfn._xlws.FILTER(Date_IA_PIP[Cérémonie],(Date_IA_PIP[Date début]&lt;=Q9)*(Date_IA_PIP[[Date fin ]]&gt;=Q9),"")))</f>
        <v>WE</v>
      </c>
      <c r="R7" s="104" t="str" cm="1">
        <f t="array" ref="R7">_xlfn.SINGLE(IFERROR(IF(WEEKDAY(_xlfn.SINGLE(9:9),2)&gt;5,"WE",IF(VLOOKUP(R9,Paramètres!$C$3:$C$42,1,FALSE)=R9,"Férié","")),_xlfn._xlws.FILTER(Date_IA_PIP[Cérémonie],(Date_IA_PIP[Date début]&lt;=R9)*(Date_IA_PIP[[Date fin ]]&gt;=R9),"")))</f>
        <v/>
      </c>
      <c r="S7" s="104" t="str" cm="1">
        <f t="array" ref="S7">_xlfn.SINGLE(IFERROR(IF(WEEKDAY(_xlfn.SINGLE(9:9),2)&gt;5,"WE",IF(VLOOKUP(S9,Paramètres!$C$3:$C$42,1,FALSE)=S9,"Férié","")),_xlfn._xlws.FILTER(Date_IA_PIP[Cérémonie],(Date_IA_PIP[Date début]&lt;=S9)*(Date_IA_PIP[[Date fin ]]&gt;=S9),"")))</f>
        <v/>
      </c>
      <c r="T7" s="104" t="str" cm="1">
        <f t="array" ref="T7">_xlfn.SINGLE(IFERROR(IF(WEEKDAY(_xlfn.SINGLE(9:9),2)&gt;5,"WE",IF(VLOOKUP(T9,Paramètres!$C$3:$C$42,1,FALSE)=T9,"Férié","")),_xlfn._xlws.FILTER(Date_IA_PIP[Cérémonie],(Date_IA_PIP[Date début]&lt;=T9)*(Date_IA_PIP[[Date fin ]]&gt;=T9),"")))</f>
        <v/>
      </c>
      <c r="U7" s="104" t="str" cm="1">
        <f t="array" ref="U7">_xlfn.SINGLE(IFERROR(IF(WEEKDAY(_xlfn.SINGLE(9:9),2)&gt;5,"WE",IF(VLOOKUP(U9,Paramètres!$C$3:$C$42,1,FALSE)=U9,"Férié","")),_xlfn._xlws.FILTER(Date_IA_PIP[Cérémonie],(Date_IA_PIP[Date début]&lt;=U9)*(Date_IA_PIP[[Date fin ]]&gt;=U9),"")))</f>
        <v/>
      </c>
      <c r="V7" s="104" t="str" cm="1">
        <f t="array" ref="V7">_xlfn.SINGLE(IFERROR(IF(WEEKDAY(_xlfn.SINGLE(9:9),2)&gt;5,"WE",IF(VLOOKUP(V9,Paramètres!$C$3:$C$42,1,FALSE)=V9,"Férié","")),_xlfn._xlws.FILTER(Date_IA_PIP[Cérémonie],(Date_IA_PIP[Date début]&lt;=V9)*(Date_IA_PIP[[Date fin ]]&gt;=V9),"")))</f>
        <v/>
      </c>
      <c r="W7" s="104" t="str" cm="1">
        <f t="array" ref="W7">_xlfn.SINGLE(IFERROR(IF(WEEKDAY(_xlfn.SINGLE(9:9),2)&gt;5,"WE",IF(VLOOKUP(W9,Paramètres!$C$3:$C$42,1,FALSE)=W9,"Férié","")),_xlfn._xlws.FILTER(Date_IA_PIP[Cérémonie],(Date_IA_PIP[Date début]&lt;=W9)*(Date_IA_PIP[[Date fin ]]&gt;=W9),"")))</f>
        <v>WE</v>
      </c>
      <c r="X7" s="104" t="str" cm="1">
        <f t="array" ref="X7">_xlfn.SINGLE(IFERROR(IF(WEEKDAY(_xlfn.SINGLE(9:9),2)&gt;5,"WE",IF(VLOOKUP(X9,Paramètres!$C$3:$C$42,1,FALSE)=X9,"Férié","")),_xlfn._xlws.FILTER(Date_IA_PIP[Cérémonie],(Date_IA_PIP[Date début]&lt;=X9)*(Date_IA_PIP[[Date fin ]]&gt;=X9),"")))</f>
        <v>WE</v>
      </c>
      <c r="Y7" s="104" t="str" cm="1">
        <f t="array" ref="Y7">_xlfn.SINGLE(IFERROR(IF(WEEKDAY(_xlfn.SINGLE(9:9),2)&gt;5,"WE",IF(VLOOKUP(Y9,Paramètres!$C$3:$C$42,1,FALSE)=Y9,"Férié","")),_xlfn._xlws.FILTER(Date_IA_PIP[Cérémonie],(Date_IA_PIP[Date début]&lt;=Y9)*(Date_IA_PIP[[Date fin ]]&gt;=Y9),"")))</f>
        <v/>
      </c>
      <c r="Z7" s="104" t="str" cm="1">
        <f t="array" ref="Z7">_xlfn.SINGLE(IFERROR(IF(WEEKDAY(_xlfn.SINGLE(9:9),2)&gt;5,"WE",IF(VLOOKUP(Z9,Paramètres!$C$3:$C$42,1,FALSE)=Z9,"Férié","")),_xlfn._xlws.FILTER(Date_IA_PIP[Cérémonie],(Date_IA_PIP[Date début]&lt;=Z9)*(Date_IA_PIP[[Date fin ]]&gt;=Z9),"")))</f>
        <v/>
      </c>
      <c r="AA7" s="104" t="str" cm="1">
        <f t="array" ref="AA7">_xlfn.SINGLE(IFERROR(IF(WEEKDAY(_xlfn.SINGLE(9:9),2)&gt;5,"WE",IF(VLOOKUP(AA9,Paramètres!$C$3:$C$42,1,FALSE)=AA9,"Férié","")),_xlfn._xlws.FILTER(Date_IA_PIP[Cérémonie],(Date_IA_PIP[Date début]&lt;=AA9)*(Date_IA_PIP[[Date fin ]]&gt;=AA9),"")))</f>
        <v>Férié</v>
      </c>
      <c r="AB7" s="104" t="str" cm="1">
        <f t="array" ref="AB7">_xlfn.SINGLE(IFERROR(IF(WEEKDAY(_xlfn.SINGLE(9:9),2)&gt;5,"WE",IF(VLOOKUP(AB9,Paramètres!$C$3:$C$42,1,FALSE)=AB9,"Férié","")),_xlfn._xlws.FILTER(Date_IA_PIP[Cérémonie],(Date_IA_PIP[Date début]&lt;=AB9)*(Date_IA_PIP[[Date fin ]]&gt;=AB9),"")))</f>
        <v/>
      </c>
      <c r="AC7" s="104" t="str" cm="1">
        <f t="array" ref="AC7">_xlfn.SINGLE(IFERROR(IF(WEEKDAY(_xlfn.SINGLE(9:9),2)&gt;5,"WE",IF(VLOOKUP(AC9,Paramètres!$C$3:$C$42,1,FALSE)=AC9,"Férié","")),_xlfn._xlws.FILTER(Date_IA_PIP[Cérémonie],(Date_IA_PIP[Date début]&lt;=AC9)*(Date_IA_PIP[[Date fin ]]&gt;=AC9),"")))</f>
        <v/>
      </c>
      <c r="AD7" s="104" t="str" cm="1">
        <f t="array" ref="AD7">_xlfn.SINGLE(IFERROR(IF(WEEKDAY(_xlfn.SINGLE(9:9),2)&gt;5,"WE",IF(VLOOKUP(AD9,Paramètres!$C$3:$C$42,1,FALSE)=AD9,"Férié","")),_xlfn._xlws.FILTER(Date_IA_PIP[Cérémonie],(Date_IA_PIP[Date début]&lt;=AD9)*(Date_IA_PIP[[Date fin ]]&gt;=AD9),"")))</f>
        <v>WE</v>
      </c>
      <c r="AE7" s="104" t="str" cm="1">
        <f t="array" ref="AE7">_xlfn.SINGLE(IFERROR(IF(WEEKDAY(_xlfn.SINGLE(9:9),2)&gt;5,"WE",IF(VLOOKUP(AE9,Paramètres!$C$3:$C$42,1,FALSE)=AE9,"Férié","")),_xlfn._xlws.FILTER(Date_IA_PIP[Cérémonie],(Date_IA_PIP[Date début]&lt;=AE9)*(Date_IA_PIP[[Date fin ]]&gt;=AE9),"")))</f>
        <v>WE</v>
      </c>
      <c r="AF7" s="104" t="str" cm="1">
        <f t="array" ref="AF7">_xlfn.SINGLE(IFERROR(IF(WEEKDAY(_xlfn.SINGLE(9:9),2)&gt;5,"WE",IF(VLOOKUP(AF9,Paramètres!$C$3:$C$42,1,FALSE)=AF9,"Férié","")),_xlfn._xlws.FILTER(Date_IA_PIP[Cérémonie],(Date_IA_PIP[Date début]&lt;=AF9)*(Date_IA_PIP[[Date fin ]]&gt;=AF9),"")))</f>
        <v/>
      </c>
      <c r="AG7" s="104" t="str" cm="1">
        <f t="array" ref="AG7">_xlfn.SINGLE(IFERROR(IF(WEEKDAY(_xlfn.SINGLE(9:9),2)&gt;5,"WE",IF(VLOOKUP(AG9,Paramètres!$C$3:$C$42,1,FALSE)=AG9,"Férié","")),_xlfn._xlws.FILTER(Date_IA_PIP[Cérémonie],(Date_IA_PIP[Date début]&lt;=AG9)*(Date_IA_PIP[[Date fin ]]&gt;=AG9),"")))</f>
        <v/>
      </c>
      <c r="AH7" s="104" t="str" cm="1">
        <f t="array" ref="AH7">_xlfn.SINGLE(IFERROR(IF(WEEKDAY(_xlfn.SINGLE(9:9),2)&gt;5,"WE",IF(VLOOKUP(AH9,Paramètres!$C$3:$C$42,1,FALSE)=AH9,"Férié","")),_xlfn._xlws.FILTER(Date_IA_PIP[Cérémonie],(Date_IA_PIP[Date début]&lt;=AH9)*(Date_IA_PIP[[Date fin ]]&gt;=AH9),"")))</f>
        <v>Férié</v>
      </c>
      <c r="AI7" s="104" t="str" cm="1">
        <f t="array" ref="AI7">_xlfn.SINGLE(IFERROR(IF(WEEKDAY(_xlfn.SINGLE(9:9),2)&gt;5,"WE",IF(VLOOKUP(AI9,Paramètres!$C$3:$C$42,1,FALSE)=AI9,"Férié","")),_xlfn._xlws.FILTER(Date_IA_PIP[Cérémonie],(Date_IA_PIP[Date début]&lt;=AI9)*(Date_IA_PIP[[Date fin ]]&gt;=AI9),"")))</f>
        <v/>
      </c>
      <c r="AJ7" s="104" t="str" cm="1">
        <f t="array" ref="AJ7">_xlfn.SINGLE(IFERROR(IF(WEEKDAY(_xlfn.SINGLE(9:9),2)&gt;5,"WE",IF(VLOOKUP(AJ9,Paramètres!$C$3:$C$42,1,FALSE)=AJ9,"Férié","")),_xlfn._xlws.FILTER(Date_IA_PIP[Cérémonie],(Date_IA_PIP[Date début]&lt;=AJ9)*(Date_IA_PIP[[Date fin ]]&gt;=AJ9),"")))</f>
        <v/>
      </c>
      <c r="AK7" s="104" t="str" cm="1">
        <f t="array" ref="AK7">_xlfn.SINGLE(IFERROR(IF(WEEKDAY(_xlfn.SINGLE(9:9),2)&gt;5,"WE",IF(VLOOKUP(AK9,Paramètres!$C$3:$C$42,1,FALSE)=AK9,"Férié","")),_xlfn._xlws.FILTER(Date_IA_PIP[Cérémonie],(Date_IA_PIP[Date début]&lt;=AK9)*(Date_IA_PIP[[Date fin ]]&gt;=AK9),"")))</f>
        <v>WE</v>
      </c>
      <c r="AL7" s="104" t="str" cm="1">
        <f t="array" ref="AL7">_xlfn.SINGLE(IFERROR(IF(WEEKDAY(_xlfn.SINGLE(9:9),2)&gt;5,"WE",IF(VLOOKUP(AL9,Paramètres!$C$3:$C$42,1,FALSE)=AL9,"Férié","")),_xlfn._xlws.FILTER(Date_IA_PIP[Cérémonie],(Date_IA_PIP[Date début]&lt;=AL9)*(Date_IA_PIP[[Date fin ]]&gt;=AL9),"")))</f>
        <v>WE</v>
      </c>
      <c r="AM7" s="104" t="str" cm="1">
        <f t="array" ref="AM7">_xlfn.SINGLE(IFERROR(IF(WEEKDAY(_xlfn.SINGLE(9:9),2)&gt;5,"WE",IF(VLOOKUP(AM9,Paramètres!$C$3:$C$42,1,FALSE)=AM9,"Férié","")),_xlfn._xlws.FILTER(Date_IA_PIP[Cérémonie],(Date_IA_PIP[Date début]&lt;=AM9)*(Date_IA_PIP[[Date fin ]]&gt;=AM9),"")))</f>
        <v/>
      </c>
      <c r="AN7" s="104" t="str" cm="1">
        <f t="array" ref="AN7">_xlfn.SINGLE(IFERROR(IF(WEEKDAY(_xlfn.SINGLE(9:9),2)&gt;5,"WE",IF(VLOOKUP(AN9,Paramètres!$C$3:$C$42,1,FALSE)=AN9,"Férié","")),_xlfn._xlws.FILTER(Date_IA_PIP[Cérémonie],(Date_IA_PIP[Date début]&lt;=AN9)*(Date_IA_PIP[[Date fin ]]&gt;=AN9),"")))</f>
        <v/>
      </c>
      <c r="AO7" s="104" t="str" cm="1">
        <f t="array" ref="AO7">_xlfn.SINGLE(IFERROR(IF(WEEKDAY(_xlfn.SINGLE(9:9),2)&gt;5,"WE",IF(VLOOKUP(AO9,Paramètres!$C$3:$C$42,1,FALSE)=AO9,"Férié","")),_xlfn._xlws.FILTER(Date_IA_PIP[Cérémonie],(Date_IA_PIP[Date début]&lt;=AO9)*(Date_IA_PIP[[Date fin ]]&gt;=AO9),"")))</f>
        <v/>
      </c>
      <c r="AP7" s="104" t="str" cm="1">
        <f t="array" ref="AP7">_xlfn.SINGLE(IFERROR(IF(WEEKDAY(_xlfn.SINGLE(9:9),2)&gt;5,"WE",IF(VLOOKUP(AP9,Paramètres!$C$3:$C$42,1,FALSE)=AP9,"Férié","")),_xlfn._xlws.FILTER(Date_IA_PIP[Cérémonie],(Date_IA_PIP[Date début]&lt;=AP9)*(Date_IA_PIP[[Date fin ]]&gt;=AP9),"")))</f>
        <v/>
      </c>
      <c r="AQ7" s="104" t="str" cm="1">
        <f t="array" ref="AQ7">_xlfn.SINGLE(IFERROR(IF(WEEKDAY(_xlfn.SINGLE(9:9),2)&gt;5,"WE",IF(VLOOKUP(AQ9,Paramètres!$C$3:$C$42,1,FALSE)=AQ9,"Férié","")),_xlfn._xlws.FILTER(Date_IA_PIP[Cérémonie],(Date_IA_PIP[Date début]&lt;=AQ9)*(Date_IA_PIP[[Date fin ]]&gt;=AQ9),"")))</f>
        <v/>
      </c>
      <c r="AR7" s="104" t="str" cm="1">
        <f t="array" ref="AR7">_xlfn.SINGLE(IFERROR(IF(WEEKDAY(_xlfn.SINGLE(9:9),2)&gt;5,"WE",IF(VLOOKUP(AR9,Paramètres!$C$3:$C$42,1,FALSE)=AR9,"Férié","")),_xlfn._xlws.FILTER(Date_IA_PIP[Cérémonie],(Date_IA_PIP[Date début]&lt;=AR9)*(Date_IA_PIP[[Date fin ]]&gt;=AR9),"")))</f>
        <v>WE</v>
      </c>
      <c r="AS7" s="104" t="str" cm="1">
        <f t="array" ref="AS7">_xlfn.SINGLE(IFERROR(IF(WEEKDAY(_xlfn.SINGLE(9:9),2)&gt;5,"WE",IF(VLOOKUP(AS9,Paramètres!$C$3:$C$42,1,FALSE)=AS9,"Férié","")),_xlfn._xlws.FILTER(Date_IA_PIP[Cérémonie],(Date_IA_PIP[Date début]&lt;=AS9)*(Date_IA_PIP[[Date fin ]]&gt;=AS9),"")))</f>
        <v>WE</v>
      </c>
      <c r="AT7" s="104" t="str" cm="1">
        <f t="array" ref="AT7">_xlfn.SINGLE(IFERROR(IF(WEEKDAY(_xlfn.SINGLE(9:9),2)&gt;5,"WE",IF(VLOOKUP(AT9,Paramètres!$C$3:$C$42,1,FALSE)=AT9,"Férié","")),_xlfn._xlws.FILTER(Date_IA_PIP[Cérémonie],(Date_IA_PIP[Date début]&lt;=AT9)*(Date_IA_PIP[[Date fin ]]&gt;=AT9),"")))</f>
        <v/>
      </c>
      <c r="AU7" s="104" t="str" cm="1">
        <f t="array" ref="AU7">_xlfn.SINGLE(IFERROR(IF(WEEKDAY(_xlfn.SINGLE(9:9),2)&gt;5,"WE",IF(VLOOKUP(AU9,Paramètres!$C$3:$C$42,1,FALSE)=AU9,"Férié","")),INDEX(Paramètres!$W:$W,MAX((Date_IA_PIP[Date début]&lt;=AU9)*(Date_IA_PIP[[Date fin ]]&gt;=AU9)*ROW(Date_IA_PIP[PI])))))</f>
        <v>Présentiel</v>
      </c>
      <c r="AV7" s="104" t="str" cm="1">
        <f t="array" ref="AV7">_xlfn.SINGLE(IFERROR(IF(WEEKDAY(_xlfn.SINGLE(9:9),2)&gt;5,"WE",IF(VLOOKUP(AV9,Paramètres!$C$3:$C$42,1,FALSE)=AV9,"Férié","")),_xlfn._xlws.FILTER(Date_IA_PIP[Cérémonie],(Date_IA_PIP[Date début]&lt;=AV9)*(Date_IA_PIP[[Date fin ]]&gt;=AV9),"")))</f>
        <v/>
      </c>
      <c r="AW7" s="104" t="str" cm="1">
        <f t="array" ref="AW7">_xlfn.SINGLE(IFERROR(IF(WEEKDAY(_xlfn.SINGLE(9:9),2)&gt;5,"WE",IF(VLOOKUP(AW9,Paramètres!$C$3:$C$42,1,FALSE)=AW9,"Férié","")),_xlfn._xlws.FILTER(Date_IA_PIP[Cérémonie],(Date_IA_PIP[Date début]&lt;=AW9)*(Date_IA_PIP[[Date fin ]]&gt;=AW9),"")))</f>
        <v/>
      </c>
      <c r="AX7" s="104" t="str" cm="1">
        <f t="array" ref="AX7">_xlfn.SINGLE(IFERROR(IF(WEEKDAY(_xlfn.SINGLE(9:9),2)&gt;5,"WE",IF(VLOOKUP(AX9,Paramètres!$C$3:$C$42,1,FALSE)=AX9,"Férié","")),_xlfn._xlws.FILTER(Date_IA_PIP[Cérémonie],(Date_IA_PIP[Date début]&lt;=AX9)*(Date_IA_PIP[[Date fin ]]&gt;=AX9),"")))</f>
        <v/>
      </c>
      <c r="AY7" s="104" t="str" cm="1">
        <f t="array" ref="AY7">_xlfn.SINGLE(IFERROR(IF(WEEKDAY(_xlfn.SINGLE(9:9),2)&gt;5,"WE",IF(VLOOKUP(AY9,Paramètres!$C$3:$C$42,1,FALSE)=AY9,"Férié","")),_xlfn._xlws.FILTER(Date_IA_PIP[Cérémonie],(Date_IA_PIP[Date début]&lt;=AY9)*(Date_IA_PIP[[Date fin ]]&gt;=AY9),"")))</f>
        <v>WE</v>
      </c>
      <c r="AZ7" s="104" t="str" cm="1">
        <f t="array" ref="AZ7">_xlfn.SINGLE(IFERROR(IF(WEEKDAY(_xlfn.SINGLE(9:9),2)&gt;5,"WE",IF(VLOOKUP(AZ9,Paramètres!$C$3:$C$42,1,FALSE)=AZ9,"Férié","")),_xlfn._xlws.FILTER(Date_IA_PIP[Cérémonie],(Date_IA_PIP[Date début]&lt;=AZ9)*(Date_IA_PIP[[Date fin ]]&gt;=AZ9),"")))</f>
        <v>WE</v>
      </c>
      <c r="BA7" s="104" t="str" cm="1">
        <f t="array" ref="BA7">_xlfn.SINGLE(IFERROR(IF(WEEKDAY(_xlfn.SINGLE(9:9),2)&gt;5,"WE",IF(VLOOKUP(BA9,Paramètres!$C$3:$C$42,1,FALSE)=BA9,"Férié","")),_xlfn._xlws.FILTER(Date_IA_PIP[Cérémonie],(Date_IA_PIP[Date début]&lt;=BA9)*(Date_IA_PIP[[Date fin ]]&gt;=BA9),"")))</f>
        <v/>
      </c>
      <c r="BB7" s="104" t="str" cm="1">
        <f t="array" ref="BB7">_xlfn.SINGLE(IFERROR(IF(WEEKDAY(_xlfn.SINGLE(9:9),2)&gt;5,"WE",IF(VLOOKUP(BB9,Paramètres!$C$3:$C$42,1,FALSE)=BB9,"Férié","")),_xlfn._xlws.FILTER(Date_IA_PIP[Cérémonie],(Date_IA_PIP[Date début]&lt;=BB9)*(Date_IA_PIP[[Date fin ]]&gt;=BB9),"")))</f>
        <v/>
      </c>
      <c r="BC7" s="104" t="str" cm="1">
        <f t="array" ref="BC7">_xlfn.SINGLE(IFERROR(IF(WEEKDAY(_xlfn.SINGLE(9:9),2)&gt;5,"WE",IF(VLOOKUP(BC9,Paramètres!$C$3:$C$42,1,FALSE)=BC9,"Férié","")),_xlfn._xlws.FILTER(Date_IA_PIP[Cérémonie],(Date_IA_PIP[Date début]&lt;=BC9)*(Date_IA_PIP[[Date fin ]]&gt;=BC9),"")))</f>
        <v/>
      </c>
      <c r="BD7" s="104" t="str" cm="1">
        <f t="array" ref="BD7">_xlfn.SINGLE(IFERROR(IF(WEEKDAY(_xlfn.SINGLE(9:9),2)&gt;5,"WE",IF(VLOOKUP(BD9,Paramètres!$C$3:$C$42,1,FALSE)=BD9,"Férié","")),_xlfn._xlws.FILTER(Date_IA_PIP[Cérémonie],(Date_IA_PIP[Date début]&lt;=BD9)*(Date_IA_PIP[[Date fin ]]&gt;=BD9),"")))</f>
        <v/>
      </c>
      <c r="BE7" s="104" t="str" cm="1">
        <f t="array" ref="BE7">_xlfn.SINGLE(IFERROR(IF(WEEKDAY(_xlfn.SINGLE(9:9),2)&gt;5,"WE",IF(VLOOKUP(BE9,Paramètres!$C$3:$C$42,1,FALSE)=BE9,"Férié","")),_xlfn._xlws.FILTER(Date_IA_PIP[Cérémonie],(Date_IA_PIP[Date début]&lt;=BE9)*(Date_IA_PIP[[Date fin ]]&gt;=BE9),"")))</f>
        <v/>
      </c>
      <c r="BF7" s="104" t="str" cm="1">
        <f t="array" ref="BF7">_xlfn.SINGLE(IFERROR(IF(WEEKDAY(_xlfn.SINGLE(9:9),2)&gt;5,"WE",IF(VLOOKUP(BF9,Paramètres!$C$3:$C$42,1,FALSE)=BF9,"Férié","")),_xlfn._xlws.FILTER(Date_IA_PIP[Cérémonie],(Date_IA_PIP[Date début]&lt;=BF9)*(Date_IA_PIP[[Date fin ]]&gt;=BF9),"")))</f>
        <v>WE</v>
      </c>
      <c r="BG7" s="104" t="str" cm="1">
        <f t="array" ref="BG7">_xlfn.SINGLE(IFERROR(IF(WEEKDAY(_xlfn.SINGLE(9:9),2)&gt;5,"WE",IF(VLOOKUP(BG9,Paramètres!$C$3:$C$42,1,FALSE)=BG9,"Férié","")),_xlfn._xlws.FILTER(Date_IA_PIP[Cérémonie],(Date_IA_PIP[Date début]&lt;=BG9)*(Date_IA_PIP[[Date fin ]]&gt;=BG9),"")))</f>
        <v>WE</v>
      </c>
      <c r="BH7" s="104" t="str" cm="1">
        <f t="array" ref="BH7">_xlfn.SINGLE(IFERROR(IF(WEEKDAY(_xlfn.SINGLE(9:9),2)&gt;5,"WE",IF(VLOOKUP(BH9,Paramètres!$C$3:$C$42,1,FALSE)=BH9,"Férié","")),_xlfn._xlws.FILTER(Date_IA_PIP[Cérémonie],(Date_IA_PIP[Date début]&lt;=BH9)*(Date_IA_PIP[[Date fin ]]&gt;=BH9),"")))</f>
        <v/>
      </c>
      <c r="BI7" s="104" t="str" cm="1">
        <f t="array" ref="BI7">_xlfn.SINGLE(IFERROR(IF(WEEKDAY(_xlfn.SINGLE(9:9),2)&gt;5,"WE",IF(VLOOKUP(BI9,Paramètres!$C$3:$C$42,1,FALSE)=BI9,"Férié","")),_xlfn._xlws.FILTER(Date_IA_PIP[Cérémonie],(Date_IA_PIP[Date début]&lt;=BI9)*(Date_IA_PIP[[Date fin ]]&gt;=BI9),"")))</f>
        <v/>
      </c>
      <c r="BJ7" s="104" t="str" cm="1">
        <f t="array" ref="BJ7">_xlfn.SINGLE(IFERROR(IF(WEEKDAY(_xlfn.SINGLE(9:9),2)&gt;5,"WE",IF(VLOOKUP(BJ9,Paramètres!$C$3:$C$42,1,FALSE)=BJ9,"Férié","")),_xlfn._xlws.FILTER(Date_IA_PIP[Cérémonie],(Date_IA_PIP[Date début]&lt;=BJ9)*(Date_IA_PIP[[Date fin ]]&gt;=BJ9),"")))</f>
        <v/>
      </c>
      <c r="BK7" s="104" t="str" cm="1">
        <f t="array" ref="BK7">_xlfn.SINGLE(IFERROR(IF(WEEKDAY(_xlfn.SINGLE(9:9),2)&gt;5,"WE",IF(VLOOKUP(BK9,Paramètres!$C$3:$C$42,1,FALSE)=BK9,"Férié","")),_xlfn._xlws.FILTER(Date_IA_PIP[Cérémonie],(Date_IA_PIP[Date début]&lt;=BK9)*(Date_IA_PIP[[Date fin ]]&gt;=BK9),"")))</f>
        <v/>
      </c>
      <c r="BL7" s="104" t="str" cm="1">
        <f t="array" ref="BL7">_xlfn.SINGLE(IFERROR(IF(WEEKDAY(_xlfn.SINGLE(9:9),2)&gt;5,"WE",IF(VLOOKUP(BL9,Paramètres!$C$3:$C$42,1,FALSE)=BL9,"Férié","")),_xlfn._xlws.FILTER(Date_IA_PIP[Cérémonie],(Date_IA_PIP[Date début]&lt;=BL9)*(Date_IA_PIP[[Date fin ]]&gt;=BL9),"")))</f>
        <v/>
      </c>
      <c r="BM7" s="104" t="str" cm="1">
        <f t="array" ref="BM7">_xlfn.SINGLE(IFERROR(IF(WEEKDAY(_xlfn.SINGLE(9:9),2)&gt;5,"WE",IF(VLOOKUP(BM9,Paramètres!$C$3:$C$42,1,FALSE)=BM9,"Férié","")),_xlfn._xlws.FILTER(Date_IA_PIP[Cérémonie],(Date_IA_PIP[Date début]&lt;=BM9)*(Date_IA_PIP[[Date fin ]]&gt;=BM9),"")))</f>
        <v>WE</v>
      </c>
      <c r="BN7" s="104" t="str" cm="1">
        <f t="array" ref="BN7">_xlfn.SINGLE(IFERROR(IF(WEEKDAY(_xlfn.SINGLE(9:9),2)&gt;5,"WE",IF(VLOOKUP(BN9,Paramètres!$C$3:$C$42,1,FALSE)=BN9,"Férié","")),_xlfn._xlws.FILTER(Date_IA_PIP[Cérémonie],(Date_IA_PIP[Date début]&lt;=BN9)*(Date_IA_PIP[[Date fin ]]&gt;=BN9),"")))</f>
        <v>WE</v>
      </c>
      <c r="BO7" s="104" t="str" cm="1">
        <f t="array" ref="BO7">_xlfn.SINGLE(IFERROR(IF(WEEKDAY(_xlfn.SINGLE(9:9),2)&gt;5,"WE",IF(VLOOKUP(BO9,Paramètres!$C$3:$C$42,1,FALSE)=BO9,"Férié","")),_xlfn._xlws.FILTER(Date_IA_PIP[Cérémonie],(Date_IA_PIP[Date début]&lt;=BO9)*(Date_IA_PIP[[Date fin ]]&gt;=BO9),"")))</f>
        <v/>
      </c>
      <c r="BP7" s="104" t="str" cm="1">
        <f t="array" ref="BP7">_xlfn.SINGLE(IFERROR(IF(WEEKDAY(_xlfn.SINGLE(9:9),2)&gt;5,"WE",IF(VLOOKUP(BP9,Paramètres!$C$3:$C$42,1,FALSE)=BP9,"Férié","")),_xlfn._xlws.FILTER(Date_IA_PIP[Cérémonie],(Date_IA_PIP[Date début]&lt;=BP9)*(Date_IA_PIP[[Date fin ]]&gt;=BP9),"")))</f>
        <v/>
      </c>
      <c r="BQ7" s="104" t="str" cm="1">
        <f t="array" ref="BQ7">_xlfn.SINGLE(IFERROR(IF(WEEKDAY(_xlfn.SINGLE(9:9),2)&gt;5,"WE",IF(VLOOKUP(BQ9,Paramètres!$C$3:$C$42,1,FALSE)=BQ9,"Férié","")),_xlfn._xlws.FILTER(Date_IA_PIP[Cérémonie],(Date_IA_PIP[Date début]&lt;=BQ9)*(Date_IA_PIP[[Date fin ]]&gt;=BQ9),"")))</f>
        <v/>
      </c>
      <c r="BR7" s="104" t="str" cm="1">
        <f t="array" ref="BR7">_xlfn.SINGLE(IFERROR(IF(WEEKDAY(_xlfn.SINGLE(9:9),2)&gt;5,"WE",IF(VLOOKUP(BR9,Paramètres!$C$3:$C$42,1,FALSE)=BR9,"Férié","")),_xlfn._xlws.FILTER(Date_IA_PIP[Cérémonie],(Date_IA_PIP[Date début]&lt;=BR9)*(Date_IA_PIP[[Date fin ]]&gt;=BR9),"")))</f>
        <v/>
      </c>
      <c r="BS7" s="104" t="str" cm="1">
        <f t="array" ref="BS7">_xlfn.SINGLE(IFERROR(IF(WEEKDAY(_xlfn.SINGLE(9:9),2)&gt;5,"WE",IF(VLOOKUP(BS9,Paramètres!$C$3:$C$42,1,FALSE)=BS9,"Férié","")),_xlfn._xlws.FILTER(Date_IA_PIP[Cérémonie],(Date_IA_PIP[Date début]&lt;=BS9)*(Date_IA_PIP[[Date fin ]]&gt;=BS9),"")))</f>
        <v/>
      </c>
      <c r="BT7" s="104" t="str" cm="1">
        <f t="array" ref="BT7">_xlfn.SINGLE(IFERROR(IF(WEEKDAY(_xlfn.SINGLE(9:9),2)&gt;5,"WE",IF(VLOOKUP(BT9,Paramètres!$C$3:$C$42,1,FALSE)=BT9,"Férié","")),_xlfn._xlws.FILTER(Date_IA_PIP[Cérémonie],(Date_IA_PIP[Date début]&lt;=BT9)*(Date_IA_PIP[[Date fin ]]&gt;=BT9),"")))</f>
        <v>WE</v>
      </c>
      <c r="BU7" s="104" t="str" cm="1">
        <f t="array" ref="BU7">_xlfn.SINGLE(IFERROR(IF(WEEKDAY(_xlfn.SINGLE(9:9),2)&gt;5,"WE",IF(VLOOKUP(BU9,Paramètres!$C$3:$C$42,1,FALSE)=BU9,"Férié","")),_xlfn._xlws.FILTER(Date_IA_PIP[Cérémonie],(Date_IA_PIP[Date début]&lt;=BU9)*(Date_IA_PIP[[Date fin ]]&gt;=BU9),"")))</f>
        <v>WE</v>
      </c>
      <c r="BV7" s="104" t="str" cm="1">
        <f t="array" ref="BV7">_xlfn.SINGLE(IFERROR(IF(WEEKDAY(_xlfn.SINGLE(9:9),2)&gt;5,"WE",IF(VLOOKUP(BV9,Paramètres!$C$3:$C$42,1,FALSE)=BV9,"Férié","")),_xlfn._xlws.FILTER(Date_IA_PIP[Cérémonie],(Date_IA_PIP[Date début]&lt;=BV9)*(Date_IA_PIP[[Date fin ]]&gt;=BV9),"")))</f>
        <v/>
      </c>
      <c r="BW7" s="104" t="str" cm="1">
        <f t="array" ref="BW7">_xlfn.SINGLE(IFERROR(IF(WEEKDAY(_xlfn.SINGLE(9:9),2)&gt;5,"WE",IF(VLOOKUP(BW9,Paramètres!$C$3:$C$42,1,FALSE)=BW9,"Férié","")),_xlfn._xlws.FILTER(Date_IA_PIP[Cérémonie],(Date_IA_PIP[Date début]&lt;=BW9)*(Date_IA_PIP[[Date fin ]]&gt;=BW9),"")))</f>
        <v/>
      </c>
      <c r="BX7" s="104" t="str" cm="1">
        <f t="array" ref="BX7">_xlfn.SINGLE(IFERROR(IF(WEEKDAY(_xlfn.SINGLE(9:9),2)&gt;5,"WE",IF(VLOOKUP(BX9,Paramètres!$C$3:$C$42,1,FALSE)=BX9,"Férié","")),_xlfn._xlws.FILTER(Date_IA_PIP[Cérémonie],(Date_IA_PIP[Date début]&lt;=BX9)*(Date_IA_PIP[[Date fin ]]&gt;=BX9),"")))</f>
        <v/>
      </c>
      <c r="BY7" s="104" t="str" cm="1">
        <f t="array" ref="BY7">_xlfn.SINGLE(IFERROR(IF(WEEKDAY(_xlfn.SINGLE(9:9),2)&gt;5,"WE",IF(VLOOKUP(BY9,Paramètres!$C$3:$C$42,1,FALSE)=BY9,"Férié","")),_xlfn._xlws.FILTER(Date_IA_PIP[Cérémonie],(Date_IA_PIP[Date début]&lt;=BY9)*(Date_IA_PIP[[Date fin ]]&gt;=BY9),"")))</f>
        <v/>
      </c>
      <c r="BZ7" s="104" t="str" cm="1">
        <f t="array" ref="BZ7">_xlfn.SINGLE(IFERROR(IF(WEEKDAY(_xlfn.SINGLE(9:9),2)&gt;5,"WE",IF(VLOOKUP(BZ9,Paramètres!$C$3:$C$42,1,FALSE)=BZ9,"Férié","")),_xlfn._xlws.FILTER(Date_IA_PIP[Cérémonie],(Date_IA_PIP[Date début]&lt;=BZ9)*(Date_IA_PIP[[Date fin ]]&gt;=BZ9),"")))</f>
        <v>Présentiel</v>
      </c>
      <c r="CA7" s="104" t="str" cm="1">
        <f t="array" ref="CA7">_xlfn.SINGLE(IFERROR(IF(WEEKDAY(_xlfn.SINGLE(9:9),2)&gt;5,"WE",IF(VLOOKUP(CA9,Paramètres!$C$3:$C$42,1,FALSE)=CA9,"Férié","")),_xlfn._xlws.FILTER(Date_IA_PIP[Cérémonie],(Date_IA_PIP[Date début]&lt;=CA9)*(Date_IA_PIP[[Date fin ]]&gt;=CA9),"")))</f>
        <v>WE</v>
      </c>
      <c r="CB7" s="104" t="str" cm="1">
        <f t="array" ref="CB7">_xlfn.SINGLE(IFERROR(IF(WEEKDAY(_xlfn.SINGLE(9:9),2)&gt;5,"WE",IF(VLOOKUP(CB9,Paramètres!$C$3:$C$42,1,FALSE)=CB9,"Férié","")),_xlfn._xlws.FILTER(Date_IA_PIP[Cérémonie],(Date_IA_PIP[Date début]&lt;=CB9)*(Date_IA_PIP[[Date fin ]]&gt;=CB9),"")))</f>
        <v>WE</v>
      </c>
      <c r="CC7" s="104" t="str" cm="1">
        <f t="array" ref="CC7">_xlfn.SINGLE(IFERROR(IF(WEEKDAY(_xlfn.SINGLE(9:9),2)&gt;5,"WE",IF(VLOOKUP(CC9,Paramètres!$C$3:$C$42,1,FALSE)=CC9,"Férié","")),_xlfn._xlws.FILTER(Date_IA_PIP[Cérémonie],(Date_IA_PIP[Date début]&lt;=CC9)*(Date_IA_PIP[[Date fin ]]&gt;=CC9),"")))</f>
        <v/>
      </c>
      <c r="CD7" s="104" t="str" cm="1">
        <f t="array" ref="CD7">_xlfn.SINGLE(IFERROR(IF(WEEKDAY(_xlfn.SINGLE(9:9),2)&gt;5,"WE",IF(VLOOKUP(CD9,Paramètres!$C$3:$C$42,1,FALSE)=CD9,"Férié","")),_xlfn._xlws.FILTER(Date_IA_PIP[Cérémonie],(Date_IA_PIP[Date début]&lt;=CD9)*(Date_IA_PIP[[Date fin ]]&gt;=CD9),"")))</f>
        <v/>
      </c>
      <c r="CE7" s="104" t="str" cm="1">
        <f t="array" ref="CE7">_xlfn.SINGLE(IFERROR(IF(WEEKDAY(_xlfn.SINGLE(9:9),2)&gt;5,"WE",IF(VLOOKUP(CE9,Paramètres!$C$3:$C$42,1,FALSE)=CE9,"Férié","")),_xlfn._xlws.FILTER(Date_IA_PIP[Cérémonie],(Date_IA_PIP[Date début]&lt;=CE9)*(Date_IA_PIP[[Date fin ]]&gt;=CE9),"")))</f>
        <v/>
      </c>
      <c r="CF7" s="104" t="str" cm="1">
        <f t="array" ref="CF7">_xlfn.SINGLE(IFERROR(IF(WEEKDAY(_xlfn.SINGLE(9:9),2)&gt;5,"WE",IF(VLOOKUP(CF9,Paramètres!$C$3:$C$42,1,FALSE)=CF9,"Férié","")),_xlfn._xlws.FILTER(Date_IA_PIP[Cérémonie],(Date_IA_PIP[Date début]&lt;=CF9)*(Date_IA_PIP[[Date fin ]]&gt;=CF9),"")))</f>
        <v/>
      </c>
      <c r="CG7" s="104" t="str" cm="1">
        <f t="array" ref="CG7">_xlfn.SINGLE(IFERROR(IF(WEEKDAY(_xlfn.SINGLE(9:9),2)&gt;5,"WE",IF(VLOOKUP(CG9,Paramètres!$C$3:$C$42,1,FALSE)=CG9,"Férié","")),_xlfn._xlws.FILTER(Date_IA_PIP[Cérémonie],(Date_IA_PIP[Date début]&lt;=CG9)*(Date_IA_PIP[[Date fin ]]&gt;=CG9),"")))</f>
        <v/>
      </c>
      <c r="CH7" s="104" t="str" cm="1">
        <f t="array" ref="CH7">_xlfn.SINGLE(IFERROR(IF(WEEKDAY(_xlfn.SINGLE(9:9),2)&gt;5,"WE",IF(VLOOKUP(CH9,Paramètres!$C$3:$C$42,1,FALSE)=CH9,"Férié","")),_xlfn._xlws.FILTER(Date_IA_PIP[Cérémonie],(Date_IA_PIP[Date début]&lt;=CH9)*(Date_IA_PIP[[Date fin ]]&gt;=CH9),"")))</f>
        <v>WE</v>
      </c>
      <c r="CI7" s="104" t="str" cm="1">
        <f t="array" ref="CI7">_xlfn.SINGLE(IFERROR(IF(WEEKDAY(_xlfn.SINGLE(9:9),2)&gt;5,"WE",IF(VLOOKUP(CI9,Paramètres!$C$3:$C$42,1,FALSE)=CI9,"Férié","")),_xlfn._xlws.FILTER(Date_IA_PIP[Cérémonie],(Date_IA_PIP[Date début]&lt;=CI9)*(Date_IA_PIP[[Date fin ]]&gt;=CI9),"")))</f>
        <v>WE</v>
      </c>
      <c r="CJ7" s="104" t="str" cm="1">
        <f t="array" ref="CJ7">_xlfn.SINGLE(IFERROR(IF(WEEKDAY(_xlfn.SINGLE(9:9),2)&gt;5,"WE",IF(VLOOKUP(CJ9,Paramètres!$C$3:$C$42,1,FALSE)=CJ9,"Férié","")),_xlfn._xlws.FILTER(Date_IA_PIP[Cérémonie],(Date_IA_PIP[Date début]&lt;=CJ9)*(Date_IA_PIP[[Date fin ]]&gt;=CJ9),"")))</f>
        <v/>
      </c>
      <c r="CK7" s="104" t="str" cm="1">
        <f t="array" ref="CK7">_xlfn.SINGLE(IFERROR(IF(WEEKDAY(_xlfn.SINGLE(9:9),2)&gt;5,"WE",IF(VLOOKUP(CK9,Paramètres!$C$3:$C$42,1,FALSE)=CK9,"Férié","")),_xlfn._xlws.FILTER(Date_IA_PIP[Cérémonie],(Date_IA_PIP[Date début]&lt;=CK9)*(Date_IA_PIP[[Date fin ]]&gt;=CK9),"")))</f>
        <v/>
      </c>
      <c r="CL7" s="104" t="str" cm="1">
        <f t="array" ref="CL7">_xlfn.SINGLE(IFERROR(IF(WEEKDAY(_xlfn.SINGLE(9:9),2)&gt;5,"WE",IF(VLOOKUP(CL9,Paramètres!$C$3:$C$42,1,FALSE)=CL9,"Férié","")),_xlfn._xlws.FILTER(Date_IA_PIP[Cérémonie],(Date_IA_PIP[Date début]&lt;=CL9)*(Date_IA_PIP[[Date fin ]]&gt;=CL9),"")))</f>
        <v/>
      </c>
      <c r="CM7" s="104" t="str" cm="1">
        <f t="array" ref="CM7">_xlfn.SINGLE(IFERROR(IF(WEEKDAY(_xlfn.SINGLE(9:9),2)&gt;5,"WE",IF(VLOOKUP(CM9,Paramètres!$C$3:$C$42,1,FALSE)=CM9,"Férié","")),_xlfn._xlws.FILTER(Date_IA_PIP[Cérémonie],(Date_IA_PIP[Date début]&lt;=CM9)*(Date_IA_PIP[[Date fin ]]&gt;=CM9),"")))</f>
        <v/>
      </c>
      <c r="CN7" s="104" t="str" cm="1">
        <f t="array" ref="CN7">_xlfn.SINGLE(IFERROR(IF(WEEKDAY(_xlfn.SINGLE(9:9),2)&gt;5,"WE",IF(VLOOKUP(CN9,Paramètres!$C$3:$C$42,1,FALSE)=CN9,"Férié","")),_xlfn._xlws.FILTER(Date_IA_PIP[Cérémonie],(Date_IA_PIP[Date début]&lt;=CN9)*(Date_IA_PIP[[Date fin ]]&gt;=CN9),"")))</f>
        <v/>
      </c>
      <c r="CO7" s="104" t="str" cm="1">
        <f t="array" ref="CO7">_xlfn.SINGLE(IFERROR(IF(WEEKDAY(_xlfn.SINGLE(9:9),2)&gt;5,"WE",IF(VLOOKUP(CO9,Paramètres!$C$3:$C$42,1,FALSE)=CO9,"Férié","")),_xlfn._xlws.FILTER(Date_IA_PIP[Cérémonie],(Date_IA_PIP[Date début]&lt;=CO9)*(Date_IA_PIP[[Date fin ]]&gt;=CO9),"")))</f>
        <v>WE</v>
      </c>
      <c r="CP7" s="104" t="str" cm="1">
        <f t="array" ref="CP7">_xlfn.SINGLE(IFERROR(IF(WEEKDAY(_xlfn.SINGLE(9:9),2)&gt;5,"WE",IF(VLOOKUP(CP9,Paramètres!$C$3:$C$42,1,FALSE)=CP9,"Férié","")),_xlfn._xlws.FILTER(Date_IA_PIP[Cérémonie],(Date_IA_PIP[Date début]&lt;=CP9)*(Date_IA_PIP[[Date fin ]]&gt;=CP9),"")))</f>
        <v>WE</v>
      </c>
      <c r="CQ7" s="104" t="str" cm="1">
        <f t="array" ref="CQ7">_xlfn.SINGLE(IFERROR(IF(WEEKDAY(_xlfn.SINGLE(9:9),2)&gt;5,"WE",IF(VLOOKUP(CQ9,Paramètres!$C$3:$C$42,1,FALSE)=CQ9,"Férié","")),_xlfn._xlws.FILTER(Date_IA_PIP[Cérémonie],(Date_IA_PIP[Date début]&lt;=CQ9)*(Date_IA_PIP[[Date fin ]]&gt;=CQ9),"")))</f>
        <v/>
      </c>
      <c r="CR7" s="104" t="str" cm="1">
        <f t="array" ref="CR7">_xlfn.SINGLE(IFERROR(IF(WEEKDAY(_xlfn.SINGLE(9:9),2)&gt;5,"WE",IF(VLOOKUP(CR9,Paramètres!$C$3:$C$42,1,FALSE)=CR9,"Férié","")),_xlfn._xlws.FILTER(Date_IA_PIP[Cérémonie],(Date_IA_PIP[Date début]&lt;=CR9)*(Date_IA_PIP[[Date fin ]]&gt;=CR9),"")))</f>
        <v>I&amp;A</v>
      </c>
      <c r="CS7" s="104" t="str" cm="1">
        <f t="array" ref="CS7">_xlfn.SINGLE(IFERROR(IF(WEEKDAY(_xlfn.SINGLE(9:9),2)&gt;5,"WE",IF(VLOOKUP(CS9,Paramètres!$C$3:$C$42,1,FALSE)=CS9,"Férié","")),_xlfn._xlws.FILTER(Date_IA_PIP[Cérémonie],(Date_IA_PIP[Date début]&lt;=CS9)*(Date_IA_PIP[[Date fin ]]&gt;=CS9),"")))</f>
        <v>PIP</v>
      </c>
      <c r="CT7" s="104" t="str" cm="1">
        <f t="array" ref="CT7">_xlfn.SINGLE(IFERROR(IF(WEEKDAY(_xlfn.SINGLE(9:9),2)&gt;5,"WE",IF(VLOOKUP(CT9,Paramètres!$C$3:$C$42,1,FALSE)=CT9,"Férié","")),_xlfn._xlws.FILTER(Date_IA_PIP[Cérémonie],(Date_IA_PIP[Date début]&lt;=CT9)*(Date_IA_PIP[[Date fin ]]&gt;=CT9),"")))</f>
        <v>PIP</v>
      </c>
      <c r="CU7" s="104" t="str" cm="1">
        <f t="array" ref="CU7">_xlfn.SINGLE(IFERROR(IF(WEEKDAY(_xlfn.SINGLE(9:9),2)&gt;5,"WE",IF(VLOOKUP(CU9,Paramètres!$C$3:$C$42,1,FALSE)=CU9,"Férié","")),_xlfn._xlws.FILTER(Date_IA_PIP[Cérémonie],(Date_IA_PIP[Date début]&lt;=CU9)*(Date_IA_PIP[[Date fin ]]&gt;=CU9),"")))</f>
        <v/>
      </c>
      <c r="CV7" s="104" t="str" cm="1">
        <f t="array" ref="CV7">_xlfn.SINGLE(IFERROR(IF(WEEKDAY(_xlfn.SINGLE(9:9),2)&gt;5,"WE",IF(VLOOKUP(CV9,Paramètres!$C$3:$C$42,1,FALSE)=CV9,"Férié","")),_xlfn._xlws.FILTER(Date_IA_PIP[Cérémonie],(Date_IA_PIP[Date début]&lt;=CV9)*(Date_IA_PIP[[Date fin ]]&gt;=CV9),"")))</f>
        <v>WE</v>
      </c>
      <c r="CW7" s="104" t="str" cm="1">
        <f t="array" ref="CW7">_xlfn.SINGLE(IFERROR(IF(WEEKDAY(_xlfn.SINGLE(9:9),2)&gt;5,"WE",IF(VLOOKUP(CW9,Paramètres!$C$3:$C$42,1,FALSE)=CW9,"Férié","")),_xlfn._xlws.FILTER(Date_IA_PIP[Cérémonie],(Date_IA_PIP[Date début]&lt;=CW9)*(Date_IA_PIP[[Date fin ]]&gt;=CW9),"")))</f>
        <v>WE</v>
      </c>
      <c r="CX7" s="104" t="str" cm="1">
        <f t="array" ref="CX7">_xlfn.SINGLE(IFERROR(IF(WEEKDAY(_xlfn.SINGLE(9:9),2)&gt;5,"WE",IF(VLOOKUP(CX9,Paramètres!$C$3:$C$42,1,FALSE)=CX9,"Férié","")),_xlfn._xlws.FILTER(Date_IA_PIP[Cérémonie],(Date_IA_PIP[Date début]&lt;=CX9)*(Date_IA_PIP[[Date fin ]]&gt;=CX9),"")))</f>
        <v/>
      </c>
      <c r="CY7" s="104" t="str" cm="1">
        <f t="array" ref="CY7">_xlfn.SINGLE(IFERROR(IF(WEEKDAY(_xlfn.SINGLE(9:9),2)&gt;5,"WE",IF(VLOOKUP(CY9,Paramètres!$C$3:$C$42,1,FALSE)=CY9,"Férié","")),_xlfn._xlws.FILTER(Date_IA_PIP[Cérémonie],(Date_IA_PIP[Date début]&lt;=CY9)*(Date_IA_PIP[[Date fin ]]&gt;=CY9),"")))</f>
        <v/>
      </c>
      <c r="CZ7" s="104" t="str" cm="1">
        <f t="array" ref="CZ7">_xlfn.SINGLE(IFERROR(IF(WEEKDAY(_xlfn.SINGLE(9:9),2)&gt;5,"WE",IF(VLOOKUP(CZ9,Paramètres!$C$3:$C$42,1,FALSE)=CZ9,"Férié","")),_xlfn._xlws.FILTER(Date_IA_PIP[Cérémonie],(Date_IA_PIP[Date début]&lt;=CZ9)*(Date_IA_PIP[[Date fin ]]&gt;=CZ9),"")))</f>
        <v/>
      </c>
      <c r="DA7" s="104" t="str" cm="1">
        <f t="array" ref="DA7">_xlfn.SINGLE(IFERROR(IF(WEEKDAY(_xlfn.SINGLE(9:9),2)&gt;5,"WE",IF(VLOOKUP(DA9,Paramètres!$C$3:$C$42,1,FALSE)=DA9,"Férié","")),_xlfn._xlws.FILTER(Date_IA_PIP[Cérémonie],(Date_IA_PIP[Date début]&lt;=DA9)*(Date_IA_PIP[[Date fin ]]&gt;=DA9),"")))</f>
        <v/>
      </c>
      <c r="DB7" s="104" t="str" cm="1">
        <f t="array" ref="DB7">_xlfn.SINGLE(IFERROR(IF(WEEKDAY(_xlfn.SINGLE(9:9),2)&gt;5,"WE",IF(VLOOKUP(DB9,Paramètres!$C$3:$C$42,1,FALSE)=DB9,"Férié","")),_xlfn._xlws.FILTER(Date_IA_PIP[Cérémonie],(Date_IA_PIP[Date début]&lt;=DB9)*(Date_IA_PIP[[Date fin ]]&gt;=DB9),"")))</f>
        <v/>
      </c>
      <c r="DC7" s="104" t="str" cm="1">
        <f t="array" ref="DC7">_xlfn.SINGLE(IFERROR(IF(WEEKDAY(_xlfn.SINGLE(9:9),2)&gt;5,"WE",IF(VLOOKUP(DC9,Paramètres!$C$3:$C$42,1,FALSE)=DC9,"Férié","")),_xlfn._xlws.FILTER(Date_IA_PIP[Cérémonie],(Date_IA_PIP[Date début]&lt;=DC9)*(Date_IA_PIP[[Date fin ]]&gt;=DC9),"")))</f>
        <v>WE</v>
      </c>
      <c r="DD7" s="104" t="str" cm="1">
        <f t="array" ref="DD7">_xlfn.SINGLE(IFERROR(IF(WEEKDAY(_xlfn.SINGLE(9:9),2)&gt;5,"WE",IF(VLOOKUP(DD9,Paramètres!$C$3:$C$42,1,FALSE)=DD9,"Férié","")),_xlfn._xlws.FILTER(Date_IA_PIP[Cérémonie],(Date_IA_PIP[Date début]&lt;=DD9)*(Date_IA_PIP[[Date fin ]]&gt;=DD9),"")))</f>
        <v>WE</v>
      </c>
      <c r="DE7" s="104" t="str" cm="1">
        <f t="array" ref="DE7">_xlfn.SINGLE(IFERROR(IF(WEEKDAY(_xlfn.SINGLE(9:9),2)&gt;5,"WE",IF(VLOOKUP(DE9,Paramètres!$C$3:$C$42,1,FALSE)=DE9,"Férié","")),_xlfn._xlws.FILTER(Date_IA_PIP[Cérémonie],(Date_IA_PIP[Date début]&lt;=DE9)*(Date_IA_PIP[[Date fin ]]&gt;=DE9),"")))</f>
        <v/>
      </c>
      <c r="DF7" s="104" t="str" cm="1">
        <f t="array" ref="DF7">_xlfn.SINGLE(IFERROR(IF(WEEKDAY(_xlfn.SINGLE(9:9),2)&gt;5,"WE",IF(VLOOKUP(DF9,Paramètres!$C$3:$C$42,1,FALSE)=DF9,"Férié","")),_xlfn._xlws.FILTER(Date_IA_PIP[Cérémonie],(Date_IA_PIP[Date début]&lt;=DF9)*(Date_IA_PIP[[Date fin ]]&gt;=DF9),"")))</f>
        <v/>
      </c>
      <c r="DG7" s="104" t="str" cm="1">
        <f t="array" ref="DG7">_xlfn.SINGLE(IFERROR(IF(WEEKDAY(_xlfn.SINGLE(9:9),2)&gt;5,"WE",IF(VLOOKUP(DG9,Paramètres!$C$3:$C$42,1,FALSE)=DG9,"Férié","")),_xlfn._xlws.FILTER(Date_IA_PIP[Cérémonie],(Date_IA_PIP[Date début]&lt;=DG9)*(Date_IA_PIP[[Date fin ]]&gt;=DG9),"")))</f>
        <v/>
      </c>
      <c r="DH7" s="104" t="str" cm="1">
        <f t="array" ref="DH7">_xlfn.SINGLE(IFERROR(IF(WEEKDAY(_xlfn.SINGLE(9:9),2)&gt;5,"WE",IF(VLOOKUP(DH9,Paramètres!$C$3:$C$42,1,FALSE)=DH9,"Férié","")),_xlfn._xlws.FILTER(Date_IA_PIP[Cérémonie],(Date_IA_PIP[Date début]&lt;=DH9)*(Date_IA_PIP[[Date fin ]]&gt;=DH9),"")))</f>
        <v/>
      </c>
      <c r="DI7" s="104" t="str" cm="1">
        <f t="array" ref="DI7">_xlfn.SINGLE(IFERROR(IF(WEEKDAY(_xlfn.SINGLE(9:9),2)&gt;5,"WE",IF(VLOOKUP(DI9,Paramètres!$C$3:$C$42,1,FALSE)=DI9,"Férié","")),_xlfn._xlws.FILTER(Date_IA_PIP[Cérémonie],(Date_IA_PIP[Date début]&lt;=DI9)*(Date_IA_PIP[[Date fin ]]&gt;=DI9),"")))</f>
        <v/>
      </c>
      <c r="DJ7" s="104" t="str" cm="1">
        <f t="array" ref="DJ7">_xlfn.SINGLE(IFERROR(IF(WEEKDAY(_xlfn.SINGLE(9:9),2)&gt;5,"WE",IF(VLOOKUP(DJ9,Paramètres!$C$3:$C$42,1,FALSE)=DJ9,"Férié","")),_xlfn._xlws.FILTER(Date_IA_PIP[Cérémonie],(Date_IA_PIP[Date début]&lt;=DJ9)*(Date_IA_PIP[[Date fin ]]&gt;=DJ9),"")))</f>
        <v>WE</v>
      </c>
      <c r="DK7" s="104" t="str" cm="1">
        <f t="array" ref="DK7">_xlfn.SINGLE(IFERROR(IF(WEEKDAY(_xlfn.SINGLE(9:9),2)&gt;5,"WE",IF(VLOOKUP(DK9,Paramètres!$C$3:$C$42,1,FALSE)=DK9,"Férié","")),_xlfn._xlws.FILTER(Date_IA_PIP[Cérémonie],(Date_IA_PIP[Date début]&lt;=DK9)*(Date_IA_PIP[[Date fin ]]&gt;=DK9),"")))</f>
        <v>WE</v>
      </c>
      <c r="DL7" s="104" t="str" cm="1">
        <f t="array" ref="DL7">_xlfn.SINGLE(IFERROR(IF(WEEKDAY(_xlfn.SINGLE(9:9),2)&gt;5,"WE",IF(VLOOKUP(DL9,Paramètres!$C$3:$C$42,1,FALSE)=DL9,"Férié","")),_xlfn._xlws.FILTER(Date_IA_PIP[Cérémonie],(Date_IA_PIP[Date début]&lt;=DL9)*(Date_IA_PIP[[Date fin ]]&gt;=DL9),"")))</f>
        <v/>
      </c>
      <c r="DM7" s="104" t="str" cm="1">
        <f t="array" ref="DM7">_xlfn.SINGLE(IFERROR(IF(WEEKDAY(_xlfn.SINGLE(9:9),2)&gt;5,"WE",IF(VLOOKUP(DM9,Paramètres!$C$3:$C$42,1,FALSE)=DM9,"Férié","")),_xlfn._xlws.FILTER(Date_IA_PIP[Cérémonie],(Date_IA_PIP[Date début]&lt;=DM9)*(Date_IA_PIP[[Date fin ]]&gt;=DM9),"")))</f>
        <v/>
      </c>
      <c r="DN7" s="104" t="str" cm="1">
        <f t="array" ref="DN7">_xlfn.SINGLE(IFERROR(IF(WEEKDAY(_xlfn.SINGLE(9:9),2)&gt;5,"WE",IF(VLOOKUP(DN9,Paramètres!$C$3:$C$42,1,FALSE)=DN9,"Férié","")),_xlfn._xlws.FILTER(Date_IA_PIP[Cérémonie],(Date_IA_PIP[Date début]&lt;=DN9)*(Date_IA_PIP[[Date fin ]]&gt;=DN9),"")))</f>
        <v/>
      </c>
      <c r="DO7" s="104" t="str" cm="1">
        <f t="array" ref="DO7">_xlfn.SINGLE(IFERROR(IF(WEEKDAY(_xlfn.SINGLE(9:9),2)&gt;5,"WE",IF(VLOOKUP(DO9,Paramètres!$C$3:$C$42,1,FALSE)=DO9,"Férié","")),_xlfn._xlws.FILTER(Date_IA_PIP[Cérémonie],(Date_IA_PIP[Date début]&lt;=DO9)*(Date_IA_PIP[[Date fin ]]&gt;=DO9),"")))</f>
        <v/>
      </c>
      <c r="DP7" s="104" t="str" cm="1">
        <f t="array" ref="DP7">_xlfn.SINGLE(IFERROR(IF(WEEKDAY(_xlfn.SINGLE(9:9),2)&gt;5,"WE",IF(VLOOKUP(DP9,Paramètres!$C$3:$C$42,1,FALSE)=DP9,"Férié","")),_xlfn._xlws.FILTER(Date_IA_PIP[Cérémonie],(Date_IA_PIP[Date début]&lt;=DP9)*(Date_IA_PIP[[Date fin ]]&gt;=DP9),"")))</f>
        <v/>
      </c>
      <c r="DQ7" s="104" t="str" cm="1">
        <f t="array" ref="DQ7">_xlfn.SINGLE(IFERROR(IF(WEEKDAY(_xlfn.SINGLE(9:9),2)&gt;5,"WE",IF(VLOOKUP(DQ9,Paramètres!$C$3:$C$42,1,FALSE)=DQ9,"Férié","")),_xlfn._xlws.FILTER(Date_IA_PIP[Cérémonie],(Date_IA_PIP[Date début]&lt;=DQ9)*(Date_IA_PIP[[Date fin ]]&gt;=DQ9),"")))</f>
        <v>WE</v>
      </c>
      <c r="DR7" s="104" t="str" cm="1">
        <f t="array" ref="DR7">_xlfn.SINGLE(IFERROR(IF(WEEKDAY(_xlfn.SINGLE(9:9),2)&gt;5,"WE",IF(VLOOKUP(DR9,Paramètres!$C$3:$C$42,1,FALSE)=DR9,"Férié","")),_xlfn._xlws.FILTER(Date_IA_PIP[Cérémonie],(Date_IA_PIP[Date début]&lt;=DR9)*(Date_IA_PIP[[Date fin ]]&gt;=DR9),"")))</f>
        <v>WE</v>
      </c>
      <c r="DS7" s="104" t="str" cm="1">
        <f t="array" ref="DS7">_xlfn.SINGLE(IFERROR(IF(WEEKDAY(_xlfn.SINGLE(9:9),2)&gt;5,"WE",IF(VLOOKUP(DS9,Paramètres!$C$3:$C$42,1,FALSE)=DS9,"Férié","")),_xlfn._xlws.FILTER(Date_IA_PIP[Cérémonie],(Date_IA_PIP[Date début]&lt;=DS9)*(Date_IA_PIP[[Date fin ]]&gt;=DS9),"")))</f>
        <v/>
      </c>
      <c r="DT7" s="104" t="str" cm="1">
        <f t="array" ref="DT7">_xlfn.SINGLE(IFERROR(IF(WEEKDAY(_xlfn.SINGLE(9:9),2)&gt;5,"WE",IF(VLOOKUP(DT9,Paramètres!$C$3:$C$42,1,FALSE)=DT9,"Férié","")),_xlfn._xlws.FILTER(Date_IA_PIP[Cérémonie],(Date_IA_PIP[Date début]&lt;=DT9)*(Date_IA_PIP[[Date fin ]]&gt;=DT9),"")))</f>
        <v/>
      </c>
      <c r="DU7" s="104" t="str" cm="1">
        <f t="array" ref="DU7">_xlfn.SINGLE(IFERROR(IF(WEEKDAY(_xlfn.SINGLE(9:9),2)&gt;5,"WE",IF(VLOOKUP(DU9,Paramètres!$C$3:$C$42,1,FALSE)=DU9,"Férié","")),_xlfn._xlws.FILTER(Date_IA_PIP[Cérémonie],(Date_IA_PIP[Date début]&lt;=DU9)*(Date_IA_PIP[[Date fin ]]&gt;=DU9),"")))</f>
        <v/>
      </c>
      <c r="DV7" s="104" t="str" cm="1">
        <f t="array" ref="DV7">_xlfn.SINGLE(IFERROR(IF(WEEKDAY(_xlfn.SINGLE(9:9),2)&gt;5,"WE",IF(VLOOKUP(DV9,Paramètres!$C$3:$C$42,1,FALSE)=DV9,"Férié","")),_xlfn._xlws.FILTER(Date_IA_PIP[Cérémonie],(Date_IA_PIP[Date début]&lt;=DV9)*(Date_IA_PIP[[Date fin ]]&gt;=DV9),"")))</f>
        <v/>
      </c>
      <c r="DW7" s="104" t="str" cm="1">
        <f t="array" ref="DW7">_xlfn.SINGLE(IFERROR(IF(WEEKDAY(_xlfn.SINGLE(9:9),2)&gt;5,"WE",IF(VLOOKUP(DW9,Paramètres!$C$3:$C$42,1,FALSE)=DW9,"Férié","")),_xlfn._xlws.FILTER(Date_IA_PIP[Cérémonie],(Date_IA_PIP[Date début]&lt;=DW9)*(Date_IA_PIP[[Date fin ]]&gt;=DW9),"")))</f>
        <v/>
      </c>
      <c r="DX7" s="104" t="str" cm="1">
        <f t="array" ref="DX7">_xlfn.SINGLE(IFERROR(IF(WEEKDAY(_xlfn.SINGLE(9:9),2)&gt;5,"WE",IF(VLOOKUP(DX9,Paramètres!$C$3:$C$42,1,FALSE)=DX9,"Férié","")),_xlfn._xlws.FILTER(Date_IA_PIP[Cérémonie],(Date_IA_PIP[Date début]&lt;=DX9)*(Date_IA_PIP[[Date fin ]]&gt;=DX9),"")))</f>
        <v>WE</v>
      </c>
      <c r="DY7" s="104" t="str" cm="1">
        <f t="array" ref="DY7">_xlfn.SINGLE(IFERROR(IF(WEEKDAY(_xlfn.SINGLE(9:9),2)&gt;5,"WE",IF(VLOOKUP(DY9,Paramètres!$C$3:$C$42,1,FALSE)=DY9,"Férié","")),_xlfn._xlws.FILTER(Date_IA_PIP[Cérémonie],(Date_IA_PIP[Date début]&lt;=DY9)*(Date_IA_PIP[[Date fin ]]&gt;=DY9),"")))</f>
        <v>WE</v>
      </c>
      <c r="DZ7" s="104" t="str" cm="1">
        <f t="array" ref="DZ7">_xlfn.SINGLE(IFERROR(IF(WEEKDAY(_xlfn.SINGLE(9:9),2)&gt;5,"WE",IF(VLOOKUP(DZ9,Paramètres!$C$3:$C$42,1,FALSE)=DZ9,"Férié","")),_xlfn._xlws.FILTER(Date_IA_PIP[Cérémonie],(Date_IA_PIP[Date début]&lt;=DZ9)*(Date_IA_PIP[[Date fin ]]&gt;=DZ9),"")))</f>
        <v/>
      </c>
      <c r="EA7" s="104" t="str" cm="1">
        <f t="array" ref="EA7">_xlfn.SINGLE(IFERROR(IF(WEEKDAY(_xlfn.SINGLE(9:9),2)&gt;5,"WE",IF(VLOOKUP(EA9,Paramètres!$C$3:$C$42,1,FALSE)=EA9,"Férié","")),_xlfn._xlws.FILTER(Date_IA_PIP[Cérémonie],(Date_IA_PIP[Date début]&lt;=EA9)*(Date_IA_PIP[[Date fin ]]&gt;=EA9),"")))</f>
        <v/>
      </c>
      <c r="EB7" s="104" t="str" cm="1">
        <f t="array" ref="EB7">_xlfn.SINGLE(IFERROR(IF(WEEKDAY(_xlfn.SINGLE(9:9),2)&gt;5,"WE",IF(VLOOKUP(EB9,Paramètres!$C$3:$C$42,1,FALSE)=EB9,"Férié","")),_xlfn._xlws.FILTER(Date_IA_PIP[Cérémonie],(Date_IA_PIP[Date début]&lt;=EB9)*(Date_IA_PIP[[Date fin ]]&gt;=EB9),"")))</f>
        <v/>
      </c>
      <c r="EC7" s="104" t="str" cm="1">
        <f t="array" ref="EC7">_xlfn.SINGLE(IFERROR(IF(WEEKDAY(_xlfn.SINGLE(9:9),2)&gt;5,"WE",IF(VLOOKUP(EC9,Paramètres!$C$3:$C$42,1,FALSE)=EC9,"Férié","")),_xlfn._xlws.FILTER(Date_IA_PIP[Cérémonie],(Date_IA_PIP[Date début]&lt;=EC9)*(Date_IA_PIP[[Date fin ]]&gt;=EC9),"")))</f>
        <v/>
      </c>
      <c r="ED7" s="104" t="str" cm="1">
        <f t="array" ref="ED7">_xlfn.SINGLE(IFERROR(IF(WEEKDAY(_xlfn.SINGLE(9:9),2)&gt;5,"WE",IF(VLOOKUP(ED9,Paramètres!$C$3:$C$42,1,FALSE)=ED9,"Férié","")),_xlfn._xlws.FILTER(Date_IA_PIP[Cérémonie],(Date_IA_PIP[Date début]&lt;=ED9)*(Date_IA_PIP[[Date fin ]]&gt;=ED9),"")))</f>
        <v/>
      </c>
      <c r="EE7" s="104" t="str" cm="1">
        <f t="array" ref="EE7">_xlfn.SINGLE(IFERROR(IF(WEEKDAY(_xlfn.SINGLE(9:9),2)&gt;5,"WE",IF(VLOOKUP(EE9,Paramètres!$C$3:$C$42,1,FALSE)=EE9,"Férié","")),_xlfn._xlws.FILTER(Date_IA_PIP[Cérémonie],(Date_IA_PIP[Date début]&lt;=EE9)*(Date_IA_PIP[[Date fin ]]&gt;=EE9),"")))</f>
        <v>WE</v>
      </c>
      <c r="EF7" s="104" t="str" cm="1">
        <f t="array" ref="EF7">_xlfn.SINGLE(IFERROR(IF(WEEKDAY(_xlfn.SINGLE(9:9),2)&gt;5,"WE",IF(VLOOKUP(EF9,Paramètres!$C$3:$C$42,1,FALSE)=EF9,"Férié","")),_xlfn._xlws.FILTER(Date_IA_PIP[Cérémonie],(Date_IA_PIP[Date début]&lt;=EF9)*(Date_IA_PIP[[Date fin ]]&gt;=EF9),"")))</f>
        <v>WE</v>
      </c>
      <c r="EG7" s="104" t="str" cm="1">
        <f t="array" ref="EG7">_xlfn.SINGLE(IFERROR(IF(WEEKDAY(_xlfn.SINGLE(9:9),2)&gt;5,"WE",IF(VLOOKUP(EG9,Paramètres!$C$3:$C$42,1,FALSE)=EG9,"Férié","")),_xlfn._xlws.FILTER(Date_IA_PIP[Cérémonie],(Date_IA_PIP[Date début]&lt;=EG9)*(Date_IA_PIP[[Date fin ]]&gt;=EG9),"")))</f>
        <v/>
      </c>
      <c r="EH7" s="104" t="str" cm="1">
        <f t="array" ref="EH7">_xlfn.SINGLE(IFERROR(IF(WEEKDAY(_xlfn.SINGLE(9:9),2)&gt;5,"WE",IF(VLOOKUP(EH9,Paramètres!$C$3:$C$42,1,FALSE)=EH9,"Férié","")),_xlfn._xlws.FILTER(Date_IA_PIP[Cérémonie],(Date_IA_PIP[Date début]&lt;=EH9)*(Date_IA_PIP[[Date fin ]]&gt;=EH9),"")))</f>
        <v/>
      </c>
      <c r="EI7" s="104" t="str" cm="1">
        <f t="array" ref="EI7">_xlfn.SINGLE(IFERROR(IF(WEEKDAY(_xlfn.SINGLE(9:9),2)&gt;5,"WE",IF(VLOOKUP(EI9,Paramètres!$C$3:$C$42,1,FALSE)=EI9,"Férié","")),_xlfn._xlws.FILTER(Date_IA_PIP[Cérémonie],(Date_IA_PIP[Date début]&lt;=EI9)*(Date_IA_PIP[[Date fin ]]&gt;=EI9),"")))</f>
        <v/>
      </c>
      <c r="EJ7" s="104" t="str" cm="1">
        <f t="array" ref="EJ7">_xlfn.SINGLE(IFERROR(IF(WEEKDAY(_xlfn.SINGLE(9:9),2)&gt;5,"WE",IF(VLOOKUP(EJ9,Paramètres!$C$3:$C$42,1,FALSE)=EJ9,"Férié","")),_xlfn._xlws.FILTER(Date_IA_PIP[Cérémonie],(Date_IA_PIP[Date début]&lt;=EJ9)*(Date_IA_PIP[[Date fin ]]&gt;=EJ9),"")))</f>
        <v/>
      </c>
      <c r="EK7" s="104" t="str" cm="1">
        <f t="array" ref="EK7">_xlfn.SINGLE(IFERROR(IF(WEEKDAY(_xlfn.SINGLE(9:9),2)&gt;5,"WE",IF(VLOOKUP(EK9,Paramètres!$C$3:$C$42,1,FALSE)=EK9,"Férié","")),_xlfn._xlws.FILTER(Date_IA_PIP[Cérémonie],(Date_IA_PIP[Date début]&lt;=EK9)*(Date_IA_PIP[[Date fin ]]&gt;=EK9),"")))</f>
        <v/>
      </c>
      <c r="EL7" s="104" t="str" cm="1">
        <f t="array" ref="EL7">_xlfn.SINGLE(IFERROR(IF(WEEKDAY(_xlfn.SINGLE(9:9),2)&gt;5,"WE",IF(VLOOKUP(EL9,Paramètres!$C$3:$C$42,1,FALSE)=EL9,"Férié","")),_xlfn._xlws.FILTER(Date_IA_PIP[Cérémonie],(Date_IA_PIP[Date début]&lt;=EL9)*(Date_IA_PIP[[Date fin ]]&gt;=EL9),"")))</f>
        <v>WE</v>
      </c>
      <c r="EM7" s="104" t="str" cm="1">
        <f t="array" ref="EM7">_xlfn.SINGLE(IFERROR(IF(WEEKDAY(_xlfn.SINGLE(9:9),2)&gt;5,"WE",IF(VLOOKUP(EM9,Paramètres!$C$3:$C$42,1,FALSE)=EM9,"Férié","")),_xlfn._xlws.FILTER(Date_IA_PIP[Cérémonie],(Date_IA_PIP[Date début]&lt;=EM9)*(Date_IA_PIP[[Date fin ]]&gt;=EM9),"")))</f>
        <v>WE</v>
      </c>
      <c r="EN7" s="104" t="str" cm="1">
        <f t="array" ref="EN7">_xlfn.SINGLE(IFERROR(IF(WEEKDAY(_xlfn.SINGLE(9:9),2)&gt;5,"WE",IF(VLOOKUP(EN9,Paramètres!$C$3:$C$42,1,FALSE)=EN9,"Férié","")),_xlfn._xlws.FILTER(Date_IA_PIP[Cérémonie],(Date_IA_PIP[Date début]&lt;=EN9)*(Date_IA_PIP[[Date fin ]]&gt;=EN9),"")))</f>
        <v>Férié</v>
      </c>
      <c r="EO7" s="104" t="str" cm="1">
        <f t="array" ref="EO7">_xlfn.SINGLE(IFERROR(IF(WEEKDAY(_xlfn.SINGLE(9:9),2)&gt;5,"WE",IF(VLOOKUP(EO9,Paramètres!$C$3:$C$42,1,FALSE)=EO9,"Férié","")),_xlfn._xlws.FILTER(Date_IA_PIP[Cérémonie],(Date_IA_PIP[Date début]&lt;=EO9)*(Date_IA_PIP[[Date fin ]]&gt;=EO9),"")))</f>
        <v/>
      </c>
      <c r="EP7" s="104" t="str" cm="1">
        <f t="array" ref="EP7">_xlfn.SINGLE(IFERROR(IF(WEEKDAY(_xlfn.SINGLE(9:9),2)&gt;5,"WE",IF(VLOOKUP(EP9,Paramètres!$C$3:$C$42,1,FALSE)=EP9,"Férié","")),_xlfn._xlws.FILTER(Date_IA_PIP[Cérémonie],(Date_IA_PIP[Date début]&lt;=EP9)*(Date_IA_PIP[[Date fin ]]&gt;=EP9),"")))</f>
        <v/>
      </c>
      <c r="EQ7" s="104" t="str" cm="1">
        <f t="array" ref="EQ7">_xlfn.SINGLE(IFERROR(IF(WEEKDAY(_xlfn.SINGLE(9:9),2)&gt;5,"WE",IF(VLOOKUP(EQ9,Paramètres!$C$3:$C$42,1,FALSE)=EQ9,"Férié","")),_xlfn._xlws.FILTER(Date_IA_PIP[Cérémonie],(Date_IA_PIP[Date début]&lt;=EQ9)*(Date_IA_PIP[[Date fin ]]&gt;=EQ9),"")))</f>
        <v/>
      </c>
      <c r="ER7" s="104" t="str" cm="1">
        <f t="array" ref="ER7">_xlfn.SINGLE(IFERROR(IF(WEEKDAY(_xlfn.SINGLE(9:9),2)&gt;5,"WE",IF(VLOOKUP(ER9,Paramètres!$C$3:$C$42,1,FALSE)=ER9,"Férié","")),_xlfn._xlws.FILTER(Date_IA_PIP[Cérémonie],(Date_IA_PIP[Date début]&lt;=ER9)*(Date_IA_PIP[[Date fin ]]&gt;=ER9),"")))</f>
        <v/>
      </c>
      <c r="ES7" s="104" t="str" cm="1">
        <f t="array" ref="ES7">_xlfn.SINGLE(IFERROR(IF(WEEKDAY(_xlfn.SINGLE(9:9),2)&gt;5,"WE",IF(VLOOKUP(ES9,Paramètres!$C$3:$C$42,1,FALSE)=ES9,"Férié","")),_xlfn._xlws.FILTER(Date_IA_PIP[Cérémonie],(Date_IA_PIP[Date début]&lt;=ES9)*(Date_IA_PIP[[Date fin ]]&gt;=ES9),"")))</f>
        <v>WE</v>
      </c>
      <c r="ET7" s="104" t="str" cm="1">
        <f t="array" ref="ET7">_xlfn.SINGLE(IFERROR(IF(WEEKDAY(_xlfn.SINGLE(9:9),2)&gt;5,"WE",IF(VLOOKUP(ET9,Paramètres!$C$3:$C$42,1,FALSE)=ET9,"Férié","")),_xlfn._xlws.FILTER(Date_IA_PIP[Cérémonie],(Date_IA_PIP[Date début]&lt;=ET9)*(Date_IA_PIP[[Date fin ]]&gt;=ET9),"")))</f>
        <v>WE</v>
      </c>
      <c r="EU7" s="104" t="str" cm="1">
        <f t="array" ref="EU7">_xlfn.SINGLE(IFERROR(IF(WEEKDAY(_xlfn.SINGLE(9:9),2)&gt;5,"WE",IF(VLOOKUP(EU9,Paramètres!$C$3:$C$42,1,FALSE)=EU9,"Férié","")),_xlfn._xlws.FILTER(Date_IA_PIP[Cérémonie],(Date_IA_PIP[Date début]&lt;=EU9)*(Date_IA_PIP[[Date fin ]]&gt;=EU9),"")))</f>
        <v/>
      </c>
      <c r="EV7" s="104" t="str" cm="1">
        <f t="array" ref="EV7">_xlfn.SINGLE(IFERROR(IF(WEEKDAY(_xlfn.SINGLE(9:9),2)&gt;5,"WE",IF(VLOOKUP(EV9,Paramètres!$C$3:$C$42,1,FALSE)=EV9,"Férié","")),_xlfn._xlws.FILTER(Date_IA_PIP[Cérémonie],(Date_IA_PIP[Date début]&lt;=EV9)*(Date_IA_PIP[[Date fin ]]&gt;=EV9),"")))</f>
        <v/>
      </c>
      <c r="EW7" s="104" t="str" cm="1">
        <f t="array" ref="EW7">_xlfn.SINGLE(IFERROR(IF(WEEKDAY(_xlfn.SINGLE(9:9),2)&gt;5,"WE",IF(VLOOKUP(EW9,Paramètres!$C$3:$C$42,1,FALSE)=EW9,"Férié","")),_xlfn._xlws.FILTER(Date_IA_PIP[Cérémonie],(Date_IA_PIP[Date début]&lt;=EW9)*(Date_IA_PIP[[Date fin ]]&gt;=EW9),"")))</f>
        <v/>
      </c>
      <c r="EX7" s="104" t="str" cm="1">
        <f t="array" ref="EX7">_xlfn.SINGLE(IFERROR(IF(WEEKDAY(_xlfn.SINGLE(9:9),2)&gt;5,"WE",IF(VLOOKUP(EX9,Paramètres!$C$3:$C$42,1,FALSE)=EX9,"Férié","")),_xlfn._xlws.FILTER(Date_IA_PIP[Cérémonie],(Date_IA_PIP[Date début]&lt;=EX9)*(Date_IA_PIP[[Date fin ]]&gt;=EX9),"")))</f>
        <v>Férié</v>
      </c>
      <c r="EY7" s="104" t="str" cm="1">
        <f t="array" ref="EY7">_xlfn.SINGLE(IFERROR(IF(WEEKDAY(_xlfn.SINGLE(9:9),2)&gt;5,"WE",IF(VLOOKUP(EY9,Paramètres!$C$3:$C$42,1,FALSE)=EY9,"Férié","")),_xlfn._xlws.FILTER(Date_IA_PIP[Cérémonie],(Date_IA_PIP[Date début]&lt;=EY9)*(Date_IA_PIP[[Date fin ]]&gt;=EY9),"")))</f>
        <v/>
      </c>
      <c r="EZ7" s="104" t="str" cm="1">
        <f t="array" ref="EZ7">_xlfn.SINGLE(IFERROR(IF(WEEKDAY(_xlfn.SINGLE(9:9),2)&gt;5,"WE",IF(VLOOKUP(EZ9,Paramètres!$C$3:$C$42,1,FALSE)=EZ9,"Férié","")),_xlfn._xlws.FILTER(Date_IA_PIP[Cérémonie],(Date_IA_PIP[Date début]&lt;=EZ9)*(Date_IA_PIP[[Date fin ]]&gt;=EZ9),"")))</f>
        <v>WE</v>
      </c>
      <c r="FA7" s="104" t="str" cm="1">
        <f t="array" ref="FA7">_xlfn.SINGLE(IFERROR(IF(WEEKDAY(_xlfn.SINGLE(9:9),2)&gt;5,"WE",IF(VLOOKUP(FA9,Paramètres!$C$3:$C$42,1,FALSE)=FA9,"Férié","")),_xlfn._xlws.FILTER(Date_IA_PIP[Cérémonie],(Date_IA_PIP[Date début]&lt;=FA9)*(Date_IA_PIP[[Date fin ]]&gt;=FA9),"")))</f>
        <v>WE</v>
      </c>
      <c r="FB7" s="104" t="str" cm="1">
        <f t="array" ref="FB7">_xlfn.SINGLE(IFERROR(IF(WEEKDAY(_xlfn.SINGLE(9:9),2)&gt;5,"WE",IF(VLOOKUP(FB9,Paramètres!$C$3:$C$42,1,FALSE)=FB9,"Férié","")),_xlfn._xlws.FILTER(Date_IA_PIP[Cérémonie],(Date_IA_PIP[Date début]&lt;=FB9)*(Date_IA_PIP[[Date fin ]]&gt;=FB9),"")))</f>
        <v/>
      </c>
      <c r="FC7" s="104" t="str" cm="1">
        <f t="array" ref="FC7">_xlfn.SINGLE(IFERROR(IF(WEEKDAY(_xlfn.SINGLE(9:9),2)&gt;5,"WE",IF(VLOOKUP(FC9,Paramètres!$C$3:$C$42,1,FALSE)=FC9,"Férié","")),_xlfn._xlws.FILTER(Date_IA_PIP[Cérémonie],(Date_IA_PIP[Date début]&lt;=FC9)*(Date_IA_PIP[[Date fin ]]&gt;=FC9),"")))</f>
        <v/>
      </c>
      <c r="FD7" s="104" t="str" cm="1">
        <f t="array" ref="FD7">_xlfn.SINGLE(IFERROR(IF(WEEKDAY(_xlfn.SINGLE(9:9),2)&gt;5,"WE",IF(VLOOKUP(FD9,Paramètres!$C$3:$C$42,1,FALSE)=FD9,"Férié","")),_xlfn._xlws.FILTER(Date_IA_PIP[Cérémonie],(Date_IA_PIP[Date début]&lt;=FD9)*(Date_IA_PIP[[Date fin ]]&gt;=FD9),"")))</f>
        <v/>
      </c>
      <c r="FE7" s="104" t="str" cm="1">
        <f t="array" ref="FE7">_xlfn.SINGLE(IFERROR(IF(WEEKDAY(_xlfn.SINGLE(9:9),2)&gt;5,"WE",IF(VLOOKUP(FE9,Paramètres!$C$3:$C$42,1,FALSE)=FE9,"Férié","")),_xlfn._xlws.FILTER(Date_IA_PIP[Cérémonie],(Date_IA_PIP[Date début]&lt;=FE9)*(Date_IA_PIP[[Date fin ]]&gt;=FE9),"")))</f>
        <v>Férié</v>
      </c>
      <c r="FF7" s="104" t="str" cm="1">
        <f t="array" ref="FF7">_xlfn.SINGLE(IFERROR(IF(WEEKDAY(_xlfn.SINGLE(9:9),2)&gt;5,"WE",IF(VLOOKUP(FF9,Paramètres!$C$3:$C$42,1,FALSE)=FF9,"Férié","")),_xlfn._xlws.FILTER(Date_IA_PIP[Cérémonie],(Date_IA_PIP[Date début]&lt;=FF9)*(Date_IA_PIP[[Date fin ]]&gt;=FF9),"")))</f>
        <v/>
      </c>
      <c r="FG7" s="104" t="str" cm="1">
        <f t="array" ref="FG7">_xlfn.SINGLE(IFERROR(IF(WEEKDAY(_xlfn.SINGLE(9:9),2)&gt;5,"WE",IF(VLOOKUP(FG9,Paramètres!$C$3:$C$42,1,FALSE)=FG9,"Férié","")),_xlfn._xlws.FILTER(Date_IA_PIP[Cérémonie],(Date_IA_PIP[Date début]&lt;=FG9)*(Date_IA_PIP[[Date fin ]]&gt;=FG9),"")))</f>
        <v>WE</v>
      </c>
      <c r="FH7" s="104" t="str" cm="1">
        <f t="array" ref="FH7">_xlfn.SINGLE(IFERROR(IF(WEEKDAY(_xlfn.SINGLE(9:9),2)&gt;5,"WE",IF(VLOOKUP(FH9,Paramètres!$C$3:$C$42,1,FALSE)=FH9,"Férié","")),_xlfn._xlws.FILTER(Date_IA_PIP[Cérémonie],(Date_IA_PIP[Date début]&lt;=FH9)*(Date_IA_PIP[[Date fin ]]&gt;=FH9),"")))</f>
        <v>WE</v>
      </c>
      <c r="FI7" s="104" t="str" cm="1">
        <f t="array" ref="FI7">_xlfn.SINGLE(IFERROR(IF(WEEKDAY(_xlfn.SINGLE(9:9),2)&gt;5,"WE",IF(VLOOKUP(FI9,Paramètres!$C$3:$C$42,1,FALSE)=FI9,"Férié","")),_xlfn._xlws.FILTER(Date_IA_PIP[Cérémonie],(Date_IA_PIP[Date début]&lt;=FI9)*(Date_IA_PIP[[Date fin ]]&gt;=FI9),"")))</f>
        <v/>
      </c>
      <c r="FJ7" s="104" t="str" cm="1">
        <f t="array" ref="FJ7">_xlfn.SINGLE(IFERROR(IF(WEEKDAY(_xlfn.SINGLE(9:9),2)&gt;5,"WE",IF(VLOOKUP(FJ9,Paramètres!$C$3:$C$42,1,FALSE)=FJ9,"Férié","")),_xlfn._xlws.FILTER(Date_IA_PIP[Cérémonie],(Date_IA_PIP[Date début]&lt;=FJ9)*(Date_IA_PIP[[Date fin ]]&gt;=FJ9),"")))</f>
        <v/>
      </c>
      <c r="FK7" s="104" t="str" cm="1">
        <f t="array" ref="FK7">_xlfn.SINGLE(IFERROR(IF(WEEKDAY(_xlfn.SINGLE(9:9),2)&gt;5,"WE",IF(VLOOKUP(FK9,Paramètres!$C$3:$C$42,1,FALSE)=FK9,"Férié","")),_xlfn._xlws.FILTER(Date_IA_PIP[Cérémonie],(Date_IA_PIP[Date début]&lt;=FK9)*(Date_IA_PIP[[Date fin ]]&gt;=FK9),"")))</f>
        <v/>
      </c>
      <c r="FL7" s="104" t="str" cm="1">
        <f t="array" ref="FL7">_xlfn.SINGLE(IFERROR(IF(WEEKDAY(_xlfn.SINGLE(9:9),2)&gt;5,"WE",IF(VLOOKUP(FL9,Paramètres!$C$3:$C$42,1,FALSE)=FL9,"Férié","")),_xlfn._xlws.FILTER(Date_IA_PIP[Cérémonie],(Date_IA_PIP[Date début]&lt;=FL9)*(Date_IA_PIP[[Date fin ]]&gt;=FL9),"")))</f>
        <v/>
      </c>
      <c r="FM7" s="104" t="str" cm="1">
        <f t="array" ref="FM7">_xlfn.SINGLE(IFERROR(IF(WEEKDAY(_xlfn.SINGLE(9:9),2)&gt;5,"WE",IF(VLOOKUP(FM9,Paramètres!$C$3:$C$42,1,FALSE)=FM9,"Férié","")),_xlfn._xlws.FILTER(Date_IA_PIP[Cérémonie],(Date_IA_PIP[Date début]&lt;=FM9)*(Date_IA_PIP[[Date fin ]]&gt;=FM9),"")))</f>
        <v/>
      </c>
      <c r="FN7" s="104" t="str" cm="1">
        <f t="array" ref="FN7">_xlfn.SINGLE(IFERROR(IF(WEEKDAY(_xlfn.SINGLE(9:9),2)&gt;5,"WE",IF(VLOOKUP(FN9,Paramètres!$C$3:$C$42,1,FALSE)=FN9,"Férié","")),_xlfn._xlws.FILTER(Date_IA_PIP[Cérémonie],(Date_IA_PIP[Date début]&lt;=FN9)*(Date_IA_PIP[[Date fin ]]&gt;=FN9),"")))</f>
        <v>WE</v>
      </c>
      <c r="FO7" s="104" t="str" cm="1">
        <f t="array" ref="FO7">_xlfn.SINGLE(IFERROR(IF(WEEKDAY(_xlfn.SINGLE(9:9),2)&gt;5,"WE",IF(VLOOKUP(FO9,Paramètres!$C$3:$C$42,1,FALSE)=FO9,"Férié","")),_xlfn._xlws.FILTER(Date_IA_PIP[Cérémonie],(Date_IA_PIP[Date début]&lt;=FO9)*(Date_IA_PIP[[Date fin ]]&gt;=FO9),"")))</f>
        <v>WE</v>
      </c>
      <c r="FP7" s="104" t="str" cm="1">
        <f t="array" ref="FP7">_xlfn.SINGLE(IFERROR(IF(WEEKDAY(_xlfn.SINGLE(9:9),2)&gt;5,"WE",IF(VLOOKUP(FP9,Paramètres!$C$3:$C$42,1,FALSE)=FP9,"Férié","")),_xlfn._xlws.FILTER(Date_IA_PIP[Cérémonie],(Date_IA_PIP[Date début]&lt;=FP9)*(Date_IA_PIP[[Date fin ]]&gt;=FP9),"")))</f>
        <v/>
      </c>
      <c r="FQ7" s="104" t="str" cm="1">
        <f t="array" ref="FQ7">_xlfn.SINGLE(IFERROR(IF(WEEKDAY(_xlfn.SINGLE(9:9),2)&gt;5,"WE",IF(VLOOKUP(FQ9,Paramètres!$C$3:$C$42,1,FALSE)=FQ9,"Férié","")),_xlfn._xlws.FILTER(Date_IA_PIP[Cérémonie],(Date_IA_PIP[Date début]&lt;=FQ9)*(Date_IA_PIP[[Date fin ]]&gt;=FQ9),"")))</f>
        <v/>
      </c>
      <c r="FR7" s="104" t="str" cm="1">
        <f t="array" ref="FR7">_xlfn.SINGLE(IFERROR(IF(WEEKDAY(_xlfn.SINGLE(9:9),2)&gt;5,"WE",IF(VLOOKUP(FR9,Paramètres!$C$3:$C$42,1,FALSE)=FR9,"Férié","")),_xlfn._xlws.FILTER(Date_IA_PIP[Cérémonie],(Date_IA_PIP[Date début]&lt;=FR9)*(Date_IA_PIP[[Date fin ]]&gt;=FR9),"")))</f>
        <v/>
      </c>
      <c r="FS7" s="104" t="str" cm="1">
        <f t="array" ref="FS7">_xlfn.SINGLE(IFERROR(IF(WEEKDAY(_xlfn.SINGLE(9:9),2)&gt;5,"WE",IF(VLOOKUP(FS9,Paramètres!$C$3:$C$42,1,FALSE)=FS9,"Férié","")),_xlfn._xlws.FILTER(Date_IA_PIP[Cérémonie],(Date_IA_PIP[Date début]&lt;=FS9)*(Date_IA_PIP[[Date fin ]]&gt;=FS9),"")))</f>
        <v/>
      </c>
      <c r="FT7" s="104" t="str" cm="1">
        <f t="array" ref="FT7">_xlfn.SINGLE(IFERROR(IF(WEEKDAY(_xlfn.SINGLE(9:9),2)&gt;5,"WE",IF(VLOOKUP(FT9,Paramètres!$C$3:$C$42,1,FALSE)=FT9,"Férié","")),_xlfn._xlws.FILTER(Date_IA_PIP[Cérémonie],(Date_IA_PIP[Date début]&lt;=FT9)*(Date_IA_PIP[[Date fin ]]&gt;=FT9),"")))</f>
        <v/>
      </c>
      <c r="FU7" s="104" t="str" cm="1">
        <f t="array" ref="FU7">_xlfn.SINGLE(IFERROR(IF(WEEKDAY(_xlfn.SINGLE(9:9),2)&gt;5,"WE",IF(VLOOKUP(FU9,Paramètres!$C$3:$C$42,1,FALSE)=FU9,"Férié","")),_xlfn._xlws.FILTER(Date_IA_PIP[Cérémonie],(Date_IA_PIP[Date début]&lt;=FU9)*(Date_IA_PIP[[Date fin ]]&gt;=FU9),"")))</f>
        <v>WE</v>
      </c>
      <c r="FV7" s="104" t="str" cm="1">
        <f t="array" ref="FV7">_xlfn.SINGLE(IFERROR(IF(WEEKDAY(_xlfn.SINGLE(9:9),2)&gt;5,"WE",IF(VLOOKUP(FV9,Paramètres!$C$3:$C$42,1,FALSE)=FV9,"Férié","")),_xlfn._xlws.FILTER(Date_IA_PIP[Cérémonie],(Date_IA_PIP[Date début]&lt;=FV9)*(Date_IA_PIP[[Date fin ]]&gt;=FV9),"")))</f>
        <v>WE</v>
      </c>
      <c r="FW7" s="104" t="str" cm="1">
        <f t="array" ref="FW7">_xlfn.SINGLE(IFERROR(IF(WEEKDAY(_xlfn.SINGLE(9:9),2)&gt;5,"WE",IF(VLOOKUP(FW9,Paramètres!$C$3:$C$42,1,FALSE)=FW9,"Férié","")),_xlfn._xlws.FILTER(Date_IA_PIP[Cérémonie],(Date_IA_PIP[Date début]&lt;=FW9)*(Date_IA_PIP[[Date fin ]]&gt;=FW9),"")))</f>
        <v/>
      </c>
      <c r="FX7" s="104" t="str" cm="1">
        <f t="array" ref="FX7">_xlfn.SINGLE(IFERROR(IF(WEEKDAY(_xlfn.SINGLE(9:9),2)&gt;5,"WE",IF(VLOOKUP(FX9,Paramètres!$C$3:$C$42,1,FALSE)=FX9,"Férié","")),_xlfn._xlws.FILTER(Date_IA_PIP[Cérémonie],(Date_IA_PIP[Date début]&lt;=FX9)*(Date_IA_PIP[[Date fin ]]&gt;=FX9),"")))</f>
        <v/>
      </c>
      <c r="FY7" s="104" t="str" cm="1">
        <f t="array" ref="FY7">_xlfn.SINGLE(IFERROR(IF(WEEKDAY(_xlfn.SINGLE(9:9),2)&gt;5,"WE",IF(VLOOKUP(FY9,Paramètres!$C$3:$C$42,1,FALSE)=FY9,"Férié","")),_xlfn._xlws.FILTER(Date_IA_PIP[Cérémonie],(Date_IA_PIP[Date début]&lt;=FY9)*(Date_IA_PIP[[Date fin ]]&gt;=FY9),"")))</f>
        <v/>
      </c>
      <c r="FZ7" s="104" t="str" cm="1">
        <f t="array" ref="FZ7">_xlfn.SINGLE(IFERROR(IF(WEEKDAY(_xlfn.SINGLE(9:9),2)&gt;5,"WE",IF(VLOOKUP(FZ9,Paramètres!$C$3:$C$42,1,FALSE)=FZ9,"Férié","")),_xlfn._xlws.FILTER(Date_IA_PIP[Cérémonie],(Date_IA_PIP[Date début]&lt;=FZ9)*(Date_IA_PIP[[Date fin ]]&gt;=FZ9),"")))</f>
        <v>Férié</v>
      </c>
      <c r="GA7" s="104" t="str" cm="1">
        <f t="array" ref="GA7">_xlfn.SINGLE(IFERROR(IF(WEEKDAY(_xlfn.SINGLE(9:9),2)&gt;5,"WE",IF(VLOOKUP(GA9,Paramètres!$C$3:$C$42,1,FALSE)=GA9,"Férié","")),_xlfn._xlws.FILTER(Date_IA_PIP[Cérémonie],(Date_IA_PIP[Date début]&lt;=GA9)*(Date_IA_PIP[[Date fin ]]&gt;=GA9),"")))</f>
        <v/>
      </c>
      <c r="GB7" s="104" t="str" cm="1">
        <f t="array" ref="GB7">_xlfn.SINGLE(IFERROR(IF(WEEKDAY(_xlfn.SINGLE(9:9),2)&gt;5,"WE",IF(VLOOKUP(GB9,Paramètres!$C$3:$C$42,1,FALSE)=GB9,"Férié","")),_xlfn._xlws.FILTER(Date_IA_PIP[Cérémonie],(Date_IA_PIP[Date début]&lt;=GB9)*(Date_IA_PIP[[Date fin ]]&gt;=GB9),"")))</f>
        <v>WE</v>
      </c>
      <c r="GC7" s="104" t="str" cm="1">
        <f t="array" ref="GC7">_xlfn.SINGLE(IFERROR(IF(WEEKDAY(_xlfn.SINGLE(9:9),2)&gt;5,"WE",IF(VLOOKUP(GC9,Paramètres!$C$3:$C$42,1,FALSE)=GC9,"Férié","")),_xlfn._xlws.FILTER(Date_IA_PIP[Cérémonie],(Date_IA_PIP[Date début]&lt;=GC9)*(Date_IA_PIP[[Date fin ]]&gt;=GC9),"")))</f>
        <v>WE</v>
      </c>
      <c r="GD7" s="104" t="str" cm="1">
        <f t="array" ref="GD7">_xlfn.SINGLE(IFERROR(IF(WEEKDAY(_xlfn.SINGLE(9:9),2)&gt;5,"WE",IF(VLOOKUP(GD9,Paramètres!$C$3:$C$42,1,FALSE)=GD9,"Férié","")),_xlfn._xlws.FILTER(Date_IA_PIP[Cérémonie],(Date_IA_PIP[Date début]&lt;=GD9)*(Date_IA_PIP[[Date fin ]]&gt;=GD9),"")))</f>
        <v/>
      </c>
      <c r="GE7" s="104" t="str" cm="1">
        <f t="array" ref="GE7">_xlfn.SINGLE(IFERROR(IF(WEEKDAY(_xlfn.SINGLE(9:9),2)&gt;5,"WE",IF(VLOOKUP(GE9,Paramètres!$C$3:$C$42,1,FALSE)=GE9,"Férié","")),_xlfn._xlws.FILTER(Date_IA_PIP[Cérémonie],(Date_IA_PIP[Date début]&lt;=GE9)*(Date_IA_PIP[[Date fin ]]&gt;=GE9),"")))</f>
        <v/>
      </c>
      <c r="GF7" s="104" t="str" cm="1">
        <f t="array" ref="GF7">_xlfn.SINGLE(IFERROR(IF(WEEKDAY(_xlfn.SINGLE(9:9),2)&gt;5,"WE",IF(VLOOKUP(GF9,Paramètres!$C$3:$C$42,1,FALSE)=GF9,"Férié","")),_xlfn._xlws.FILTER(Date_IA_PIP[Cérémonie],(Date_IA_PIP[Date début]&lt;=GF9)*(Date_IA_PIP[[Date fin ]]&gt;=GF9),"")))</f>
        <v/>
      </c>
      <c r="GG7" s="104" t="str" cm="1">
        <f t="array" ref="GG7">_xlfn.SINGLE(IFERROR(IF(WEEKDAY(_xlfn.SINGLE(9:9),2)&gt;5,"WE",IF(VLOOKUP(GG9,Paramètres!$C$3:$C$42,1,FALSE)=GG9,"Férié","")),_xlfn._xlws.FILTER(Date_IA_PIP[Cérémonie],(Date_IA_PIP[Date début]&lt;=GG9)*(Date_IA_PIP[[Date fin ]]&gt;=GG9),"")))</f>
        <v/>
      </c>
      <c r="GH7" s="104" t="str" cm="1">
        <f t="array" ref="GH7">_xlfn.SINGLE(IFERROR(IF(WEEKDAY(_xlfn.SINGLE(9:9),2)&gt;5,"WE",IF(VLOOKUP(GH9,Paramètres!$C$3:$C$42,1,FALSE)=GH9,"Férié","")),_xlfn._xlws.FILTER(Date_IA_PIP[Cérémonie],(Date_IA_PIP[Date début]&lt;=GH9)*(Date_IA_PIP[[Date fin ]]&gt;=GH9),"")))</f>
        <v/>
      </c>
      <c r="GI7" s="104" t="str" cm="1">
        <f t="array" ref="GI7">_xlfn.SINGLE(IFERROR(IF(WEEKDAY(_xlfn.SINGLE(9:9),2)&gt;5,"WE",IF(VLOOKUP(GI9,Paramètres!$C$3:$C$42,1,FALSE)=GI9,"Férié","")),_xlfn._xlws.FILTER(Date_IA_PIP[Cérémonie],(Date_IA_PIP[Date début]&lt;=GI9)*(Date_IA_PIP[[Date fin ]]&gt;=GI9),"")))</f>
        <v>WE</v>
      </c>
      <c r="GJ7" s="104" t="str" cm="1">
        <f t="array" ref="GJ7">_xlfn.SINGLE(IFERROR(IF(WEEKDAY(_xlfn.SINGLE(9:9),2)&gt;5,"WE",IF(VLOOKUP(GJ9,Paramètres!$C$3:$C$42,1,FALSE)=GJ9,"Férié","")),_xlfn._xlws.FILTER(Date_IA_PIP[Cérémonie],(Date_IA_PIP[Date début]&lt;=GJ9)*(Date_IA_PIP[[Date fin ]]&gt;=GJ9),"")))</f>
        <v>WE</v>
      </c>
      <c r="GK7" s="104" t="str" cm="1">
        <f t="array" ref="GK7">_xlfn.SINGLE(IFERROR(IF(WEEKDAY(_xlfn.SINGLE(9:9),2)&gt;5,"WE",IF(VLOOKUP(GK9,Paramètres!$C$3:$C$42,1,FALSE)=GK9,"Férié","")),_xlfn._xlws.FILTER(Date_IA_PIP[Cérémonie],(Date_IA_PIP[Date début]&lt;=GK9)*(Date_IA_PIP[[Date fin ]]&gt;=GK9),"")))</f>
        <v>Férié</v>
      </c>
      <c r="GL7" s="104" t="str" cm="1">
        <f t="array" ref="GL7">_xlfn.SINGLE(IFERROR(IF(WEEKDAY(_xlfn.SINGLE(9:9),2)&gt;5,"WE",IF(VLOOKUP(GL9,Paramètres!$C$3:$C$42,1,FALSE)=GL9,"Férié","")),_xlfn._xlws.FILTER(Date_IA_PIP[Cérémonie],(Date_IA_PIP[Date début]&lt;=GL9)*(Date_IA_PIP[[Date fin ]]&gt;=GL9),"")))</f>
        <v>I&amp;A</v>
      </c>
      <c r="GM7" s="104" t="str" cm="1">
        <f t="array" ref="GM7">_xlfn.SINGLE(IFERROR(IF(WEEKDAY(_xlfn.SINGLE(9:9),2)&gt;5,"WE",IF(VLOOKUP(GM9,Paramètres!$C$3:$C$42,1,FALSE)=GM9,"Férié","")),_xlfn._xlws.FILTER(Date_IA_PIP[Cérémonie],(Date_IA_PIP[Date début]&lt;=GM9)*(Date_IA_PIP[[Date fin ]]&gt;=GM9),"")))</f>
        <v>PIP</v>
      </c>
      <c r="GN7" s="104" t="str" cm="1">
        <f t="array" ref="GN7">_xlfn.SINGLE(IFERROR(IF(WEEKDAY(_xlfn.SINGLE(9:9),2)&gt;5,"WE",IF(VLOOKUP(GN9,Paramètres!$C$3:$C$42,1,FALSE)=GN9,"Férié","")),_xlfn._xlws.FILTER(Date_IA_PIP[Cérémonie],(Date_IA_PIP[Date début]&lt;=GN9)*(Date_IA_PIP[[Date fin ]]&gt;=GN9),"")))</f>
        <v>PIP</v>
      </c>
      <c r="GO7" s="104" t="str" cm="1">
        <f t="array" ref="GO7">_xlfn.SINGLE(IFERROR(IF(WEEKDAY(_xlfn.SINGLE(9:9),2)&gt;5,"WE",IF(VLOOKUP(GO9,Paramètres!$C$3:$C$42,1,FALSE)=GO9,"Férié","")),_xlfn._xlws.FILTER(Date_IA_PIP[Cérémonie],(Date_IA_PIP[Date début]&lt;=GO9)*(Date_IA_PIP[[Date fin ]]&gt;=GO9),"")))</f>
        <v/>
      </c>
      <c r="GP7" s="104" t="str" cm="1">
        <f t="array" ref="GP7">_xlfn.SINGLE(IFERROR(IF(WEEKDAY(_xlfn.SINGLE(9:9),2)&gt;5,"WE",IF(VLOOKUP(GP9,Paramètres!$C$3:$C$42,1,FALSE)=GP9,"Férié","")),_xlfn._xlws.FILTER(Date_IA_PIP[Cérémonie],(Date_IA_PIP[Date début]&lt;=GP9)*(Date_IA_PIP[[Date fin ]]&gt;=GP9),"")))</f>
        <v>WE</v>
      </c>
      <c r="GQ7" s="104" t="str" cm="1">
        <f t="array" ref="GQ7">_xlfn.SINGLE(IFERROR(IF(WEEKDAY(_xlfn.SINGLE(9:9),2)&gt;5,"WE",IF(VLOOKUP(GQ9,Paramètres!$C$3:$C$42,1,FALSE)=GQ9,"Férié","")),_xlfn._xlws.FILTER(Date_IA_PIP[Cérémonie],(Date_IA_PIP[Date début]&lt;=GQ9)*(Date_IA_PIP[[Date fin ]]&gt;=GQ9),"")))</f>
        <v>WE</v>
      </c>
      <c r="GR7" s="104" t="str" cm="1">
        <f t="array" ref="GR7">_xlfn.SINGLE(IFERROR(IF(WEEKDAY(_xlfn.SINGLE(9:9),2)&gt;5,"WE",IF(VLOOKUP(GR9,Paramètres!$C$3:$C$42,1,FALSE)=GR9,"Férié","")),_xlfn._xlws.FILTER(Date_IA_PIP[Cérémonie],(Date_IA_PIP[Date début]&lt;=GR9)*(Date_IA_PIP[[Date fin ]]&gt;=GR9),"")))</f>
        <v/>
      </c>
      <c r="GS7" s="104" t="str" cm="1">
        <f t="array" ref="GS7">_xlfn.SINGLE(IFERROR(IF(WEEKDAY(_xlfn.SINGLE(9:9),2)&gt;5,"WE",IF(VLOOKUP(GS9,Paramètres!$C$3:$C$42,1,FALSE)=GS9,"Férié","")),_xlfn._xlws.FILTER(Date_IA_PIP[Cérémonie],(Date_IA_PIP[Date début]&lt;=GS9)*(Date_IA_PIP[[Date fin ]]&gt;=GS9),"")))</f>
        <v/>
      </c>
      <c r="GT7" s="104" t="str" cm="1">
        <f t="array" ref="GT7">_xlfn.SINGLE(IFERROR(IF(WEEKDAY(_xlfn.SINGLE(9:9),2)&gt;5,"WE",IF(VLOOKUP(GT9,Paramètres!$C$3:$C$42,1,FALSE)=GT9,"Férié","")),_xlfn._xlws.FILTER(Date_IA_PIP[Cérémonie],(Date_IA_PIP[Date début]&lt;=GT9)*(Date_IA_PIP[[Date fin ]]&gt;=GT9),"")))</f>
        <v/>
      </c>
      <c r="GU7" s="104" t="str" cm="1">
        <f t="array" ref="GU7">_xlfn.SINGLE(IFERROR(IF(WEEKDAY(_xlfn.SINGLE(9:9),2)&gt;5,"WE",IF(VLOOKUP(GU9,Paramètres!$C$3:$C$42,1,FALSE)=GU9,"Férié","")),_xlfn._xlws.FILTER(Date_IA_PIP[Cérémonie],(Date_IA_PIP[Date début]&lt;=GU9)*(Date_IA_PIP[[Date fin ]]&gt;=GU9),"")))</f>
        <v/>
      </c>
      <c r="GV7" s="104" t="str" cm="1">
        <f t="array" ref="GV7">_xlfn.SINGLE(IFERROR(IF(WEEKDAY(_xlfn.SINGLE(9:9),2)&gt;5,"WE",IF(VLOOKUP(GV9,Paramètres!$C$3:$C$42,1,FALSE)=GV9,"Férié","")),_xlfn._xlws.FILTER(Date_IA_PIP[Cérémonie],(Date_IA_PIP[Date début]&lt;=GV9)*(Date_IA_PIP[[Date fin ]]&gt;=GV9),"")))</f>
        <v/>
      </c>
      <c r="GW7" s="104" t="str" cm="1">
        <f t="array" ref="GW7">_xlfn.SINGLE(IFERROR(IF(WEEKDAY(_xlfn.SINGLE(9:9),2)&gt;5,"WE",IF(VLOOKUP(GW9,Paramètres!$C$3:$C$42,1,FALSE)=GW9,"Férié","")),_xlfn._xlws.FILTER(Date_IA_PIP[Cérémonie],(Date_IA_PIP[Date début]&lt;=GW9)*(Date_IA_PIP[[Date fin ]]&gt;=GW9),"")))</f>
        <v>WE</v>
      </c>
      <c r="GX7" s="104" t="str" cm="1">
        <f t="array" ref="GX7">_xlfn.SINGLE(IFERROR(IF(WEEKDAY(_xlfn.SINGLE(9:9),2)&gt;5,"WE",IF(VLOOKUP(GX9,Paramètres!$C$3:$C$42,1,FALSE)=GX9,"Férié","")),_xlfn._xlws.FILTER(Date_IA_PIP[Cérémonie],(Date_IA_PIP[Date début]&lt;=GX9)*(Date_IA_PIP[[Date fin ]]&gt;=GX9),"")))</f>
        <v>WE</v>
      </c>
      <c r="GY7" s="104" t="str" cm="1">
        <f t="array" ref="GY7">_xlfn.SINGLE(IFERROR(IF(WEEKDAY(_xlfn.SINGLE(9:9),2)&gt;5,"WE",IF(VLOOKUP(GY9,Paramètres!$C$3:$C$42,1,FALSE)=GY9,"Férié","")),_xlfn._xlws.FILTER(Date_IA_PIP[Cérémonie],(Date_IA_PIP[Date début]&lt;=GY9)*(Date_IA_PIP[[Date fin ]]&gt;=GY9),"")))</f>
        <v/>
      </c>
      <c r="GZ7" s="104" t="str" cm="1">
        <f t="array" ref="GZ7">_xlfn.SINGLE(IFERROR(IF(WEEKDAY(_xlfn.SINGLE(9:9),2)&gt;5,"WE",IF(VLOOKUP(GZ9,Paramètres!$C$3:$C$42,1,FALSE)=GZ9,"Férié","")),_xlfn._xlws.FILTER(Date_IA_PIP[Cérémonie],(Date_IA_PIP[Date début]&lt;=GZ9)*(Date_IA_PIP[[Date fin ]]&gt;=GZ9),"")))</f>
        <v/>
      </c>
      <c r="HA7" s="104" t="str" cm="1">
        <f t="array" ref="HA7">_xlfn.SINGLE(IFERROR(IF(WEEKDAY(_xlfn.SINGLE(9:9),2)&gt;5,"WE",IF(VLOOKUP(HA9,Paramètres!$C$3:$C$42,1,FALSE)=HA9,"Férié","")),_xlfn._xlws.FILTER(Date_IA_PIP[Cérémonie],(Date_IA_PIP[Date début]&lt;=HA9)*(Date_IA_PIP[[Date fin ]]&gt;=HA9),"")))</f>
        <v/>
      </c>
      <c r="HB7" s="104" t="str" cm="1">
        <f t="array" ref="HB7">_xlfn.SINGLE(IFERROR(IF(WEEKDAY(_xlfn.SINGLE(9:9),2)&gt;5,"WE",IF(VLOOKUP(HB9,Paramètres!$C$3:$C$42,1,FALSE)=HB9,"Férié","")),_xlfn._xlws.FILTER(Date_IA_PIP[Cérémonie],(Date_IA_PIP[Date début]&lt;=HB9)*(Date_IA_PIP[[Date fin ]]&gt;=HB9),"")))</f>
        <v/>
      </c>
      <c r="HC7" s="104" t="str" cm="1">
        <f t="array" ref="HC7">_xlfn.SINGLE(IFERROR(IF(WEEKDAY(_xlfn.SINGLE(9:9),2)&gt;5,"WE",IF(VLOOKUP(HC9,Paramètres!$C$3:$C$42,1,FALSE)=HC9,"Férié","")),_xlfn._xlws.FILTER(Date_IA_PIP[Cérémonie],(Date_IA_PIP[Date début]&lt;=HC9)*(Date_IA_PIP[[Date fin ]]&gt;=HC9),"")))</f>
        <v/>
      </c>
      <c r="HD7" s="104" t="str" cm="1">
        <f t="array" ref="HD7">_xlfn.SINGLE(IFERROR(IF(WEEKDAY(_xlfn.SINGLE(9:9),2)&gt;5,"WE",IF(VLOOKUP(HD9,Paramètres!$C$3:$C$42,1,FALSE)=HD9,"Férié","")),_xlfn._xlws.FILTER(Date_IA_PIP[Cérémonie],(Date_IA_PIP[Date début]&lt;=HD9)*(Date_IA_PIP[[Date fin ]]&gt;=HD9),"")))</f>
        <v>WE</v>
      </c>
      <c r="HE7" s="104" t="str" cm="1">
        <f t="array" ref="HE7">_xlfn.SINGLE(IFERROR(IF(WEEKDAY(_xlfn.SINGLE(9:9),2)&gt;5,"WE",IF(VLOOKUP(HE9,Paramètres!$C$3:$C$42,1,FALSE)=HE9,"Férié","")),_xlfn._xlws.FILTER(Date_IA_PIP[Cérémonie],(Date_IA_PIP[Date début]&lt;=HE9)*(Date_IA_PIP[[Date fin ]]&gt;=HE9),"")))</f>
        <v>WE</v>
      </c>
      <c r="HF7" s="104" t="str" cm="1">
        <f t="array" ref="HF7">_xlfn.SINGLE(IFERROR(IF(WEEKDAY(_xlfn.SINGLE(9:9),2)&gt;5,"WE",IF(VLOOKUP(HF9,Paramètres!$C$3:$C$42,1,FALSE)=HF9,"Férié","")),_xlfn._xlws.FILTER(Date_IA_PIP[Cérémonie],(Date_IA_PIP[Date début]&lt;=HF9)*(Date_IA_PIP[[Date fin ]]&gt;=HF9),"")))</f>
        <v/>
      </c>
      <c r="HG7" s="104" t="str" cm="1">
        <f t="array" ref="HG7">_xlfn.SINGLE(IFERROR(IF(WEEKDAY(_xlfn.SINGLE(9:9),2)&gt;5,"WE",IF(VLOOKUP(HG9,Paramètres!$C$3:$C$42,1,FALSE)=HG9,"Férié","")),_xlfn._xlws.FILTER(Date_IA_PIP[Cérémonie],(Date_IA_PIP[Date début]&lt;=HG9)*(Date_IA_PIP[[Date fin ]]&gt;=HG9),"")))</f>
        <v/>
      </c>
      <c r="HH7" s="104" t="str" cm="1">
        <f t="array" ref="HH7">_xlfn.SINGLE(IFERROR(IF(WEEKDAY(_xlfn.SINGLE(9:9),2)&gt;5,"WE",IF(VLOOKUP(HH9,Paramètres!$C$3:$C$42,1,FALSE)=HH9,"Férié","")),_xlfn._xlws.FILTER(Date_IA_PIP[Cérémonie],(Date_IA_PIP[Date début]&lt;=HH9)*(Date_IA_PIP[[Date fin ]]&gt;=HH9),"")))</f>
        <v/>
      </c>
      <c r="HI7" s="104" t="str" cm="1">
        <f t="array" ref="HI7">_xlfn.SINGLE(IFERROR(IF(WEEKDAY(_xlfn.SINGLE(9:9),2)&gt;5,"WE",IF(VLOOKUP(HI9,Paramètres!$C$3:$C$42,1,FALSE)=HI9,"Férié","")),_xlfn._xlws.FILTER(Date_IA_PIP[Cérémonie],(Date_IA_PIP[Date début]&lt;=HI9)*(Date_IA_PIP[[Date fin ]]&gt;=HI9),"")))</f>
        <v/>
      </c>
      <c r="HJ7" s="104" t="str" cm="1">
        <f t="array" ref="HJ7">_xlfn.SINGLE(IFERROR(IF(WEEKDAY(_xlfn.SINGLE(9:9),2)&gt;5,"WE",IF(VLOOKUP(HJ9,Paramètres!$C$3:$C$42,1,FALSE)=HJ9,"Férié","")),_xlfn._xlws.FILTER(Date_IA_PIP[Cérémonie],(Date_IA_PIP[Date début]&lt;=HJ9)*(Date_IA_PIP[[Date fin ]]&gt;=HJ9),"")))</f>
        <v/>
      </c>
      <c r="HK7" s="104" t="str" cm="1">
        <f t="array" ref="HK7">_xlfn.SINGLE(IFERROR(IF(WEEKDAY(_xlfn.SINGLE(9:9),2)&gt;5,"WE",IF(VLOOKUP(HK9,Paramètres!$C$3:$C$42,1,FALSE)=HK9,"Férié","")),_xlfn._xlws.FILTER(Date_IA_PIP[Cérémonie],(Date_IA_PIP[Date début]&lt;=HK9)*(Date_IA_PIP[[Date fin ]]&gt;=HK9),"")))</f>
        <v>WE</v>
      </c>
      <c r="HL7" s="104" t="str" cm="1">
        <f t="array" ref="HL7">_xlfn.SINGLE(IFERROR(IF(WEEKDAY(_xlfn.SINGLE(9:9),2)&gt;5,"WE",IF(VLOOKUP(HL9,Paramètres!$C$3:$C$42,1,FALSE)=HL9,"Férié","")),_xlfn._xlws.FILTER(Date_IA_PIP[Cérémonie],(Date_IA_PIP[Date début]&lt;=HL9)*(Date_IA_PIP[[Date fin ]]&gt;=HL9),"")))</f>
        <v>WE</v>
      </c>
      <c r="HM7" s="104" t="str" cm="1">
        <f t="array" ref="HM7">_xlfn.SINGLE(IFERROR(IF(WEEKDAY(_xlfn.SINGLE(9:9),2)&gt;5,"WE",IF(VLOOKUP(HM9,Paramètres!$C$3:$C$42,1,FALSE)=HM9,"Férié","")),_xlfn._xlws.FILTER(Date_IA_PIP[Cérémonie],(Date_IA_PIP[Date début]&lt;=HM9)*(Date_IA_PIP[[Date fin ]]&gt;=HM9),"")))</f>
        <v/>
      </c>
      <c r="HN7" s="104" t="str" cm="1">
        <f t="array" ref="HN7">_xlfn.SINGLE(IFERROR(IF(WEEKDAY(_xlfn.SINGLE(9:9),2)&gt;5,"WE",IF(VLOOKUP(HN9,Paramètres!$C$3:$C$42,1,FALSE)=HN9,"Férié","")),_xlfn._xlws.FILTER(Date_IA_PIP[Cérémonie],(Date_IA_PIP[Date début]&lt;=HN9)*(Date_IA_PIP[[Date fin ]]&gt;=HN9),"")))</f>
        <v/>
      </c>
      <c r="HO7" s="104" t="str" cm="1">
        <f t="array" ref="HO7">_xlfn.SINGLE(IFERROR(IF(WEEKDAY(_xlfn.SINGLE(9:9),2)&gt;5,"WE",IF(VLOOKUP(HO9,Paramètres!$C$3:$C$42,1,FALSE)=HO9,"Férié","")),_xlfn._xlws.FILTER(Date_IA_PIP[Cérémonie],(Date_IA_PIP[Date début]&lt;=HO9)*(Date_IA_PIP[[Date fin ]]&gt;=HO9),"")))</f>
        <v/>
      </c>
      <c r="HP7" s="104" t="str" cm="1">
        <f t="array" ref="HP7">_xlfn.SINGLE(IFERROR(IF(WEEKDAY(_xlfn.SINGLE(9:9),2)&gt;5,"WE",IF(VLOOKUP(HP9,Paramètres!$C$3:$C$42,1,FALSE)=HP9,"Férié","")),_xlfn._xlws.FILTER(Date_IA_PIP[Cérémonie],(Date_IA_PIP[Date début]&lt;=HP9)*(Date_IA_PIP[[Date fin ]]&gt;=HP9),"")))</f>
        <v/>
      </c>
      <c r="HQ7" s="104" t="str" cm="1">
        <f t="array" ref="HQ7">_xlfn.SINGLE(IFERROR(IF(WEEKDAY(_xlfn.SINGLE(9:9),2)&gt;5,"WE",IF(VLOOKUP(HQ9,Paramètres!$C$3:$C$42,1,FALSE)=HQ9,"Férié","")),_xlfn._xlws.FILTER(Date_IA_PIP[Cérémonie],(Date_IA_PIP[Date début]&lt;=HQ9)*(Date_IA_PIP[[Date fin ]]&gt;=HQ9),"")))</f>
        <v/>
      </c>
      <c r="HR7" s="104" t="str" cm="1">
        <f t="array" ref="HR7">_xlfn.SINGLE(IFERROR(IF(WEEKDAY(_xlfn.SINGLE(9:9),2)&gt;5,"WE",IF(VLOOKUP(HR9,Paramètres!$C$3:$C$42,1,FALSE)=HR9,"Férié","")),_xlfn._xlws.FILTER(Date_IA_PIP[Cérémonie],(Date_IA_PIP[Date début]&lt;=HR9)*(Date_IA_PIP[[Date fin ]]&gt;=HR9),"")))</f>
        <v>WE</v>
      </c>
      <c r="HS7" s="104" t="str" cm="1">
        <f t="array" ref="HS7">_xlfn.SINGLE(IFERROR(IF(WEEKDAY(_xlfn.SINGLE(9:9),2)&gt;5,"WE",IF(VLOOKUP(HS9,Paramètres!$C$3:$C$42,1,FALSE)=HS9,"Férié","")),_xlfn._xlws.FILTER(Date_IA_PIP[Cérémonie],(Date_IA_PIP[Date début]&lt;=HS9)*(Date_IA_PIP[[Date fin ]]&gt;=HS9),"")))</f>
        <v>WE</v>
      </c>
      <c r="HT7" s="104" t="str" cm="1">
        <f t="array" ref="HT7">_xlfn.SINGLE(IFERROR(IF(WEEKDAY(_xlfn.SINGLE(9:9),2)&gt;5,"WE",IF(VLOOKUP(HT9,Paramètres!$C$3:$C$42,1,FALSE)=HT9,"Férié","")),_xlfn._xlws.FILTER(Date_IA_PIP[Cérémonie],(Date_IA_PIP[Date début]&lt;=HT9)*(Date_IA_PIP[[Date fin ]]&gt;=HT9),"")))</f>
        <v>Férié</v>
      </c>
      <c r="HU7" s="104" t="str" cm="1">
        <f t="array" ref="HU7">_xlfn.SINGLE(IFERROR(IF(WEEKDAY(_xlfn.SINGLE(9:9),2)&gt;5,"WE",IF(VLOOKUP(HU9,Paramètres!$C$3:$C$42,1,FALSE)=HU9,"Férié","")),_xlfn._xlws.FILTER(Date_IA_PIP[Cérémonie],(Date_IA_PIP[Date début]&lt;=HU9)*(Date_IA_PIP[[Date fin ]]&gt;=HU9),"")))</f>
        <v/>
      </c>
      <c r="HV7" s="104" t="str" cm="1">
        <f t="array" ref="HV7">_xlfn.SINGLE(IFERROR(IF(WEEKDAY(_xlfn.SINGLE(9:9),2)&gt;5,"WE",IF(VLOOKUP(HV9,Paramètres!$C$3:$C$42,1,FALSE)=HV9,"Férié","")),_xlfn._xlws.FILTER(Date_IA_PIP[Cérémonie],(Date_IA_PIP[Date début]&lt;=HV9)*(Date_IA_PIP[[Date fin ]]&gt;=HV9),"")))</f>
        <v/>
      </c>
      <c r="HW7" s="104" t="str" cm="1">
        <f t="array" ref="HW7">_xlfn.SINGLE(IFERROR(IF(WEEKDAY(_xlfn.SINGLE(9:9),2)&gt;5,"WE",IF(VLOOKUP(HW9,Paramètres!$C$3:$C$42,1,FALSE)=HW9,"Férié","")),_xlfn._xlws.FILTER(Date_IA_PIP[Cérémonie],(Date_IA_PIP[Date début]&lt;=HW9)*(Date_IA_PIP[[Date fin ]]&gt;=HW9),"")))</f>
        <v/>
      </c>
      <c r="HX7" s="104" t="str" cm="1">
        <f t="array" ref="HX7">_xlfn.SINGLE(IFERROR(IF(WEEKDAY(_xlfn.SINGLE(9:9),2)&gt;5,"WE",IF(VLOOKUP(HX9,Paramètres!$C$3:$C$42,1,FALSE)=HX9,"Férié","")),_xlfn._xlws.FILTER(Date_IA_PIP[Cérémonie],(Date_IA_PIP[Date début]&lt;=HX9)*(Date_IA_PIP[[Date fin ]]&gt;=HX9),"")))</f>
        <v/>
      </c>
      <c r="HY7" s="104" t="str" cm="1">
        <f t="array" ref="HY7">_xlfn.SINGLE(IFERROR(IF(WEEKDAY(_xlfn.SINGLE(9:9),2)&gt;5,"WE",IF(VLOOKUP(HY9,Paramètres!$C$3:$C$42,1,FALSE)=HY9,"Férié","")),_xlfn._xlws.FILTER(Date_IA_PIP[Cérémonie],(Date_IA_PIP[Date début]&lt;=HY9)*(Date_IA_PIP[[Date fin ]]&gt;=HY9),"")))</f>
        <v>WE</v>
      </c>
      <c r="HZ7" s="104" t="str" cm="1">
        <f t="array" ref="HZ7">_xlfn.SINGLE(IFERROR(IF(WEEKDAY(_xlfn.SINGLE(9:9),2)&gt;5,"WE",IF(VLOOKUP(HZ9,Paramètres!$C$3:$C$42,1,FALSE)=HZ9,"Férié","")),_xlfn._xlws.FILTER(Date_IA_PIP[Cérémonie],(Date_IA_PIP[Date début]&lt;=HZ9)*(Date_IA_PIP[[Date fin ]]&gt;=HZ9),"")))</f>
        <v>WE</v>
      </c>
      <c r="IA7" s="104" t="str" cm="1">
        <f t="array" ref="IA7">_xlfn.SINGLE(IFERROR(IF(WEEKDAY(_xlfn.SINGLE(9:9),2)&gt;5,"WE",IF(VLOOKUP(IA9,Paramètres!$C$3:$C$42,1,FALSE)=IA9,"Férié","")),_xlfn._xlws.FILTER(Date_IA_PIP[Cérémonie],(Date_IA_PIP[Date début]&lt;=IA9)*(Date_IA_PIP[[Date fin ]]&gt;=IA9),"")))</f>
        <v/>
      </c>
      <c r="IB7" s="104" t="str" cm="1">
        <f t="array" ref="IB7">_xlfn.SINGLE(IFERROR(IF(WEEKDAY(_xlfn.SINGLE(9:9),2)&gt;5,"WE",IF(VLOOKUP(IB9,Paramètres!$C$3:$C$42,1,FALSE)=IB9,"Férié","")),_xlfn._xlws.FILTER(Date_IA_PIP[Cérémonie],(Date_IA_PIP[Date début]&lt;=IB9)*(Date_IA_PIP[[Date fin ]]&gt;=IB9),"")))</f>
        <v/>
      </c>
      <c r="IC7" s="104" t="str" cm="1">
        <f t="array" ref="IC7">_xlfn.SINGLE(IFERROR(IF(WEEKDAY(_xlfn.SINGLE(9:9),2)&gt;5,"WE",IF(VLOOKUP(IC9,Paramètres!$C$3:$C$42,1,FALSE)=IC9,"Férié","")),_xlfn._xlws.FILTER(Date_IA_PIP[Cérémonie],(Date_IA_PIP[Date début]&lt;=IC9)*(Date_IA_PIP[[Date fin ]]&gt;=IC9),"")))</f>
        <v/>
      </c>
      <c r="ID7" s="104" t="str" cm="1">
        <f t="array" ref="ID7">_xlfn.SINGLE(IFERROR(IF(WEEKDAY(_xlfn.SINGLE(9:9),2)&gt;5,"WE",IF(VLOOKUP(ID9,Paramètres!$C$3:$C$42,1,FALSE)=ID9,"Férié","")),_xlfn._xlws.FILTER(Date_IA_PIP[Cérémonie],(Date_IA_PIP[Date début]&lt;=ID9)*(Date_IA_PIP[[Date fin ]]&gt;=ID9),"")))</f>
        <v/>
      </c>
      <c r="IE7" s="104" t="str" cm="1">
        <f t="array" ref="IE7">_xlfn.SINGLE(IFERROR(IF(WEEKDAY(_xlfn.SINGLE(9:9),2)&gt;5,"WE",IF(VLOOKUP(IE9,Paramètres!$C$3:$C$42,1,FALSE)=IE9,"Férié","")),_xlfn._xlws.FILTER(Date_IA_PIP[Cérémonie],(Date_IA_PIP[Date début]&lt;=IE9)*(Date_IA_PIP[[Date fin ]]&gt;=IE9),"")))</f>
        <v/>
      </c>
      <c r="IF7" s="104" t="str" cm="1">
        <f t="array" ref="IF7">_xlfn.SINGLE(IFERROR(IF(WEEKDAY(_xlfn.SINGLE(9:9),2)&gt;5,"WE",IF(VLOOKUP(IF9,Paramètres!$C$3:$C$42,1,FALSE)=IF9,"Férié","")),_xlfn._xlws.FILTER(Date_IA_PIP[Cérémonie],(Date_IA_PIP[Date début]&lt;=IF9)*(Date_IA_PIP[[Date fin ]]&gt;=IF9),"")))</f>
        <v>WE</v>
      </c>
      <c r="IG7" s="104" t="str" cm="1">
        <f t="array" ref="IG7">_xlfn.SINGLE(IFERROR(IF(WEEKDAY(_xlfn.SINGLE(9:9),2)&gt;5,"WE",IF(VLOOKUP(IG9,Paramètres!$C$3:$C$42,1,FALSE)=IG9,"Férié","")),_xlfn._xlws.FILTER(Date_IA_PIP[Cérémonie],(Date_IA_PIP[Date début]&lt;=IG9)*(Date_IA_PIP[[Date fin ]]&gt;=IG9),"")))</f>
        <v>WE</v>
      </c>
      <c r="IH7" s="104" t="str" cm="1">
        <f t="array" ref="IH7">_xlfn.SINGLE(IFERROR(IF(WEEKDAY(_xlfn.SINGLE(9:9),2)&gt;5,"WE",IF(VLOOKUP(IH9,Paramètres!$C$3:$C$42,1,FALSE)=IH9,"Férié","")),_xlfn._xlws.FILTER(Date_IA_PIP[Cérémonie],(Date_IA_PIP[Date début]&lt;=IH9)*(Date_IA_PIP[[Date fin ]]&gt;=IH9),"")))</f>
        <v/>
      </c>
      <c r="II7" s="104" t="str" cm="1">
        <f t="array" ref="II7">_xlfn.SINGLE(IFERROR(IF(WEEKDAY(_xlfn.SINGLE(9:9),2)&gt;5,"WE",IF(VLOOKUP(II9,Paramètres!$C$3:$C$42,1,FALSE)=II9,"Férié","")),_xlfn._xlws.FILTER(Date_IA_PIP[Cérémonie],(Date_IA_PIP[Date début]&lt;=II9)*(Date_IA_PIP[[Date fin ]]&gt;=II9),"")))</f>
        <v/>
      </c>
      <c r="IJ7" s="104" t="str" cm="1">
        <f t="array" ref="IJ7">_xlfn.SINGLE(IFERROR(IF(WEEKDAY(_xlfn.SINGLE(9:9),2)&gt;5,"WE",IF(VLOOKUP(IJ9,Paramètres!$C$3:$C$42,1,FALSE)=IJ9,"Férié","")),_xlfn._xlws.FILTER(Date_IA_PIP[Cérémonie],(Date_IA_PIP[Date début]&lt;=IJ9)*(Date_IA_PIP[[Date fin ]]&gt;=IJ9),"")))</f>
        <v/>
      </c>
      <c r="IK7" s="104" t="str" cm="1">
        <f t="array" ref="IK7">_xlfn.SINGLE(IFERROR(IF(WEEKDAY(_xlfn.SINGLE(9:9),2)&gt;5,"WE",IF(VLOOKUP(IK9,Paramètres!$C$3:$C$42,1,FALSE)=IK9,"Férié","")),_xlfn._xlws.FILTER(Date_IA_PIP[Cérémonie],(Date_IA_PIP[Date début]&lt;=IK9)*(Date_IA_PIP[[Date fin ]]&gt;=IK9),"")))</f>
        <v/>
      </c>
      <c r="IL7" s="104" t="str" cm="1">
        <f t="array" ref="IL7">_xlfn.SINGLE(IFERROR(IF(WEEKDAY(_xlfn.SINGLE(9:9),2)&gt;5,"WE",IF(VLOOKUP(IL9,Paramètres!$C$3:$C$42,1,FALSE)=IL9,"Férié","")),_xlfn._xlws.FILTER(Date_IA_PIP[Cérémonie],(Date_IA_PIP[Date début]&lt;=IL9)*(Date_IA_PIP[[Date fin ]]&gt;=IL9),"")))</f>
        <v/>
      </c>
      <c r="IM7" s="104" t="str" cm="1">
        <f t="array" ref="IM7">_xlfn.SINGLE(IFERROR(IF(WEEKDAY(_xlfn.SINGLE(9:9),2)&gt;5,"WE",IF(VLOOKUP(IM9,Paramètres!$C$3:$C$42,1,FALSE)=IM9,"Férié","")),_xlfn._xlws.FILTER(Date_IA_PIP[Cérémonie],(Date_IA_PIP[Date début]&lt;=IM9)*(Date_IA_PIP[[Date fin ]]&gt;=IM9),"")))</f>
        <v>WE</v>
      </c>
      <c r="IN7" s="104" t="str" cm="1">
        <f t="array" ref="IN7">_xlfn.SINGLE(IFERROR(IF(WEEKDAY(_xlfn.SINGLE(9:9),2)&gt;5,"WE",IF(VLOOKUP(IN9,Paramètres!$C$3:$C$42,1,FALSE)=IN9,"Férié","")),_xlfn._xlws.FILTER(Date_IA_PIP[Cérémonie],(Date_IA_PIP[Date début]&lt;=IN9)*(Date_IA_PIP[[Date fin ]]&gt;=IN9),"")))</f>
        <v>WE</v>
      </c>
      <c r="IO7" s="104" t="str" cm="1">
        <f t="array" ref="IO7">_xlfn.SINGLE(IFERROR(IF(WEEKDAY(_xlfn.SINGLE(9:9),2)&gt;5,"WE",IF(VLOOKUP(IO9,Paramètres!$C$3:$C$42,1,FALSE)=IO9,"Férié","")),_xlfn._xlws.FILTER(Date_IA_PIP[Cérémonie],(Date_IA_PIP[Date début]&lt;=IO9)*(Date_IA_PIP[[Date fin ]]&gt;=IO9),"")))</f>
        <v/>
      </c>
      <c r="IP7" s="104" t="str" cm="1">
        <f t="array" ref="IP7">_xlfn.SINGLE(IFERROR(IF(WEEKDAY(_xlfn.SINGLE(9:9),2)&gt;5,"WE",IF(VLOOKUP(IP9,Paramètres!$C$3:$C$42,1,FALSE)=IP9,"Férié","")),_xlfn._xlws.FILTER(Date_IA_PIP[Cérémonie],(Date_IA_PIP[Date début]&lt;=IP9)*(Date_IA_PIP[[Date fin ]]&gt;=IP9),"")))</f>
        <v/>
      </c>
      <c r="IQ7" s="104" t="str" cm="1">
        <f t="array" ref="IQ7">_xlfn.SINGLE(IFERROR(IF(WEEKDAY(_xlfn.SINGLE(9:9),2)&gt;5,"WE",IF(VLOOKUP(IQ9,Paramètres!$C$3:$C$42,1,FALSE)=IQ9,"Férié","")),_xlfn._xlws.FILTER(Date_IA_PIP[Cérémonie],(Date_IA_PIP[Date début]&lt;=IQ9)*(Date_IA_PIP[[Date fin ]]&gt;=IQ9),"")))</f>
        <v/>
      </c>
      <c r="IR7" s="104" t="str" cm="1">
        <f t="array" ref="IR7">_xlfn.SINGLE(IFERROR(IF(WEEKDAY(_xlfn.SINGLE(9:9),2)&gt;5,"WE",IF(VLOOKUP(IR9,Paramètres!$C$3:$C$42,1,FALSE)=IR9,"Férié","")),_xlfn._xlws.FILTER(Date_IA_PIP[Cérémonie],(Date_IA_PIP[Date début]&lt;=IR9)*(Date_IA_PIP[[Date fin ]]&gt;=IR9),"")))</f>
        <v/>
      </c>
      <c r="IS7" s="104" t="str" cm="1">
        <f t="array" ref="IS7">_xlfn.SINGLE(IFERROR(IF(WEEKDAY(_xlfn.SINGLE(9:9),2)&gt;5,"WE",IF(VLOOKUP(IS9,Paramètres!$C$3:$C$42,1,FALSE)=IS9,"Férié","")),_xlfn._xlws.FILTER(Date_IA_PIP[Cérémonie],(Date_IA_PIP[Date début]&lt;=IS9)*(Date_IA_PIP[[Date fin ]]&gt;=IS9),"")))</f>
        <v/>
      </c>
      <c r="IT7" s="104" t="str" cm="1">
        <f t="array" ref="IT7">_xlfn.SINGLE(IFERROR(IF(WEEKDAY(_xlfn.SINGLE(9:9),2)&gt;5,"WE",IF(VLOOKUP(IT9,Paramètres!$C$3:$C$42,1,FALSE)=IT9,"Férié","")),_xlfn._xlws.FILTER(Date_IA_PIP[Cérémonie],(Date_IA_PIP[Date début]&lt;=IT9)*(Date_IA_PIP[[Date fin ]]&gt;=IT9),"")))</f>
        <v>WE</v>
      </c>
      <c r="IU7" s="104" t="str" cm="1">
        <f t="array" ref="IU7">_xlfn.SINGLE(IFERROR(IF(WEEKDAY(_xlfn.SINGLE(9:9),2)&gt;5,"WE",IF(VLOOKUP(IU9,Paramètres!$C$3:$C$42,1,FALSE)=IU9,"Férié","")),_xlfn._xlws.FILTER(Date_IA_PIP[Cérémonie],(Date_IA_PIP[Date début]&lt;=IU9)*(Date_IA_PIP[[Date fin ]]&gt;=IU9),"")))</f>
        <v>WE</v>
      </c>
      <c r="IV7" s="104" t="str" cm="1">
        <f t="array" ref="IV7">_xlfn.SINGLE(IFERROR(IF(WEEKDAY(_xlfn.SINGLE(9:9),2)&gt;5,"WE",IF(VLOOKUP(IV9,Paramètres!$C$3:$C$42,1,FALSE)=IV9,"Férié","")),_xlfn._xlws.FILTER(Date_IA_PIP[Cérémonie],(Date_IA_PIP[Date début]&lt;=IV9)*(Date_IA_PIP[[Date fin ]]&gt;=IV9),"")))</f>
        <v/>
      </c>
      <c r="IW7" s="104" t="str" cm="1">
        <f t="array" ref="IW7">_xlfn.SINGLE(IFERROR(IF(WEEKDAY(_xlfn.SINGLE(9:9),2)&gt;5,"WE",IF(VLOOKUP(IW9,Paramètres!$C$3:$C$42,1,FALSE)=IW9,"Férié","")),_xlfn._xlws.FILTER(Date_IA_PIP[Cérémonie],(Date_IA_PIP[Date début]&lt;=IW9)*(Date_IA_PIP[[Date fin ]]&gt;=IW9),"")))</f>
        <v/>
      </c>
      <c r="IX7" s="104" t="str" cm="1">
        <f t="array" ref="IX7">_xlfn.SINGLE(IFERROR(IF(WEEKDAY(_xlfn.SINGLE(9:9),2)&gt;5,"WE",IF(VLOOKUP(IX9,Paramètres!$C$3:$C$42,1,FALSE)=IX9,"Férié","")),_xlfn._xlws.FILTER(Date_IA_PIP[Cérémonie],(Date_IA_PIP[Date début]&lt;=IX9)*(Date_IA_PIP[[Date fin ]]&gt;=IX9),"")))</f>
        <v/>
      </c>
      <c r="IY7" s="104" t="str" cm="1">
        <f t="array" ref="IY7">_xlfn.SINGLE(IFERROR(IF(WEEKDAY(_xlfn.SINGLE(9:9),2)&gt;5,"WE",IF(VLOOKUP(IY9,Paramètres!$C$3:$C$42,1,FALSE)=IY9,"Férié","")),_xlfn._xlws.FILTER(Date_IA_PIP[Cérémonie],(Date_IA_PIP[Date début]&lt;=IY9)*(Date_IA_PIP[[Date fin ]]&gt;=IY9),"")))</f>
        <v/>
      </c>
      <c r="IZ7" s="104" t="str" cm="1">
        <f t="array" ref="IZ7">_xlfn.SINGLE(IFERROR(IF(WEEKDAY(_xlfn.SINGLE(9:9),2)&gt;5,"WE",IF(VLOOKUP(IZ9,Paramètres!$C$3:$C$42,1,FALSE)=IZ9,"Férié","")),_xlfn._xlws.FILTER(Date_IA_PIP[Cérémonie],(Date_IA_PIP[Date début]&lt;=IZ9)*(Date_IA_PIP[[Date fin ]]&gt;=IZ9),"")))</f>
        <v>Férié</v>
      </c>
      <c r="JA7" s="104" t="str" cm="1">
        <f t="array" ref="JA7">_xlfn.SINGLE(IFERROR(IF(WEEKDAY(_xlfn.SINGLE(9:9),2)&gt;5,"WE",IF(VLOOKUP(JA9,Paramètres!$C$3:$C$42,1,FALSE)=JA9,"Férié","")),_xlfn._xlws.FILTER(Date_IA_PIP[Cérémonie],(Date_IA_PIP[Date début]&lt;=JA9)*(Date_IA_PIP[[Date fin ]]&gt;=JA9),"")))</f>
        <v>WE</v>
      </c>
      <c r="JB7" s="104" t="str" cm="1">
        <f t="array" ref="JB7">_xlfn.SINGLE(IFERROR(IF(WEEKDAY(_xlfn.SINGLE(9:9),2)&gt;5,"WE",IF(VLOOKUP(JB9,Paramètres!$C$3:$C$42,1,FALSE)=JB9,"Férié","")),_xlfn._xlws.FILTER(Date_IA_PIP[Cérémonie],(Date_IA_PIP[Date début]&lt;=JB9)*(Date_IA_PIP[[Date fin ]]&gt;=JB9),"")))</f>
        <v>WE</v>
      </c>
      <c r="JC7" s="104" t="str" cm="1">
        <f t="array" ref="JC7">_xlfn.SINGLE(IFERROR(IF(WEEKDAY(_xlfn.SINGLE(9:9),2)&gt;5,"WE",IF(VLOOKUP(JC9,Paramètres!$C$3:$C$42,1,FALSE)=JC9,"Férié","")),_xlfn._xlws.FILTER(Date_IA_PIP[Cérémonie],(Date_IA_PIP[Date début]&lt;=JC9)*(Date_IA_PIP[[Date fin ]]&gt;=JC9),"")))</f>
        <v/>
      </c>
      <c r="JD7" s="104" t="str" cm="1">
        <f t="array" ref="JD7">_xlfn.SINGLE(IFERROR(IF(WEEKDAY(_xlfn.SINGLE(9:9),2)&gt;5,"WE",IF(VLOOKUP(JD9,Paramètres!$C$3:$C$42,1,FALSE)=JD9,"Férié","")),_xlfn._xlws.FILTER(Date_IA_PIP[Cérémonie],(Date_IA_PIP[Date début]&lt;=JD9)*(Date_IA_PIP[[Date fin ]]&gt;=JD9),"")))</f>
        <v/>
      </c>
      <c r="JE7" s="104" t="str" cm="1">
        <f t="array" ref="JE7">_xlfn.SINGLE(IFERROR(IF(WEEKDAY(_xlfn.SINGLE(9:9),2)&gt;5,"WE",IF(VLOOKUP(JE9,Paramètres!$C$3:$C$42,1,FALSE)=JE9,"Férié","")),_xlfn._xlws.FILTER(Date_IA_PIP[Cérémonie],(Date_IA_PIP[Date début]&lt;=JE9)*(Date_IA_PIP[[Date fin ]]&gt;=JE9),"")))</f>
        <v/>
      </c>
      <c r="JF7" s="104" t="str" cm="1">
        <f t="array" ref="JF7">_xlfn.SINGLE(IFERROR(IF(WEEKDAY(_xlfn.SINGLE(9:9),2)&gt;5,"WE",IF(VLOOKUP(JF9,Paramètres!$C$3:$C$42,1,FALSE)=JF9,"Férié","")),_xlfn._xlws.FILTER(Date_IA_PIP[Cérémonie],(Date_IA_PIP[Date début]&lt;=JF9)*(Date_IA_PIP[[Date fin ]]&gt;=JF9),"")))</f>
        <v/>
      </c>
      <c r="JG7" s="104" t="str" cm="1">
        <f t="array" ref="JG7">_xlfn.SINGLE(IFERROR(IF(WEEKDAY(_xlfn.SINGLE(9:9),2)&gt;5,"WE",IF(VLOOKUP(JG9,Paramètres!$C$3:$C$42,1,FALSE)=JG9,"Férié","")),_xlfn._xlws.FILTER(Date_IA_PIP[Cérémonie],(Date_IA_PIP[Date début]&lt;=JG9)*(Date_IA_PIP[[Date fin ]]&gt;=JG9),"")))</f>
        <v/>
      </c>
      <c r="JH7" s="104" t="str" cm="1">
        <f t="array" ref="JH7">_xlfn.SINGLE(IFERROR(IF(WEEKDAY(_xlfn.SINGLE(9:9),2)&gt;5,"WE",IF(VLOOKUP(JH9,Paramètres!$C$3:$C$42,1,FALSE)=JH9,"Férié","")),_xlfn._xlws.FILTER(Date_IA_PIP[Cérémonie],(Date_IA_PIP[Date début]&lt;=JH9)*(Date_IA_PIP[[Date fin ]]&gt;=JH9),"")))</f>
        <v>WE</v>
      </c>
      <c r="JI7" s="104" t="str" cm="1">
        <f t="array" ref="JI7">_xlfn.SINGLE(IFERROR(IF(WEEKDAY(_xlfn.SINGLE(9:9),2)&gt;5,"WE",IF(VLOOKUP(JI9,Paramètres!$C$3:$C$42,1,FALSE)=JI9,"Férié","")),_xlfn._xlws.FILTER(Date_IA_PIP[Cérémonie],(Date_IA_PIP[Date début]&lt;=JI9)*(Date_IA_PIP[[Date fin ]]&gt;=JI9),"")))</f>
        <v>WE</v>
      </c>
      <c r="JJ7" s="104" t="str" cm="1">
        <f t="array" ref="JJ7">_xlfn.SINGLE(IFERROR(IF(WEEKDAY(_xlfn.SINGLE(9:9),2)&gt;5,"WE",IF(VLOOKUP(JJ9,Paramètres!$C$3:$C$42,1,FALSE)=JJ9,"Férié","")),_xlfn._xlws.FILTER(Date_IA_PIP[Cérémonie],(Date_IA_PIP[Date début]&lt;=JJ9)*(Date_IA_PIP[[Date fin ]]&gt;=JJ9),"")))</f>
        <v/>
      </c>
      <c r="JK7" s="104" t="str" cm="1">
        <f t="array" ref="JK7">_xlfn.SINGLE(IFERROR(IF(WEEKDAY(_xlfn.SINGLE(9:9),2)&gt;5,"WE",IF(VLOOKUP(JK9,Paramètres!$C$3:$C$42,1,FALSE)=JK9,"Férié","")),_xlfn._xlws.FILTER(Date_IA_PIP[Cérémonie],(Date_IA_PIP[Date début]&lt;=JK9)*(Date_IA_PIP[[Date fin ]]&gt;=JK9),"")))</f>
        <v/>
      </c>
      <c r="JL7" s="104" t="str" cm="1">
        <f t="array" ref="JL7">_xlfn.SINGLE(IFERROR(IF(WEEKDAY(_xlfn.SINGLE(9:9),2)&gt;5,"WE",IF(VLOOKUP(JL9,Paramètres!$C$3:$C$42,1,FALSE)=JL9,"Férié","")),_xlfn._xlws.FILTER(Date_IA_PIP[Cérémonie],(Date_IA_PIP[Date début]&lt;=JL9)*(Date_IA_PIP[[Date fin ]]&gt;=JL9),"")))</f>
        <v/>
      </c>
      <c r="JM7" s="104" t="str" cm="1">
        <f t="array" ref="JM7">_xlfn.SINGLE(IFERROR(IF(WEEKDAY(_xlfn.SINGLE(9:9),2)&gt;5,"WE",IF(VLOOKUP(JM9,Paramètres!$C$3:$C$42,1,FALSE)=JM9,"Férié","")),_xlfn._xlws.FILTER(Date_IA_PIP[Cérémonie],(Date_IA_PIP[Date début]&lt;=JM9)*(Date_IA_PIP[[Date fin ]]&gt;=JM9),"")))</f>
        <v/>
      </c>
      <c r="JN7" s="104" t="str" cm="1">
        <f t="array" ref="JN7">_xlfn.SINGLE(IFERROR(IF(WEEKDAY(_xlfn.SINGLE(9:9),2)&gt;5,"WE",IF(VLOOKUP(JN9,Paramètres!$C$3:$C$42,1,FALSE)=JN9,"Férié","")),_xlfn._xlws.FILTER(Date_IA_PIP[Cérémonie],(Date_IA_PIP[Date début]&lt;=JN9)*(Date_IA_PIP[[Date fin ]]&gt;=JN9),"")))</f>
        <v/>
      </c>
      <c r="JO7" s="104" t="str" cm="1">
        <f t="array" ref="JO7">_xlfn.SINGLE(IFERROR(IF(WEEKDAY(_xlfn.SINGLE(9:9),2)&gt;5,"WE",IF(VLOOKUP(JO9,Paramètres!$C$3:$C$42,1,FALSE)=JO9,"Férié","")),_xlfn._xlws.FILTER(Date_IA_PIP[Cérémonie],(Date_IA_PIP[Date début]&lt;=JO9)*(Date_IA_PIP[[Date fin ]]&gt;=JO9),"")))</f>
        <v>WE</v>
      </c>
      <c r="JP7" s="104" t="str" cm="1">
        <f t="array" ref="JP7">_xlfn.SINGLE(IFERROR(IF(WEEKDAY(_xlfn.SINGLE(9:9),2)&gt;5,"WE",IF(VLOOKUP(JP9,Paramètres!$C$3:$C$42,1,FALSE)=JP9,"Férié","")),_xlfn._xlws.FILTER(Date_IA_PIP[Cérémonie],(Date_IA_PIP[Date début]&lt;=JP9)*(Date_IA_PIP[[Date fin ]]&gt;=JP9),"")))</f>
        <v>WE</v>
      </c>
      <c r="JQ7" s="104" t="str" cm="1">
        <f t="array" ref="JQ7">_xlfn.SINGLE(IFERROR(IF(WEEKDAY(_xlfn.SINGLE(9:9),2)&gt;5,"WE",IF(VLOOKUP(JQ9,Paramètres!$C$3:$C$42,1,FALSE)=JQ9,"Férié","")),_xlfn._xlws.FILTER(Date_IA_PIP[Cérémonie],(Date_IA_PIP[Date début]&lt;=JQ9)*(Date_IA_PIP[[Date fin ]]&gt;=JQ9),"")))</f>
        <v/>
      </c>
      <c r="JR7" s="104" t="str" cm="1">
        <f t="array" ref="JR7">_xlfn.SINGLE(IFERROR(IF(WEEKDAY(_xlfn.SINGLE(9:9),2)&gt;5,"WE",IF(VLOOKUP(JR9,Paramètres!$C$3:$C$42,1,FALSE)=JR9,"Férié","")),_xlfn._xlws.FILTER(Date_IA_PIP[Cérémonie],(Date_IA_PIP[Date début]&lt;=JR9)*(Date_IA_PIP[[Date fin ]]&gt;=JR9),"")))</f>
        <v/>
      </c>
      <c r="JS7" s="104" t="str" cm="1">
        <f t="array" ref="JS7">_xlfn.SINGLE(IFERROR(IF(WEEKDAY(_xlfn.SINGLE(9:9),2)&gt;5,"WE",IF(VLOOKUP(JS9,Paramètres!$C$3:$C$42,1,FALSE)=JS9,"Férié","")),_xlfn._xlws.FILTER(Date_IA_PIP[Cérémonie],(Date_IA_PIP[Date début]&lt;=JS9)*(Date_IA_PIP[[Date fin ]]&gt;=JS9),"")))</f>
        <v/>
      </c>
      <c r="JT7" s="104" t="str" cm="1">
        <f t="array" ref="JT7">_xlfn.SINGLE(IFERROR(IF(WEEKDAY(_xlfn.SINGLE(9:9),2)&gt;5,"WE",IF(VLOOKUP(JT9,Paramètres!$C$3:$C$42,1,FALSE)=JT9,"Férié","")),_xlfn._xlws.FILTER(Date_IA_PIP[Cérémonie],(Date_IA_PIP[Date début]&lt;=JT9)*(Date_IA_PIP[[Date fin ]]&gt;=JT9),"")))</f>
        <v/>
      </c>
      <c r="JU7" s="104" t="str" cm="1">
        <f t="array" ref="JU7">_xlfn.SINGLE(IFERROR(IF(WEEKDAY(_xlfn.SINGLE(9:9),2)&gt;5,"WE",IF(VLOOKUP(JU9,Paramètres!$C$3:$C$42,1,FALSE)=JU9,"Férié","")),_xlfn._xlws.FILTER(Date_IA_PIP[Cérémonie],(Date_IA_PIP[Date début]&lt;=JU9)*(Date_IA_PIP[[Date fin ]]&gt;=JU9),"")))</f>
        <v/>
      </c>
      <c r="JV7" s="104" t="str" cm="1">
        <f t="array" ref="JV7">_xlfn.SINGLE(IFERROR(IF(WEEKDAY(_xlfn.SINGLE(9:9),2)&gt;5,"WE",IF(VLOOKUP(JV9,Paramètres!$C$3:$C$42,1,FALSE)=JV9,"Férié","")),_xlfn._xlws.FILTER(Date_IA_PIP[Cérémonie],(Date_IA_PIP[Date début]&lt;=JV9)*(Date_IA_PIP[[Date fin ]]&gt;=JV9),"")))</f>
        <v>WE</v>
      </c>
      <c r="JW7" s="104" t="str" cm="1">
        <f t="array" ref="JW7">_xlfn.SINGLE(IFERROR(IF(WEEKDAY(_xlfn.SINGLE(9:9),2)&gt;5,"WE",IF(VLOOKUP(JW9,Paramètres!$C$3:$C$42,1,FALSE)=JW9,"Férié","")),_xlfn._xlws.FILTER(Date_IA_PIP[Cérémonie],(Date_IA_PIP[Date début]&lt;=JW9)*(Date_IA_PIP[[Date fin ]]&gt;=JW9),"")))</f>
        <v>WE</v>
      </c>
      <c r="JX7" s="104" t="str" cm="1">
        <f t="array" ref="JX7">_xlfn.SINGLE(IFERROR(IF(WEEKDAY(_xlfn.SINGLE(9:9),2)&gt;5,"WE",IF(VLOOKUP(JX9,Paramètres!$C$3:$C$42,1,FALSE)=JX9,"Férié","")),_xlfn._xlws.FILTER(Date_IA_PIP[Cérémonie],(Date_IA_PIP[Date début]&lt;=JX9)*(Date_IA_PIP[[Date fin ]]&gt;=JX9),"")))</f>
        <v/>
      </c>
      <c r="JY7" s="104" t="str" cm="1">
        <f t="array" ref="JY7">_xlfn.SINGLE(IFERROR(IF(WEEKDAY(_xlfn.SINGLE(9:9),2)&gt;5,"WE",IF(VLOOKUP(JY9,Paramètres!$C$3:$C$42,1,FALSE)=JY9,"Férié","")),_xlfn._xlws.FILTER(Date_IA_PIP[Cérémonie],(Date_IA_PIP[Date début]&lt;=JY9)*(Date_IA_PIP[[Date fin ]]&gt;=JY9),"")))</f>
        <v/>
      </c>
      <c r="JZ7" s="104" t="str" cm="1">
        <f t="array" ref="JZ7">_xlfn.SINGLE(IFERROR(IF(WEEKDAY(_xlfn.SINGLE(9:9),2)&gt;5,"WE",IF(VLOOKUP(JZ9,Paramètres!$C$3:$C$42,1,FALSE)=JZ9,"Férié","")),_xlfn._xlws.FILTER(Date_IA_PIP[Cérémonie],(Date_IA_PIP[Date début]&lt;=JZ9)*(Date_IA_PIP[[Date fin ]]&gt;=JZ9),"")))</f>
        <v/>
      </c>
      <c r="KA7" s="104" t="str" cm="1">
        <f t="array" ref="KA7">_xlfn.SINGLE(IFERROR(IF(WEEKDAY(_xlfn.SINGLE(9:9),2)&gt;5,"WE",IF(VLOOKUP(KA9,Paramètres!$C$3:$C$42,1,FALSE)=KA9,"Férié","")),_xlfn._xlws.FILTER(Date_IA_PIP[Cérémonie],(Date_IA_PIP[Date début]&lt;=KA9)*(Date_IA_PIP[[Date fin ]]&gt;=KA9),"")))</f>
        <v/>
      </c>
      <c r="KB7" s="104" t="str" cm="1">
        <f t="array" ref="KB7">_xlfn.SINGLE(IFERROR(IF(WEEKDAY(_xlfn.SINGLE(9:9),2)&gt;5,"WE",IF(VLOOKUP(KB9,Paramètres!$C$3:$C$42,1,FALSE)=KB9,"Férié","")),_xlfn._xlws.FILTER(Date_IA_PIP[Cérémonie],(Date_IA_PIP[Date début]&lt;=KB9)*(Date_IA_PIP[[Date fin ]]&gt;=KB9),"")))</f>
        <v/>
      </c>
      <c r="KC7" s="104" t="str" cm="1">
        <f t="array" ref="KC7">_xlfn.SINGLE(IFERROR(IF(WEEKDAY(_xlfn.SINGLE(9:9),2)&gt;5,"WE",IF(VLOOKUP(KC9,Paramètres!$C$3:$C$42,1,FALSE)=KC9,"Férié","")),_xlfn._xlws.FILTER(Date_IA_PIP[Cérémonie],(Date_IA_PIP[Date début]&lt;=KC9)*(Date_IA_PIP[[Date fin ]]&gt;=KC9),"")))</f>
        <v>WE</v>
      </c>
      <c r="KD7" s="104" t="str" cm="1">
        <f t="array" ref="KD7">_xlfn.SINGLE(IFERROR(IF(WEEKDAY(_xlfn.SINGLE(9:9),2)&gt;5,"WE",IF(VLOOKUP(KD9,Paramètres!$C$3:$C$42,1,FALSE)=KD9,"Férié","")),_xlfn._xlws.FILTER(Date_IA_PIP[Cérémonie],(Date_IA_PIP[Date début]&lt;=KD9)*(Date_IA_PIP[[Date fin ]]&gt;=KD9),"")))</f>
        <v>WE</v>
      </c>
      <c r="KE7" s="104" t="str" cm="1">
        <f t="array" ref="KE7">_xlfn.SINGLE(IFERROR(IF(WEEKDAY(_xlfn.SINGLE(9:9),2)&gt;5,"WE",IF(VLOOKUP(KE9,Paramètres!$C$3:$C$42,1,FALSE)=KE9,"Férié","")),_xlfn._xlws.FILTER(Date_IA_PIP[Cérémonie],(Date_IA_PIP[Date début]&lt;=KE9)*(Date_IA_PIP[[Date fin ]]&gt;=KE9),"")))</f>
        <v/>
      </c>
      <c r="KF7" s="104" t="str" cm="1">
        <f t="array" ref="KF7">_xlfn.SINGLE(IFERROR(IF(WEEKDAY(_xlfn.SINGLE(9:9),2)&gt;5,"WE",IF(VLOOKUP(KF9,Paramètres!$C$3:$C$42,1,FALSE)=KF9,"Férié","")),_xlfn._xlws.FILTER(Date_IA_PIP[Cérémonie],(Date_IA_PIP[Date début]&lt;=KF9)*(Date_IA_PIP[[Date fin ]]&gt;=KF9),"")))</f>
        <v/>
      </c>
      <c r="KG7" s="104" t="str" cm="1">
        <f t="array" ref="KG7">_xlfn.SINGLE(IFERROR(IF(WEEKDAY(_xlfn.SINGLE(9:9),2)&gt;5,"WE",IF(VLOOKUP(KG9,Paramètres!$C$3:$C$42,1,FALSE)=KG9,"Férié","")),_xlfn._xlws.FILTER(Date_IA_PIP[Cérémonie],(Date_IA_PIP[Date début]&lt;=KG9)*(Date_IA_PIP[[Date fin ]]&gt;=KG9),"")))</f>
        <v/>
      </c>
      <c r="KH7" s="104" t="str" cm="1">
        <f t="array" ref="KH7">_xlfn.SINGLE(IFERROR(IF(WEEKDAY(_xlfn.SINGLE(9:9),2)&gt;5,"WE",IF(VLOOKUP(KH9,Paramètres!$C$3:$C$42,1,FALSE)=KH9,"Férié","")),_xlfn._xlws.FILTER(Date_IA_PIP[Cérémonie],(Date_IA_PIP[Date début]&lt;=KH9)*(Date_IA_PIP[[Date fin ]]&gt;=KH9),"")))</f>
        <v/>
      </c>
      <c r="KI7" s="104" t="str" cm="1">
        <f t="array" ref="KI7">_xlfn.SINGLE(IFERROR(IF(WEEKDAY(_xlfn.SINGLE(9:9),2)&gt;5,"WE",IF(VLOOKUP(KI9,Paramètres!$C$3:$C$42,1,FALSE)=KI9,"Férié","")),_xlfn._xlws.FILTER(Date_IA_PIP[Cérémonie],(Date_IA_PIP[Date début]&lt;=KI9)*(Date_IA_PIP[[Date fin ]]&gt;=KI9),"")))</f>
        <v/>
      </c>
      <c r="KJ7" s="104" t="str" cm="1">
        <f t="array" ref="KJ7">_xlfn.SINGLE(IFERROR(IF(WEEKDAY(_xlfn.SINGLE(9:9),2)&gt;5,"WE",IF(VLOOKUP(KJ9,Paramètres!$C$3:$C$42,1,FALSE)=KJ9,"Férié","")),_xlfn._xlws.FILTER(Date_IA_PIP[Cérémonie],(Date_IA_PIP[Date début]&lt;=KJ9)*(Date_IA_PIP[[Date fin ]]&gt;=KJ9),"")))</f>
        <v>WE</v>
      </c>
      <c r="KK7" s="104" t="str" cm="1">
        <f t="array" ref="KK7">_xlfn.SINGLE(IFERROR(IF(WEEKDAY(_xlfn.SINGLE(9:9),2)&gt;5,"WE",IF(VLOOKUP(KK9,Paramètres!$C$3:$C$42,1,FALSE)=KK9,"Férié","")),_xlfn._xlws.FILTER(Date_IA_PIP[Cérémonie],(Date_IA_PIP[Date début]&lt;=KK9)*(Date_IA_PIP[[Date fin ]]&gt;=KK9),"")))</f>
        <v>WE</v>
      </c>
      <c r="KL7" s="104" t="str" cm="1">
        <f t="array" ref="KL7">_xlfn.SINGLE(IFERROR(IF(WEEKDAY(_xlfn.SINGLE(9:9),2)&gt;5,"WE",IF(VLOOKUP(KL9,Paramètres!$C$3:$C$42,1,FALSE)=KL9,"Férié","")),_xlfn._xlws.FILTER(Date_IA_PIP[Cérémonie],(Date_IA_PIP[Date début]&lt;=KL9)*(Date_IA_PIP[[Date fin ]]&gt;=KL9),"")))</f>
        <v/>
      </c>
      <c r="KM7" s="104" t="str" cm="1">
        <f t="array" ref="KM7">_xlfn.SINGLE(IFERROR(IF(WEEKDAY(_xlfn.SINGLE(9:9),2)&gt;5,"WE",IF(VLOOKUP(KM9,Paramètres!$C$3:$C$42,1,FALSE)=KM9,"Férié","")),_xlfn._xlws.FILTER(Date_IA_PIP[Cérémonie],(Date_IA_PIP[Date début]&lt;=KM9)*(Date_IA_PIP[[Date fin ]]&gt;=KM9),"")))</f>
        <v>I&amp;A</v>
      </c>
      <c r="KN7" s="104" t="str" cm="1">
        <f t="array" ref="KN7">_xlfn.SINGLE(IFERROR(IF(WEEKDAY(_xlfn.SINGLE(9:9),2)&gt;5,"WE",IF(VLOOKUP(KN9,Paramètres!$C$3:$C$42,1,FALSE)=KN9,"Férié","")),_xlfn._xlws.FILTER(Date_IA_PIP[Cérémonie],(Date_IA_PIP[Date début]&lt;=KN9)*(Date_IA_PIP[[Date fin ]]&gt;=KN9),"")))</f>
        <v>PIP</v>
      </c>
      <c r="KO7" s="104" t="str" cm="1">
        <f t="array" ref="KO7">_xlfn.SINGLE(IFERROR(IF(WEEKDAY(_xlfn.SINGLE(9:9),2)&gt;5,"WE",IF(VLOOKUP(KO9,Paramètres!$C$3:$C$42,1,FALSE)=KO9,"Férié","")),_xlfn._xlws.FILTER(Date_IA_PIP[Cérémonie],(Date_IA_PIP[Date début]&lt;=KO9)*(Date_IA_PIP[[Date fin ]]&gt;=KO9),"")))</f>
        <v>PIP</v>
      </c>
      <c r="KP7" s="104" t="str" cm="1">
        <f t="array" ref="KP7">_xlfn.SINGLE(IFERROR(IF(WEEKDAY(_xlfn.SINGLE(9:9),2)&gt;5,"WE",IF(VLOOKUP(KP9,Paramètres!$C$3:$C$42,1,FALSE)=KP9,"Férié","")),_xlfn._xlws.FILTER(Date_IA_PIP[Cérémonie],(Date_IA_PIP[Date début]&lt;=KP9)*(Date_IA_PIP[[Date fin ]]&gt;=KP9),"")))</f>
        <v/>
      </c>
      <c r="KQ7" s="104" t="str" cm="1">
        <f t="array" ref="KQ7">_xlfn.SINGLE(IFERROR(IF(WEEKDAY(_xlfn.SINGLE(9:9),2)&gt;5,"WE",IF(VLOOKUP(KQ9,Paramètres!$C$3:$C$42,1,FALSE)=KQ9,"Férié","")),_xlfn._xlws.FILTER(Date_IA_PIP[Cérémonie],(Date_IA_PIP[Date début]&lt;=KQ9)*(Date_IA_PIP[[Date fin ]]&gt;=KQ9),"")))</f>
        <v>WE</v>
      </c>
      <c r="KR7" s="104" t="str" cm="1">
        <f t="array" ref="KR7">_xlfn.SINGLE(IFERROR(IF(WEEKDAY(_xlfn.SINGLE(9:9),2)&gt;5,"WE",IF(VLOOKUP(KR9,Paramètres!$C$3:$C$42,1,FALSE)=KR9,"Férié","")),_xlfn._xlws.FILTER(Date_IA_PIP[Cérémonie],(Date_IA_PIP[Date début]&lt;=KR9)*(Date_IA_PIP[[Date fin ]]&gt;=KR9),"")))</f>
        <v>WE</v>
      </c>
      <c r="KS7" s="104" t="str" cm="1">
        <f t="array" ref="KS7">_xlfn.SINGLE(IFERROR(IF(WEEKDAY(_xlfn.SINGLE(9:9),2)&gt;5,"WE",IF(VLOOKUP(KS9,Paramètres!$C$3:$C$42,1,FALSE)=KS9,"Férié","")),_xlfn._xlws.FILTER(Date_IA_PIP[Cérémonie],(Date_IA_PIP[Date début]&lt;=KS9)*(Date_IA_PIP[[Date fin ]]&gt;=KS9),"")))</f>
        <v/>
      </c>
      <c r="KT7" s="104" t="str" cm="1">
        <f t="array" ref="KT7">_xlfn.SINGLE(IFERROR(IF(WEEKDAY(_xlfn.SINGLE(9:9),2)&gt;5,"WE",IF(VLOOKUP(KT9,Paramètres!$C$3:$C$42,1,FALSE)=KT9,"Férié","")),_xlfn._xlws.FILTER(Date_IA_PIP[Cérémonie],(Date_IA_PIP[Date début]&lt;=KT9)*(Date_IA_PIP[[Date fin ]]&gt;=KT9),"")))</f>
        <v/>
      </c>
      <c r="KU7" s="104" t="str" cm="1">
        <f t="array" ref="KU7">_xlfn.SINGLE(IFERROR(IF(WEEKDAY(_xlfn.SINGLE(9:9),2)&gt;5,"WE",IF(VLOOKUP(KU9,Paramètres!$C$3:$C$42,1,FALSE)=KU9,"Férié","")),_xlfn._xlws.FILTER(Date_IA_PIP[Cérémonie],(Date_IA_PIP[Date début]&lt;=KU9)*(Date_IA_PIP[[Date fin ]]&gt;=KU9),"")))</f>
        <v/>
      </c>
      <c r="KV7" s="104" t="str" cm="1">
        <f t="array" ref="KV7">_xlfn.SINGLE(IFERROR(IF(WEEKDAY(_xlfn.SINGLE(9:9),2)&gt;5,"WE",IF(VLOOKUP(KV9,Paramètres!$C$3:$C$42,1,FALSE)=KV9,"Férié","")),_xlfn._xlws.FILTER(Date_IA_PIP[Cérémonie],(Date_IA_PIP[Date début]&lt;=KV9)*(Date_IA_PIP[[Date fin ]]&gt;=KV9),"")))</f>
        <v/>
      </c>
      <c r="KW7" s="104" t="str" cm="1">
        <f t="array" ref="KW7">_xlfn.SINGLE(IFERROR(IF(WEEKDAY(_xlfn.SINGLE(9:9),2)&gt;5,"WE",IF(VLOOKUP(KW9,Paramètres!$C$3:$C$42,1,FALSE)=KW9,"Férié","")),_xlfn._xlws.FILTER(Date_IA_PIP[Cérémonie],(Date_IA_PIP[Date début]&lt;=KW9)*(Date_IA_PIP[[Date fin ]]&gt;=KW9),"")))</f>
        <v/>
      </c>
      <c r="KX7" s="104" t="str" cm="1">
        <f t="array" ref="KX7">_xlfn.SINGLE(IFERROR(IF(WEEKDAY(_xlfn.SINGLE(9:9),2)&gt;5,"WE",IF(VLOOKUP(KX9,Paramètres!$C$3:$C$42,1,FALSE)=KX9,"Férié","")),_xlfn._xlws.FILTER(Date_IA_PIP[Cérémonie],(Date_IA_PIP[Date début]&lt;=KX9)*(Date_IA_PIP[[Date fin ]]&gt;=KX9),"")))</f>
        <v>WE</v>
      </c>
      <c r="KY7" s="104" t="str" cm="1">
        <f t="array" ref="KY7">_xlfn.SINGLE(IFERROR(IF(WEEKDAY(_xlfn.SINGLE(9:9),2)&gt;5,"WE",IF(VLOOKUP(KY9,Paramètres!$C$3:$C$42,1,FALSE)=KY9,"Férié","")),_xlfn._xlws.FILTER(Date_IA_PIP[Cérémonie],(Date_IA_PIP[Date début]&lt;=KY9)*(Date_IA_PIP[[Date fin ]]&gt;=KY9),"")))</f>
        <v>WE</v>
      </c>
      <c r="KZ7" s="104" t="str" cm="1">
        <f t="array" ref="KZ7">_xlfn.SINGLE(IFERROR(IF(WEEKDAY(_xlfn.SINGLE(9:9),2)&gt;5,"WE",IF(VLOOKUP(KZ9,Paramètres!$C$3:$C$42,1,FALSE)=KZ9,"Férié","")),_xlfn._xlws.FILTER(Date_IA_PIP[Cérémonie],(Date_IA_PIP[Date début]&lt;=KZ9)*(Date_IA_PIP[[Date fin ]]&gt;=KZ9),"")))</f>
        <v/>
      </c>
      <c r="LA7" s="104" t="str" cm="1">
        <f t="array" ref="LA7">_xlfn.SINGLE(IFERROR(IF(WEEKDAY(_xlfn.SINGLE(9:9),2)&gt;5,"WE",IF(VLOOKUP(LA9,Paramètres!$C$3:$C$42,1,FALSE)=LA9,"Férié","")),_xlfn._xlws.FILTER(Date_IA_PIP[Cérémonie],(Date_IA_PIP[Date début]&lt;=LA9)*(Date_IA_PIP[[Date fin ]]&gt;=LA9),"")))</f>
        <v/>
      </c>
      <c r="LB7" s="104" t="str" cm="1">
        <f t="array" ref="LB7">_xlfn.SINGLE(IFERROR(IF(WEEKDAY(_xlfn.SINGLE(9:9),2)&gt;5,"WE",IF(VLOOKUP(LB9,Paramètres!$C$3:$C$42,1,FALSE)=LB9,"Férié","")),_xlfn._xlws.FILTER(Date_IA_PIP[Cérémonie],(Date_IA_PIP[Date début]&lt;=LB9)*(Date_IA_PIP[[Date fin ]]&gt;=LB9),"")))</f>
        <v/>
      </c>
      <c r="LC7" s="104" t="str" cm="1">
        <f t="array" ref="LC7">_xlfn.SINGLE(IFERROR(IF(WEEKDAY(_xlfn.SINGLE(9:9),2)&gt;5,"WE",IF(VLOOKUP(LC9,Paramètres!$C$3:$C$42,1,FALSE)=LC9,"Férié","")),_xlfn._xlws.FILTER(Date_IA_PIP[Cérémonie],(Date_IA_PIP[Date début]&lt;=LC9)*(Date_IA_PIP[[Date fin ]]&gt;=LC9),"")))</f>
        <v/>
      </c>
      <c r="LD7" s="104" t="str" cm="1">
        <f t="array" ref="LD7">_xlfn.SINGLE(IFERROR(IF(WEEKDAY(_xlfn.SINGLE(9:9),2)&gt;5,"WE",IF(VLOOKUP(LD9,Paramètres!$C$3:$C$42,1,FALSE)=LD9,"Férié","")),_xlfn._xlws.FILTER(Date_IA_PIP[Cérémonie],(Date_IA_PIP[Date début]&lt;=LD9)*(Date_IA_PIP[[Date fin ]]&gt;=LD9),"")))</f>
        <v/>
      </c>
      <c r="LE7" s="104" t="str" cm="1">
        <f t="array" ref="LE7">_xlfn.SINGLE(IFERROR(IF(WEEKDAY(_xlfn.SINGLE(9:9),2)&gt;5,"WE",IF(VLOOKUP(LE9,Paramètres!$C$3:$C$42,1,FALSE)=LE9,"Férié","")),_xlfn._xlws.FILTER(Date_IA_PIP[Cérémonie],(Date_IA_PIP[Date début]&lt;=LE9)*(Date_IA_PIP[[Date fin ]]&gt;=LE9),"")))</f>
        <v>WE</v>
      </c>
      <c r="LF7" s="104" t="str" cm="1">
        <f t="array" ref="LF7">_xlfn.SINGLE(IFERROR(IF(WEEKDAY(_xlfn.SINGLE(9:9),2)&gt;5,"WE",IF(VLOOKUP(LF9,Paramètres!$C$3:$C$42,1,FALSE)=LF9,"Férié","")),_xlfn._xlws.FILTER(Date_IA_PIP[Cérémonie],(Date_IA_PIP[Date début]&lt;=LF9)*(Date_IA_PIP[[Date fin ]]&gt;=LF9),"")))</f>
        <v>WE</v>
      </c>
      <c r="LG7" s="104" t="str" cm="1">
        <f t="array" ref="LG7">_xlfn.SINGLE(IFERROR(IF(WEEKDAY(_xlfn.SINGLE(9:9),2)&gt;5,"WE",IF(VLOOKUP(LG9,Paramètres!$C$3:$C$42,1,FALSE)=LG9,"Férié","")),_xlfn._xlws.FILTER(Date_IA_PIP[Cérémonie],(Date_IA_PIP[Date début]&lt;=LG9)*(Date_IA_PIP[[Date fin ]]&gt;=LG9),"")))</f>
        <v/>
      </c>
      <c r="LH7" s="104" t="str" cm="1">
        <f t="array" ref="LH7">_xlfn.SINGLE(IFERROR(IF(WEEKDAY(_xlfn.SINGLE(9:9),2)&gt;5,"WE",IF(VLOOKUP(LH9,Paramètres!$C$3:$C$42,1,FALSE)=LH9,"Férié","")),_xlfn._xlws.FILTER(Date_IA_PIP[Cérémonie],(Date_IA_PIP[Date début]&lt;=LH9)*(Date_IA_PIP[[Date fin ]]&gt;=LH9),"")))</f>
        <v/>
      </c>
      <c r="LI7" s="104" t="str" cm="1">
        <f t="array" ref="LI7">_xlfn.SINGLE(IFERROR(IF(WEEKDAY(_xlfn.SINGLE(9:9),2)&gt;5,"WE",IF(VLOOKUP(LI9,Paramètres!$C$3:$C$42,1,FALSE)=LI9,"Férié","")),_xlfn._xlws.FILTER(Date_IA_PIP[Cérémonie],(Date_IA_PIP[Date début]&lt;=LI9)*(Date_IA_PIP[[Date fin ]]&gt;=LI9),"")))</f>
        <v/>
      </c>
      <c r="LJ7" s="104" t="str" cm="1">
        <f t="array" ref="LJ7">_xlfn.SINGLE(IFERROR(IF(WEEKDAY(_xlfn.SINGLE(9:9),2)&gt;5,"WE",IF(VLOOKUP(LJ9,Paramètres!$C$3:$C$42,1,FALSE)=LJ9,"Férié","")),_xlfn._xlws.FILTER(Date_IA_PIP[Cérémonie],(Date_IA_PIP[Date début]&lt;=LJ9)*(Date_IA_PIP[[Date fin ]]&gt;=LJ9),"")))</f>
        <v/>
      </c>
      <c r="LK7" s="104" t="str" cm="1">
        <f t="array" ref="LK7">_xlfn.SINGLE(IFERROR(IF(WEEKDAY(_xlfn.SINGLE(9:9),2)&gt;5,"WE",IF(VLOOKUP(LK9,Paramètres!$C$3:$C$42,1,FALSE)=LK9,"Férié","")),_xlfn._xlws.FILTER(Date_IA_PIP[Cérémonie],(Date_IA_PIP[Date début]&lt;=LK9)*(Date_IA_PIP[[Date fin ]]&gt;=LK9),"")))</f>
        <v/>
      </c>
      <c r="LL7" s="104" t="str" cm="1">
        <f t="array" ref="LL7">_xlfn.SINGLE(IFERROR(IF(WEEKDAY(_xlfn.SINGLE(9:9),2)&gt;5,"WE",IF(VLOOKUP(LL9,Paramètres!$C$3:$C$42,1,FALSE)=LL9,"Férié","")),_xlfn._xlws.FILTER(Date_IA_PIP[Cérémonie],(Date_IA_PIP[Date début]&lt;=LL9)*(Date_IA_PIP[[Date fin ]]&gt;=LL9),"")))</f>
        <v>WE</v>
      </c>
      <c r="LM7" s="104" t="str" cm="1">
        <f t="array" ref="LM7">_xlfn.SINGLE(IFERROR(IF(WEEKDAY(_xlfn.SINGLE(9:9),2)&gt;5,"WE",IF(VLOOKUP(LM9,Paramètres!$C$3:$C$42,1,FALSE)=LM9,"Férié","")),_xlfn._xlws.FILTER(Date_IA_PIP[Cérémonie],(Date_IA_PIP[Date début]&lt;=LM9)*(Date_IA_PIP[[Date fin ]]&gt;=LM9),"")))</f>
        <v>WE</v>
      </c>
      <c r="LN7" s="104" t="str" cm="1">
        <f t="array" ref="LN7">_xlfn.SINGLE(IFERROR(IF(WEEKDAY(_xlfn.SINGLE(9:9),2)&gt;5,"WE",IF(VLOOKUP(LN9,Paramètres!$C$3:$C$42,1,FALSE)=LN9,"Férié","")),_xlfn._xlws.FILTER(Date_IA_PIP[Cérémonie],(Date_IA_PIP[Date début]&lt;=LN9)*(Date_IA_PIP[[Date fin ]]&gt;=LN9),"")))</f>
        <v/>
      </c>
      <c r="LO7" s="104" t="str" cm="1">
        <f t="array" ref="LO7">_xlfn.SINGLE(IFERROR(IF(WEEKDAY(_xlfn.SINGLE(9:9),2)&gt;5,"WE",IF(VLOOKUP(LO9,Paramètres!$C$3:$C$42,1,FALSE)=LO9,"Férié","")),_xlfn._xlws.FILTER(Date_IA_PIP[Cérémonie],(Date_IA_PIP[Date début]&lt;=LO9)*(Date_IA_PIP[[Date fin ]]&gt;=LO9),"")))</f>
        <v/>
      </c>
      <c r="LP7" s="104" t="str" cm="1">
        <f t="array" ref="LP7">_xlfn.SINGLE(IFERROR(IF(WEEKDAY(_xlfn.SINGLE(9:9),2)&gt;5,"WE",IF(VLOOKUP(LP9,Paramètres!$C$3:$C$42,1,FALSE)=LP9,"Férié","")),_xlfn._xlws.FILTER(Date_IA_PIP[Cérémonie],(Date_IA_PIP[Date début]&lt;=LP9)*(Date_IA_PIP[[Date fin ]]&gt;=LP9),"")))</f>
        <v/>
      </c>
      <c r="LQ7" s="104" t="str" cm="1">
        <f t="array" ref="LQ7">_xlfn.SINGLE(IFERROR(IF(WEEKDAY(_xlfn.SINGLE(9:9),2)&gt;5,"WE",IF(VLOOKUP(LQ9,Paramètres!$C$3:$C$42,1,FALSE)=LQ9,"Férié","")),_xlfn._xlws.FILTER(Date_IA_PIP[Cérémonie],(Date_IA_PIP[Date début]&lt;=LQ9)*(Date_IA_PIP[[Date fin ]]&gt;=LQ9),"")))</f>
        <v/>
      </c>
      <c r="LR7" s="104" t="str" cm="1">
        <f t="array" ref="LR7">_xlfn.SINGLE(IFERROR(IF(WEEKDAY(_xlfn.SINGLE(9:9),2)&gt;5,"WE",IF(VLOOKUP(LR9,Paramètres!$C$3:$C$42,1,FALSE)=LR9,"Férié","")),_xlfn._xlws.FILTER(Date_IA_PIP[Cérémonie],(Date_IA_PIP[Date début]&lt;=LR9)*(Date_IA_PIP[[Date fin ]]&gt;=LR9),"")))</f>
        <v/>
      </c>
      <c r="LS7" s="104" t="str" cm="1">
        <f t="array" ref="LS7">_xlfn.SINGLE(IFERROR(IF(WEEKDAY(_xlfn.SINGLE(9:9),2)&gt;5,"WE",IF(VLOOKUP(LS9,Paramètres!$C$3:$C$42,1,FALSE)=LS9,"Férié","")),_xlfn._xlws.FILTER(Date_IA_PIP[Cérémonie],(Date_IA_PIP[Date début]&lt;=LS9)*(Date_IA_PIP[[Date fin ]]&gt;=LS9),"")))</f>
        <v>WE</v>
      </c>
      <c r="LT7" s="104" t="str" cm="1">
        <f t="array" ref="LT7">_xlfn.SINGLE(IFERROR(IF(WEEKDAY(_xlfn.SINGLE(9:9),2)&gt;5,"WE",IF(VLOOKUP(LT9,Paramètres!$C$3:$C$42,1,FALSE)=LT9,"Férié","")),_xlfn._xlws.FILTER(Date_IA_PIP[Cérémonie],(Date_IA_PIP[Date début]&lt;=LT9)*(Date_IA_PIP[[Date fin ]]&gt;=LT9),"")))</f>
        <v>WE</v>
      </c>
      <c r="LU7" s="104" t="str" cm="1">
        <f t="array" ref="LU7">_xlfn.SINGLE(IFERROR(IF(WEEKDAY(_xlfn.SINGLE(9:9),2)&gt;5,"WE",IF(VLOOKUP(LU9,Paramètres!$C$3:$C$42,1,FALSE)=LU9,"Férié","")),_xlfn._xlws.FILTER(Date_IA_PIP[Cérémonie],(Date_IA_PIP[Date début]&lt;=LU9)*(Date_IA_PIP[[Date fin ]]&gt;=LU9),"")))</f>
        <v/>
      </c>
      <c r="LV7" s="104" t="str" cm="1">
        <f t="array" ref="LV7">_xlfn.SINGLE(IFERROR(IF(WEEKDAY(_xlfn.SINGLE(9:9),2)&gt;5,"WE",IF(VLOOKUP(LV9,Paramètres!$C$3:$C$42,1,FALSE)=LV9,"Férié","")),_xlfn._xlws.FILTER(Date_IA_PIP[Cérémonie],(Date_IA_PIP[Date début]&lt;=LV9)*(Date_IA_PIP[[Date fin ]]&gt;=LV9),"")))</f>
        <v/>
      </c>
      <c r="LW7" s="104" t="str" cm="1">
        <f t="array" ref="LW7">_xlfn.SINGLE(IFERROR(IF(WEEKDAY(_xlfn.SINGLE(9:9),2)&gt;5,"WE",IF(VLOOKUP(LW9,Paramètres!$C$3:$C$42,1,FALSE)=LW9,"Férié","")),_xlfn._xlws.FILTER(Date_IA_PIP[Cérémonie],(Date_IA_PIP[Date début]&lt;=LW9)*(Date_IA_PIP[[Date fin ]]&gt;=LW9),"")))</f>
        <v/>
      </c>
      <c r="LX7" s="104" t="str" cm="1">
        <f t="array" ref="LX7">_xlfn.SINGLE(IFERROR(IF(WEEKDAY(_xlfn.SINGLE(9:9),2)&gt;5,"WE",IF(VLOOKUP(LX9,Paramètres!$C$3:$C$42,1,FALSE)=LX9,"Férié","")),_xlfn._xlws.FILTER(Date_IA_PIP[Cérémonie],(Date_IA_PIP[Date début]&lt;=LX9)*(Date_IA_PIP[[Date fin ]]&gt;=LX9),"")))</f>
        <v/>
      </c>
      <c r="LY7" s="104" t="str" cm="1">
        <f t="array" ref="LY7">_xlfn.SINGLE(IFERROR(IF(WEEKDAY(_xlfn.SINGLE(9:9),2)&gt;5,"WE",IF(VLOOKUP(LY9,Paramètres!$C$3:$C$42,1,FALSE)=LY9,"Férié","")),_xlfn._xlws.FILTER(Date_IA_PIP[Cérémonie],(Date_IA_PIP[Date début]&lt;=LY9)*(Date_IA_PIP[[Date fin ]]&gt;=LY9),"")))</f>
        <v/>
      </c>
      <c r="LZ7" s="104" t="str" cm="1">
        <f t="array" ref="LZ7">_xlfn.SINGLE(IFERROR(IF(WEEKDAY(_xlfn.SINGLE(9:9),2)&gt;5,"WE",IF(VLOOKUP(LZ9,Paramètres!$C$3:$C$42,1,FALSE)=LZ9,"Férié","")),_xlfn._xlws.FILTER(Date_IA_PIP[Cérémonie],(Date_IA_PIP[Date début]&lt;=LZ9)*(Date_IA_PIP[[Date fin ]]&gt;=LZ9),"")))</f>
        <v>WE</v>
      </c>
      <c r="MA7" s="104" t="str" cm="1">
        <f t="array" ref="MA7">_xlfn.SINGLE(IFERROR(IF(WEEKDAY(_xlfn.SINGLE(9:9),2)&gt;5,"WE",IF(VLOOKUP(MA9,Paramètres!$C$3:$C$42,1,FALSE)=MA9,"Férié","")),_xlfn._xlws.FILTER(Date_IA_PIP[Cérémonie],(Date_IA_PIP[Date début]&lt;=MA9)*(Date_IA_PIP[[Date fin ]]&gt;=MA9),"")))</f>
        <v>WE</v>
      </c>
      <c r="MB7" s="104" t="str" cm="1">
        <f t="array" ref="MB7">_xlfn.SINGLE(IFERROR(IF(WEEKDAY(_xlfn.SINGLE(9:9),2)&gt;5,"WE",IF(VLOOKUP(MB9,Paramètres!$C$3:$C$42,1,FALSE)=MB9,"Férié","")),_xlfn._xlws.FILTER(Date_IA_PIP[Cérémonie],(Date_IA_PIP[Date début]&lt;=MB9)*(Date_IA_PIP[[Date fin ]]&gt;=MB9),"")))</f>
        <v/>
      </c>
      <c r="MC7" s="104" t="str" cm="1">
        <f t="array" ref="MC7">_xlfn.SINGLE(IFERROR(IF(WEEKDAY(_xlfn.SINGLE(9:9),2)&gt;5,"WE",IF(VLOOKUP(MC9,Paramètres!$C$3:$C$42,1,FALSE)=MC9,"Férié","")),_xlfn._xlws.FILTER(Date_IA_PIP[Cérémonie],(Date_IA_PIP[Date début]&lt;=MC9)*(Date_IA_PIP[[Date fin ]]&gt;=MC9),"")))</f>
        <v/>
      </c>
      <c r="MD7" s="104" t="str" cm="1">
        <f t="array" ref="MD7">_xlfn.SINGLE(IFERROR(IF(WEEKDAY(_xlfn.SINGLE(9:9),2)&gt;5,"WE",IF(VLOOKUP(MD9,Paramètres!$C$3:$C$42,1,FALSE)=MD9,"Férié","")),_xlfn._xlws.FILTER(Date_IA_PIP[Cérémonie],(Date_IA_PIP[Date début]&lt;=MD9)*(Date_IA_PIP[[Date fin ]]&gt;=MD9),"")))</f>
        <v/>
      </c>
      <c r="ME7" s="104" t="str" cm="1">
        <f t="array" ref="ME7">_xlfn.SINGLE(IFERROR(IF(WEEKDAY(_xlfn.SINGLE(9:9),2)&gt;5,"WE",IF(VLOOKUP(ME9,Paramètres!$C$3:$C$42,1,FALSE)=ME9,"Férié","")),_xlfn._xlws.FILTER(Date_IA_PIP[Cérémonie],(Date_IA_PIP[Date début]&lt;=ME9)*(Date_IA_PIP[[Date fin ]]&gt;=ME9),"")))</f>
        <v/>
      </c>
      <c r="MF7" s="104" t="str" cm="1">
        <f t="array" ref="MF7">_xlfn.SINGLE(IFERROR(IF(WEEKDAY(_xlfn.SINGLE(9:9),2)&gt;5,"WE",IF(VLOOKUP(MF9,Paramètres!$C$3:$C$42,1,FALSE)=MF9,"Férié","")),_xlfn._xlws.FILTER(Date_IA_PIP[Cérémonie],(Date_IA_PIP[Date début]&lt;=MF9)*(Date_IA_PIP[[Date fin ]]&gt;=MF9),"")))</f>
        <v/>
      </c>
      <c r="MG7" s="104" t="str" cm="1">
        <f t="array" ref="MG7">_xlfn.SINGLE(IFERROR(IF(WEEKDAY(_xlfn.SINGLE(9:9),2)&gt;5,"WE",IF(VLOOKUP(MG9,Paramètres!$C$3:$C$42,1,FALSE)=MG9,"Férié","")),_xlfn._xlws.FILTER(Date_IA_PIP[Cérémonie],(Date_IA_PIP[Date début]&lt;=MG9)*(Date_IA_PIP[[Date fin ]]&gt;=MG9),"")))</f>
        <v>WE</v>
      </c>
      <c r="MH7" s="104" t="str" cm="1">
        <f t="array" ref="MH7">_xlfn.SINGLE(IFERROR(IF(WEEKDAY(_xlfn.SINGLE(9:9),2)&gt;5,"WE",IF(VLOOKUP(MH9,Paramètres!$C$3:$C$42,1,FALSE)=MH9,"Férié","")),_xlfn._xlws.FILTER(Date_IA_PIP[Cérémonie],(Date_IA_PIP[Date début]&lt;=MH9)*(Date_IA_PIP[[Date fin ]]&gt;=MH9),"")))</f>
        <v>WE</v>
      </c>
      <c r="MI7" s="104" t="str" cm="1">
        <f t="array" ref="MI7">_xlfn.SINGLE(IFERROR(IF(WEEKDAY(_xlfn.SINGLE(9:9),2)&gt;5,"WE",IF(VLOOKUP(MI9,Paramètres!$C$3:$C$42,1,FALSE)=MI9,"Férié","")),_xlfn._xlws.FILTER(Date_IA_PIP[Cérémonie],(Date_IA_PIP[Date début]&lt;=MI9)*(Date_IA_PIP[[Date fin ]]&gt;=MI9),"")))</f>
        <v/>
      </c>
      <c r="MJ7" s="104" t="str" cm="1">
        <f t="array" ref="MJ7">_xlfn.SINGLE(IFERROR(IF(WEEKDAY(_xlfn.SINGLE(9:9),2)&gt;5,"WE",IF(VLOOKUP(MJ9,Paramètres!$C$3:$C$42,1,FALSE)=MJ9,"Férié","")),_xlfn._xlws.FILTER(Date_IA_PIP[Cérémonie],(Date_IA_PIP[Date début]&lt;=MJ9)*(Date_IA_PIP[[Date fin ]]&gt;=MJ9),"")))</f>
        <v>Férié</v>
      </c>
      <c r="MK7" s="104" t="str" cm="1">
        <f t="array" ref="MK7">_xlfn.SINGLE(IFERROR(IF(WEEKDAY(_xlfn.SINGLE(9:9),2)&gt;5,"WE",IF(VLOOKUP(MK9,Paramètres!$C$3:$C$42,1,FALSE)=MK9,"Férié","")),_xlfn._xlws.FILTER(Date_IA_PIP[Cérémonie],(Date_IA_PIP[Date début]&lt;=MK9)*(Date_IA_PIP[[Date fin ]]&gt;=MK9),"")))</f>
        <v/>
      </c>
      <c r="ML7" s="104" t="str" cm="1">
        <f t="array" ref="ML7">_xlfn.SINGLE(IFERROR(IF(WEEKDAY(_xlfn.SINGLE(9:9),2)&gt;5,"WE",IF(VLOOKUP(ML9,Paramètres!$C$3:$C$42,1,FALSE)=ML9,"Férié","")),_xlfn._xlws.FILTER(Date_IA_PIP[Cérémonie],(Date_IA_PIP[Date début]&lt;=ML9)*(Date_IA_PIP[[Date fin ]]&gt;=ML9),"")))</f>
        <v/>
      </c>
      <c r="MM7" s="104" t="str" cm="1">
        <f t="array" ref="MM7">_xlfn.SINGLE(IFERROR(IF(WEEKDAY(_xlfn.SINGLE(9:9),2)&gt;5,"WE",IF(VLOOKUP(MM9,Paramètres!$C$3:$C$42,1,FALSE)=MM9,"Férié","")),_xlfn._xlws.FILTER(Date_IA_PIP[Cérémonie],(Date_IA_PIP[Date début]&lt;=MM9)*(Date_IA_PIP[[Date fin ]]&gt;=MM9),"")))</f>
        <v/>
      </c>
      <c r="MN7" s="104" t="str" cm="1">
        <f t="array" ref="MN7">_xlfn.SINGLE(IFERROR(IF(WEEKDAY(_xlfn.SINGLE(9:9),2)&gt;5,"WE",IF(VLOOKUP(MN9,Paramètres!$C$3:$C$42,1,FALSE)=MN9,"Férié","")),_xlfn._xlws.FILTER(Date_IA_PIP[Cérémonie],(Date_IA_PIP[Date début]&lt;=MN9)*(Date_IA_PIP[[Date fin ]]&gt;=MN9),"")))</f>
        <v>WE</v>
      </c>
      <c r="MO7" s="104" t="str" cm="1">
        <f t="array" ref="MO7">_xlfn.SINGLE(IFERROR(IF(WEEKDAY(_xlfn.SINGLE(9:9),2)&gt;5,"WE",IF(VLOOKUP(MO9,Paramètres!$C$3:$C$42,1,FALSE)=MO9,"Férié","")),_xlfn._xlws.FILTER(Date_IA_PIP[Cérémonie],(Date_IA_PIP[Date début]&lt;=MO9)*(Date_IA_PIP[[Date fin ]]&gt;=MO9),"")))</f>
        <v>WE</v>
      </c>
      <c r="MP7" s="104" t="str" cm="1">
        <f t="array" ref="MP7">_xlfn.SINGLE(IFERROR(IF(WEEKDAY(_xlfn.SINGLE(9:9),2)&gt;5,"WE",IF(VLOOKUP(MP9,Paramètres!$C$3:$C$42,1,FALSE)=MP9,"Férié","")),_xlfn._xlws.FILTER(Date_IA_PIP[Cérémonie],(Date_IA_PIP[Date début]&lt;=MP9)*(Date_IA_PIP[[Date fin ]]&gt;=MP9),"")))</f>
        <v/>
      </c>
      <c r="MQ7" s="104" t="str" cm="1">
        <f t="array" ref="MQ7">_xlfn.SINGLE(IFERROR(IF(WEEKDAY(_xlfn.SINGLE(9:9),2)&gt;5,"WE",IF(VLOOKUP(MQ9,Paramètres!$C$3:$C$42,1,FALSE)=MQ9,"Férié","")),_xlfn._xlws.FILTER(Date_IA_PIP[Cérémonie],(Date_IA_PIP[Date début]&lt;=MQ9)*(Date_IA_PIP[[Date fin ]]&gt;=MQ9),"")))</f>
        <v/>
      </c>
      <c r="MR7" s="104" t="str" cm="1">
        <f t="array" ref="MR7">_xlfn.SINGLE(IFERROR(IF(WEEKDAY(_xlfn.SINGLE(9:9),2)&gt;5,"WE",IF(VLOOKUP(MR9,Paramètres!$C$3:$C$42,1,FALSE)=MR9,"Férié","")),_xlfn._xlws.FILTER(Date_IA_PIP[Cérémonie],(Date_IA_PIP[Date début]&lt;=MR9)*(Date_IA_PIP[[Date fin ]]&gt;=MR9),"")))</f>
        <v/>
      </c>
      <c r="MS7" s="104" t="str" cm="1">
        <f t="array" ref="MS7">_xlfn.SINGLE(IFERROR(IF(WEEKDAY(_xlfn.SINGLE(9:9),2)&gt;5,"WE",IF(VLOOKUP(MS9,Paramètres!$C$3:$C$42,1,FALSE)=MS9,"Férié","")),_xlfn._xlws.FILTER(Date_IA_PIP[Cérémonie],(Date_IA_PIP[Date début]&lt;=MS9)*(Date_IA_PIP[[Date fin ]]&gt;=MS9),"")))</f>
        <v/>
      </c>
      <c r="MT7" s="104" t="str" cm="1">
        <f t="array" ref="MT7">_xlfn.SINGLE(IFERROR(IF(WEEKDAY(_xlfn.SINGLE(9:9),2)&gt;5,"WE",IF(VLOOKUP(MT9,Paramètres!$C$3:$C$42,1,FALSE)=MT9,"Férié","")),_xlfn._xlws.FILTER(Date_IA_PIP[Cérémonie],(Date_IA_PIP[Date début]&lt;=MT9)*(Date_IA_PIP[[Date fin ]]&gt;=MT9),"")))</f>
        <v/>
      </c>
      <c r="MU7" s="104" t="str" cm="1">
        <f t="array" ref="MU7">_xlfn.SINGLE(IFERROR(IF(WEEKDAY(_xlfn.SINGLE(9:9),2)&gt;5,"WE",IF(VLOOKUP(MU9,Paramètres!$C$3:$C$42,1,FALSE)=MU9,"Férié","")),_xlfn._xlws.FILTER(Date_IA_PIP[Cérémonie],(Date_IA_PIP[Date début]&lt;=MU9)*(Date_IA_PIP[[Date fin ]]&gt;=MU9),"")))</f>
        <v>WE</v>
      </c>
      <c r="MV7" s="104" t="str" cm="1">
        <f t="array" ref="MV7">_xlfn.SINGLE(IFERROR(IF(WEEKDAY(_xlfn.SINGLE(9:9),2)&gt;5,"WE",IF(VLOOKUP(MV9,Paramètres!$C$3:$C$42,1,FALSE)=MV9,"Férié","")),_xlfn._xlws.FILTER(Date_IA_PIP[Cérémonie],(Date_IA_PIP[Date début]&lt;=MV9)*(Date_IA_PIP[[Date fin ]]&gt;=MV9),"")))</f>
        <v>WE</v>
      </c>
      <c r="MW7" s="104" t="str" cm="1">
        <f t="array" ref="MW7">_xlfn.SINGLE(IFERROR(IF(WEEKDAY(_xlfn.SINGLE(9:9),2)&gt;5,"WE",IF(VLOOKUP(MW9,Paramètres!$C$3:$C$42,1,FALSE)=MW9,"Férié","")),_xlfn._xlws.FILTER(Date_IA_PIP[Cérémonie],(Date_IA_PIP[Date début]&lt;=MW9)*(Date_IA_PIP[[Date fin ]]&gt;=MW9),"")))</f>
        <v/>
      </c>
      <c r="MX7" s="104" t="str" cm="1">
        <f t="array" ref="MX7">_xlfn.SINGLE(IFERROR(IF(WEEKDAY(_xlfn.SINGLE(9:9),2)&gt;5,"WE",IF(VLOOKUP(MX9,Paramètres!$C$3:$C$42,1,FALSE)=MX9,"Férié","")),_xlfn._xlws.FILTER(Date_IA_PIP[Cérémonie],(Date_IA_PIP[Date début]&lt;=MX9)*(Date_IA_PIP[[Date fin ]]&gt;=MX9),"")))</f>
        <v/>
      </c>
      <c r="MY7" s="104" t="str" cm="1">
        <f t="array" ref="MY7">_xlfn.SINGLE(IFERROR(IF(WEEKDAY(_xlfn.SINGLE(9:9),2)&gt;5,"WE",IF(VLOOKUP(MY9,Paramètres!$C$3:$C$42,1,FALSE)=MY9,"Férié","")),_xlfn._xlws.FILTER(Date_IA_PIP[Cérémonie],(Date_IA_PIP[Date début]&lt;=MY9)*(Date_IA_PIP[[Date fin ]]&gt;=MY9),"")))</f>
        <v/>
      </c>
      <c r="MZ7" s="104" t="str" cm="1">
        <f t="array" ref="MZ7">_xlfn.SINGLE(IFERROR(IF(WEEKDAY(_xlfn.SINGLE(9:9),2)&gt;5,"WE",IF(VLOOKUP(MZ9,Paramètres!$C$3:$C$42,1,FALSE)=MZ9,"Férié","")),_xlfn._xlws.FILTER(Date_IA_PIP[Cérémonie],(Date_IA_PIP[Date début]&lt;=MZ9)*(Date_IA_PIP[[Date fin ]]&gt;=MZ9),"")))</f>
        <v/>
      </c>
      <c r="NA7" s="104" t="str" cm="1">
        <f t="array" ref="NA7">_xlfn.SINGLE(IFERROR(IF(WEEKDAY(_xlfn.SINGLE(9:9),2)&gt;5,"WE",IF(VLOOKUP(NA9,Paramètres!$C$3:$C$42,1,FALSE)=NA9,"Férié","")),_xlfn._xlws.FILTER(Date_IA_PIP[Cérémonie],(Date_IA_PIP[Date début]&lt;=NA9)*(Date_IA_PIP[[Date fin ]]&gt;=NA9),"")))</f>
        <v/>
      </c>
      <c r="NB7" s="104" t="str" cm="1">
        <f t="array" ref="NB7">_xlfn.SINGLE(IFERROR(IF(WEEKDAY(_xlfn.SINGLE(9:9),2)&gt;5,"WE",IF(VLOOKUP(NB9,Paramètres!$C$3:$C$42,1,FALSE)=NB9,"Férié","")),_xlfn._xlws.FILTER(Date_IA_PIP[Cérémonie],(Date_IA_PIP[Date début]&lt;=NB9)*(Date_IA_PIP[[Date fin ]]&gt;=NB9),"")))</f>
        <v>WE</v>
      </c>
      <c r="NC7" s="104" t="str" cm="1">
        <f t="array" ref="NC7">_xlfn.SINGLE(IFERROR(IF(WEEKDAY(_xlfn.SINGLE(9:9),2)&gt;5,"WE",IF(VLOOKUP(NC9,Paramètres!$C$3:$C$42,1,FALSE)=NC9,"Férié","")),_xlfn._xlws.FILTER(Date_IA_PIP[Cérémonie],(Date_IA_PIP[Date début]&lt;=NC9)*(Date_IA_PIP[[Date fin ]]&gt;=NC9),"")))</f>
        <v>WE</v>
      </c>
      <c r="ND7" s="104" t="str" cm="1">
        <f t="array" ref="ND7">_xlfn.SINGLE(IFERROR(IF(WEEKDAY(_xlfn.SINGLE(9:9),2)&gt;5,"WE",IF(VLOOKUP(ND9,Paramètres!$C$3:$C$42,1,FALSE)=ND9,"Férié","")),_xlfn._xlws.FILTER(Date_IA_PIP[Cérémonie],(Date_IA_PIP[Date début]&lt;=ND9)*(Date_IA_PIP[[Date fin ]]&gt;=ND9),"")))</f>
        <v/>
      </c>
      <c r="NE7" s="104" t="str" cm="1">
        <f t="array" ref="NE7">_xlfn.SINGLE(IFERROR(IF(WEEKDAY(_xlfn.SINGLE(9:9),2)&gt;5,"WE",IF(VLOOKUP(NE9,Paramètres!$C$3:$C$42,1,FALSE)=NE9,"Férié","")),_xlfn._xlws.FILTER(Date_IA_PIP[Cérémonie],(Date_IA_PIP[Date début]&lt;=NE9)*(Date_IA_PIP[[Date fin ]]&gt;=NE9),"")))</f>
        <v/>
      </c>
      <c r="NF7" s="104" t="str" cm="1">
        <f t="array" ref="NF7">_xlfn.SINGLE(IFERROR(IF(WEEKDAY(_xlfn.SINGLE(9:9),2)&gt;5,"WE",IF(VLOOKUP(NF9,Paramètres!$C$3:$C$42,1,FALSE)=NF9,"Férié","")),_xlfn._xlws.FILTER(Date_IA_PIP[Cérémonie],(Date_IA_PIP[Date début]&lt;=NF9)*(Date_IA_PIP[[Date fin ]]&gt;=NF9),"")))</f>
        <v/>
      </c>
      <c r="NG7" s="104" t="str" cm="1">
        <f t="array" ref="NG7">_xlfn.SINGLE(IFERROR(IF(WEEKDAY(_xlfn.SINGLE(9:9),2)&gt;5,"WE",IF(VLOOKUP(NG9,Paramètres!$C$3:$C$42,1,FALSE)=NG9,"Férié","")),_xlfn._xlws.FILTER(Date_IA_PIP[Cérémonie],(Date_IA_PIP[Date début]&lt;=NG9)*(Date_IA_PIP[[Date fin ]]&gt;=NG9),"")))</f>
        <v/>
      </c>
      <c r="NH7" s="104" t="str" cm="1">
        <f t="array" ref="NH7">_xlfn.SINGLE(IFERROR(IF(WEEKDAY(_xlfn.SINGLE(9:9),2)&gt;5,"WE",IF(VLOOKUP(NH9,Paramètres!$C$3:$C$42,1,FALSE)=NH9,"Férié","")),_xlfn._xlws.FILTER(Date_IA_PIP[Cérémonie],(Date_IA_PIP[Date début]&lt;=NH9)*(Date_IA_PIP[[Date fin ]]&gt;=NH9),"")))</f>
        <v/>
      </c>
      <c r="NI7" s="104" t="str" cm="1">
        <f t="array" ref="NI7">_xlfn.SINGLE(IFERROR(IF(WEEKDAY(_xlfn.SINGLE(9:9),2)&gt;5,"WE",IF(VLOOKUP(NI9,Paramètres!$C$3:$C$42,1,FALSE)=NI9,"Férié","")),_xlfn._xlws.FILTER(Date_IA_PIP[Cérémonie],(Date_IA_PIP[Date début]&lt;=NI9)*(Date_IA_PIP[[Date fin ]]&gt;=NI9),"")))</f>
        <v>WE</v>
      </c>
      <c r="NJ7" s="104" t="str" cm="1">
        <f t="array" ref="NJ7">_xlfn.SINGLE(IFERROR(IF(WEEKDAY(_xlfn.SINGLE(9:9),2)&gt;5,"WE",IF(VLOOKUP(NJ9,Paramètres!$C$3:$C$42,1,FALSE)=NJ9,"Férié","")),_xlfn._xlws.FILTER(Date_IA_PIP[Cérémonie],(Date_IA_PIP[Date début]&lt;=NJ9)*(Date_IA_PIP[[Date fin ]]&gt;=NJ9),"")))</f>
        <v>WE</v>
      </c>
      <c r="NK7" s="104" t="str" cm="1">
        <f t="array" ref="NK7">_xlfn.SINGLE(IFERROR(IF(WEEKDAY(_xlfn.SINGLE(9:9),2)&gt;5,"WE",IF(VLOOKUP(NK9,Paramètres!$C$3:$C$42,1,FALSE)=NK9,"Férié","")),_xlfn._xlws.FILTER(Date_IA_PIP[Cérémonie],(Date_IA_PIP[Date début]&lt;=NK9)*(Date_IA_PIP[[Date fin ]]&gt;=NK9),"")))</f>
        <v/>
      </c>
      <c r="NL7" s="104" t="str" cm="1">
        <f t="array" ref="NL7">_xlfn.SINGLE(IFERROR(IF(WEEKDAY(_xlfn.SINGLE(9:9),2)&gt;5,"WE",IF(VLOOKUP(NL9,Paramètres!$C$3:$C$42,1,FALSE)=NL9,"Férié","")),_xlfn._xlws.FILTER(Date_IA_PIP[Cérémonie],(Date_IA_PIP[Date début]&lt;=NL9)*(Date_IA_PIP[[Date fin ]]&gt;=NL9),"")))</f>
        <v/>
      </c>
      <c r="NM7" s="104" t="str" cm="1">
        <f t="array" ref="NM7">_xlfn.SINGLE(IFERROR(IF(WEEKDAY(_xlfn.SINGLE(9:9),2)&gt;5,"WE",IF(VLOOKUP(NM9,Paramètres!$C$3:$C$42,1,FALSE)=NM9,"Férié","")),_xlfn._xlws.FILTER(Date_IA_PIP[Cérémonie],(Date_IA_PIP[Date début]&lt;=NM9)*(Date_IA_PIP[[Date fin ]]&gt;=NM9),"")))</f>
        <v/>
      </c>
      <c r="NN7" s="104" t="str" cm="1">
        <f t="array" ref="NN7">_xlfn.SINGLE(IFERROR(IF(WEEKDAY(_xlfn.SINGLE(9:9),2)&gt;5,"WE",IF(VLOOKUP(NN9,Paramètres!$C$3:$C$42,1,FALSE)=NN9,"Férié","")),_xlfn._xlws.FILTER(Date_IA_PIP[Cérémonie],(Date_IA_PIP[Date début]&lt;=NN9)*(Date_IA_PIP[[Date fin ]]&gt;=NN9),"")))</f>
        <v/>
      </c>
      <c r="NO7" s="104" t="str" cm="1">
        <f t="array" ref="NO7">_xlfn.SINGLE(IFERROR(IF(WEEKDAY(_xlfn.SINGLE(9:9),2)&gt;5,"WE",IF(VLOOKUP(NO9,Paramètres!$C$3:$C$42,1,FALSE)=NO9,"Férié","")),_xlfn._xlws.FILTER(Date_IA_PIP[Cérémonie],(Date_IA_PIP[Date début]&lt;=NO9)*(Date_IA_PIP[[Date fin ]]&gt;=NO9),"")))</f>
        <v/>
      </c>
      <c r="NP7" s="104" t="str" cm="1">
        <f t="array" ref="NP7">_xlfn.SINGLE(IFERROR(IF(WEEKDAY(_xlfn.SINGLE(9:9),2)&gt;5,"WE",IF(VLOOKUP(NP9,Paramètres!$C$3:$C$42,1,FALSE)=NP9,"Férié","")),_xlfn._xlws.FILTER(Date_IA_PIP[Cérémonie],(Date_IA_PIP[Date début]&lt;=NP9)*(Date_IA_PIP[[Date fin ]]&gt;=NP9),"")))</f>
        <v>WE</v>
      </c>
      <c r="NQ7" s="104" t="str" cm="1">
        <f t="array" ref="NQ7">_xlfn.SINGLE(IFERROR(IF(WEEKDAY(_xlfn.SINGLE(9:9),2)&gt;5,"WE",IF(VLOOKUP(NQ9,Paramètres!$C$3:$C$42,1,FALSE)=NQ9,"Férié","")),_xlfn._xlws.FILTER(Date_IA_PIP[Cérémonie],(Date_IA_PIP[Date début]&lt;=NQ9)*(Date_IA_PIP[[Date fin ]]&gt;=NQ9),"")))</f>
        <v>WE</v>
      </c>
      <c r="NR7" s="104" t="str" cm="1">
        <f t="array" ref="NR7">_xlfn.SINGLE(IFERROR(IF(WEEKDAY(_xlfn.SINGLE(9:9),2)&gt;5,"WE",IF(VLOOKUP(NR9,Paramètres!$C$3:$C$42,1,FALSE)=NR9,"Férié","")),_xlfn._xlws.FILTER(Date_IA_PIP[Cérémonie],(Date_IA_PIP[Date début]&lt;=NR9)*(Date_IA_PIP[[Date fin ]]&gt;=NR9),"")))</f>
        <v/>
      </c>
      <c r="NS7" s="104" t="str" cm="1">
        <f t="array" ref="NS7">_xlfn.SINGLE(IFERROR(IF(WEEKDAY(_xlfn.SINGLE(9:9),2)&gt;5,"WE",IF(VLOOKUP(NS9,Paramètres!$C$3:$C$42,1,FALSE)=NS9,"Férié","")),_xlfn._xlws.FILTER(Date_IA_PIP[Cérémonie],(Date_IA_PIP[Date début]&lt;=NS9)*(Date_IA_PIP[[Date fin ]]&gt;=NS9),"")))</f>
        <v/>
      </c>
      <c r="NT7" s="104" t="str" cm="1">
        <f t="array" ref="NT7">_xlfn.SINGLE(IFERROR(IF(WEEKDAY(_xlfn.SINGLE(9:9),2)&gt;5,"WE",IF(VLOOKUP(NT9,Paramètres!$C$3:$C$42,1,FALSE)=NT9,"Férié","")),_xlfn._xlws.FILTER(Date_IA_PIP[Cérémonie],(Date_IA_PIP[Date début]&lt;=NT9)*(Date_IA_PIP[[Date fin ]]&gt;=NT9),"")))</f>
        <v/>
      </c>
      <c r="NU7" s="104" t="str" cm="1">
        <f t="array" ref="NU7">_xlfn.SINGLE(IFERROR(IF(WEEKDAY(_xlfn.SINGLE(9:9),2)&gt;5,"WE",IF(VLOOKUP(NU9,Paramètres!$C$3:$C$42,1,FALSE)=NU9,"Férié","")),_xlfn._xlws.FILTER(Date_IA_PIP[Cérémonie],(Date_IA_PIP[Date début]&lt;=NU9)*(Date_IA_PIP[[Date fin ]]&gt;=NU9),"")))</f>
        <v/>
      </c>
      <c r="NV7" s="104" t="str" cm="1">
        <f t="array" ref="NV7">_xlfn.SINGLE(IFERROR(IF(WEEKDAY(_xlfn.SINGLE(9:9),2)&gt;5,"WE",IF(VLOOKUP(NV9,Paramètres!$C$3:$C$42,1,FALSE)=NV9,"Férié","")),_xlfn._xlws.FILTER(Date_IA_PIP[Cérémonie],(Date_IA_PIP[Date début]&lt;=NV9)*(Date_IA_PIP[[Date fin ]]&gt;=NV9),"")))</f>
        <v/>
      </c>
      <c r="NW7" s="104" t="str" cm="1">
        <f t="array" ref="NW7">_xlfn.SINGLE(IFERROR(IF(WEEKDAY(_xlfn.SINGLE(9:9),2)&gt;5,"WE",IF(VLOOKUP(NW9,Paramètres!$C$3:$C$42,1,FALSE)=NW9,"Férié","")),_xlfn._xlws.FILTER(Date_IA_PIP[Cérémonie],(Date_IA_PIP[Date début]&lt;=NW9)*(Date_IA_PIP[[Date fin ]]&gt;=NW9),"")))</f>
        <v>WE</v>
      </c>
      <c r="NX7" s="104" t="str" cm="1">
        <f t="array" ref="NX7">_xlfn.SINGLE(IFERROR(IF(WEEKDAY(_xlfn.SINGLE(9:9),2)&gt;5,"WE",IF(VLOOKUP(NX9,Paramètres!$C$3:$C$42,1,FALSE)=NX9,"Férié","")),_xlfn._xlws.FILTER(Date_IA_PIP[Cérémonie],(Date_IA_PIP[Date début]&lt;=NX9)*(Date_IA_PIP[[Date fin ]]&gt;=NX9),"")))</f>
        <v>WE</v>
      </c>
      <c r="NY7" s="104" t="str" cm="1">
        <f t="array" ref="NY7">_xlfn.SINGLE(IFERROR(IF(WEEKDAY(_xlfn.SINGLE(9:9),2)&gt;5,"WE",IF(VLOOKUP(NY9,Paramètres!$C$3:$C$42,1,FALSE)=NY9,"Férié","")),_xlfn._xlws.FILTER(Date_IA_PIP[Cérémonie],(Date_IA_PIP[Date début]&lt;=NY9)*(Date_IA_PIP[[Date fin ]]&gt;=NY9),"")))</f>
        <v/>
      </c>
      <c r="NZ7" s="104" t="str" cm="1">
        <f t="array" ref="NZ7">_xlfn.SINGLE(IFERROR(IF(WEEKDAY(_xlfn.SINGLE(9:9),2)&gt;5,"WE",IF(VLOOKUP(NZ9,Paramètres!$C$3:$C$42,1,FALSE)=NZ9,"Férié","")),_xlfn._xlws.FILTER(Date_IA_PIP[Cérémonie],(Date_IA_PIP[Date début]&lt;=NZ9)*(Date_IA_PIP[[Date fin ]]&gt;=NZ9),"")))</f>
        <v/>
      </c>
      <c r="OA7" s="104" t="str" cm="1">
        <f t="array" ref="OA7">_xlfn.SINGLE(IFERROR(IF(WEEKDAY(_xlfn.SINGLE(9:9),2)&gt;5,"WE",IF(VLOOKUP(OA9,Paramètres!$C$3:$C$42,1,FALSE)=OA9,"Férié","")),_xlfn._xlws.FILTER(Date_IA_PIP[Cérémonie],(Date_IA_PIP[Date début]&lt;=OA9)*(Date_IA_PIP[[Date fin ]]&gt;=OA9),"")))</f>
        <v/>
      </c>
      <c r="OB7" s="104" t="str" cm="1">
        <f t="array" ref="OB7">_xlfn.SINGLE(IFERROR(IF(WEEKDAY(_xlfn.SINGLE(9:9),2)&gt;5,"WE",IF(VLOOKUP(OB9,Paramètres!$C$3:$C$42,1,FALSE)=OB9,"Férié","")),_xlfn._xlws.FILTER(Date_IA_PIP[Cérémonie],(Date_IA_PIP[Date début]&lt;=OB9)*(Date_IA_PIP[[Date fin ]]&gt;=OB9),"")))</f>
        <v>Férié</v>
      </c>
      <c r="OC7" s="104" t="str" cm="1">
        <f t="array" ref="OC7">_xlfn.SINGLE(IFERROR(IF(WEEKDAY(_xlfn.SINGLE(9:9),2)&gt;5,"WE",IF(VLOOKUP(OC9,Paramètres!$C$3:$C$42,1,FALSE)=OC9,"Férié","")),_xlfn._xlws.FILTER(Date_IA_PIP[Cérémonie],(Date_IA_PIP[Date début]&lt;=OC9)*(Date_IA_PIP[[Date fin ]]&gt;=OC9),"")))</f>
        <v/>
      </c>
      <c r="OD7" s="104" t="str" cm="1">
        <f t="array" ref="OD7">_xlfn.SINGLE(IFERROR(IF(WEEKDAY(_xlfn.SINGLE(9:9),2)&gt;5,"WE",IF(VLOOKUP(OD9,Paramètres!$C$3:$C$42,1,FALSE)=OD9,"Férié","")),_xlfn._xlws.FILTER(Date_IA_PIP[Cérémonie],(Date_IA_PIP[Date début]&lt;=OD9)*(Date_IA_PIP[[Date fin ]]&gt;=OD9),"")))</f>
        <v>WE</v>
      </c>
      <c r="OE7" s="104" t="str" cm="1">
        <f t="array" ref="OE7">_xlfn.SINGLE(IFERROR(IF(WEEKDAY(_xlfn.SINGLE(9:9),2)&gt;5,"WE",IF(VLOOKUP(OE9,Paramètres!$C$3:$C$42,1,FALSE)=OE9,"Férié","")),_xlfn._xlws.FILTER(Date_IA_PIP[Cérémonie],(Date_IA_PIP[Date début]&lt;=OE9)*(Date_IA_PIP[[Date fin ]]&gt;=OE9),"")))</f>
        <v>WE</v>
      </c>
      <c r="OF7" s="104" t="str" cm="1">
        <f t="array" ref="OF7">_xlfn.SINGLE(IFERROR(IF(WEEKDAY(_xlfn.SINGLE(9:9),2)&gt;5,"WE",IF(VLOOKUP(OF9,Paramètres!$C$3:$C$42,1,FALSE)=OF9,"Férié","")),_xlfn._xlws.FILTER(Date_IA_PIP[Cérémonie],(Date_IA_PIP[Date début]&lt;=OF9)*(Date_IA_PIP[[Date fin ]]&gt;=OF9),"")))</f>
        <v/>
      </c>
      <c r="OG7" s="104" t="str" cm="1">
        <f t="array" ref="OG7">_xlfn.SINGLE(IFERROR(IF(WEEKDAY(_xlfn.SINGLE(9:9),2)&gt;5,"WE",IF(VLOOKUP(OG9,Paramètres!$C$3:$C$42,1,FALSE)=OG9,"Férié","")),_xlfn._xlws.FILTER(Date_IA_PIP[Cérémonie],(Date_IA_PIP[Date début]&lt;=OG9)*(Date_IA_PIP[[Date fin ]]&gt;=OG9),"")))</f>
        <v/>
      </c>
      <c r="OH7" s="104" t="str" cm="1">
        <f t="array" ref="OH7">_xlfn.SINGLE(IFERROR(IF(WEEKDAY(_xlfn.SINGLE(9:9),2)&gt;5,"WE",IF(VLOOKUP(OH9,Paramètres!$C$3:$C$42,1,FALSE)=OH9,"Férié","")),_xlfn._xlws.FILTER(Date_IA_PIP[Cérémonie],(Date_IA_PIP[Date début]&lt;=OH9)*(Date_IA_PIP[[Date fin ]]&gt;=OH9),"")))</f>
        <v/>
      </c>
      <c r="OI7" s="105"/>
      <c r="OJ7" s="105"/>
      <c r="OK7" s="105"/>
      <c r="OL7" s="105"/>
      <c r="OM7" s="105"/>
      <c r="ON7" s="105"/>
      <c r="OO7" s="105"/>
      <c r="OP7" s="105"/>
      <c r="OQ7" s="105"/>
      <c r="OR7" s="105"/>
      <c r="OS7" s="105"/>
      <c r="OT7" s="105"/>
      <c r="OU7" s="105"/>
      <c r="OV7" s="105"/>
      <c r="OW7" s="105"/>
      <c r="OX7" s="105"/>
      <c r="OY7" s="105"/>
      <c r="OZ7" s="105"/>
      <c r="PA7" s="105"/>
      <c r="PB7" s="105"/>
      <c r="PC7" s="105"/>
      <c r="PD7" s="105"/>
      <c r="PE7" s="105"/>
      <c r="PF7" s="105"/>
      <c r="PG7" s="105"/>
      <c r="PH7" s="105"/>
      <c r="PI7" s="105"/>
      <c r="PJ7" s="105"/>
      <c r="PK7" s="105"/>
      <c r="PL7" s="105"/>
      <c r="PM7" s="105"/>
      <c r="PN7" s="105"/>
      <c r="PO7" s="105"/>
      <c r="PP7" s="105"/>
      <c r="PQ7" s="105"/>
      <c r="PR7" s="105"/>
      <c r="PS7" s="105"/>
      <c r="PT7" s="105"/>
      <c r="PU7" s="105"/>
      <c r="PV7" s="105"/>
      <c r="PW7" s="105"/>
      <c r="PX7" s="105"/>
      <c r="PY7" s="105"/>
      <c r="PZ7" s="105"/>
      <c r="QA7" s="105"/>
      <c r="QB7" s="105"/>
      <c r="QC7" s="105"/>
      <c r="QD7" s="105"/>
      <c r="QE7" s="105"/>
      <c r="QF7" s="105"/>
      <c r="QG7" s="105"/>
      <c r="QH7" s="105"/>
      <c r="QI7" s="105"/>
      <c r="QJ7" s="105"/>
      <c r="QK7" s="105"/>
      <c r="QL7" s="105"/>
      <c r="QM7" s="105"/>
    </row>
    <row r="8" spans="1:455" customFormat="1" ht="9" customHeight="1" x14ac:dyDescent="0.25">
      <c r="A8" s="102"/>
      <c r="B8" s="102"/>
      <c r="C8" s="128" t="s">
        <v>8</v>
      </c>
      <c r="D8" s="129"/>
      <c r="E8" s="129"/>
      <c r="F8" s="129"/>
      <c r="G8" s="129"/>
      <c r="H8" s="129"/>
      <c r="I8" s="129"/>
      <c r="J8" s="129"/>
      <c r="K8" s="129"/>
      <c r="L8" s="129"/>
      <c r="M8" s="129"/>
      <c r="N8" s="129"/>
      <c r="O8" s="129"/>
      <c r="P8" s="129"/>
      <c r="Q8" s="129"/>
      <c r="R8" s="129"/>
      <c r="S8" s="129"/>
      <c r="T8" s="129"/>
      <c r="U8" s="129"/>
      <c r="V8" s="129"/>
      <c r="W8" s="129"/>
      <c r="X8" s="129"/>
      <c r="Y8" s="129"/>
      <c r="Z8" s="129"/>
      <c r="AA8" s="129"/>
      <c r="AB8" s="129"/>
      <c r="AC8" s="129"/>
      <c r="AD8" s="129"/>
      <c r="AE8" s="129"/>
      <c r="AF8" s="129"/>
      <c r="AG8" s="130"/>
      <c r="AH8" s="144" t="s">
        <v>9</v>
      </c>
      <c r="AI8" s="145"/>
      <c r="AJ8" s="145"/>
      <c r="AK8" s="145"/>
      <c r="AL8" s="145"/>
      <c r="AM8" s="145"/>
      <c r="AN8" s="145"/>
      <c r="AO8" s="145"/>
      <c r="AP8" s="145"/>
      <c r="AQ8" s="145"/>
      <c r="AR8" s="145"/>
      <c r="AS8" s="145"/>
      <c r="AT8" s="145"/>
      <c r="AU8" s="145"/>
      <c r="AV8" s="145"/>
      <c r="AW8" s="145"/>
      <c r="AX8" s="145"/>
      <c r="AY8" s="145"/>
      <c r="AZ8" s="145"/>
      <c r="BA8" s="145"/>
      <c r="BB8" s="145"/>
      <c r="BC8" s="145"/>
      <c r="BD8" s="145"/>
      <c r="BE8" s="145"/>
      <c r="BF8" s="145"/>
      <c r="BG8" s="145"/>
      <c r="BH8" s="145"/>
      <c r="BI8" s="145"/>
      <c r="BJ8" s="145"/>
      <c r="BK8" s="145"/>
      <c r="BL8" s="146"/>
      <c r="BM8" s="141" t="s">
        <v>10</v>
      </c>
      <c r="BN8" s="142"/>
      <c r="BO8" s="142"/>
      <c r="BP8" s="142"/>
      <c r="BQ8" s="142"/>
      <c r="BR8" s="142"/>
      <c r="BS8" s="142"/>
      <c r="BT8" s="142"/>
      <c r="BU8" s="142"/>
      <c r="BV8" s="142"/>
      <c r="BW8" s="142"/>
      <c r="BX8" s="142"/>
      <c r="BY8" s="142"/>
      <c r="BZ8" s="142"/>
      <c r="CA8" s="142"/>
      <c r="CB8" s="142"/>
      <c r="CC8" s="142"/>
      <c r="CD8" s="142"/>
      <c r="CE8" s="142"/>
      <c r="CF8" s="142"/>
      <c r="CG8" s="142"/>
      <c r="CH8" s="142"/>
      <c r="CI8" s="142"/>
      <c r="CJ8" s="142"/>
      <c r="CK8" s="142"/>
      <c r="CL8" s="142"/>
      <c r="CM8" s="142"/>
      <c r="CN8" s="143"/>
      <c r="CO8" s="136" t="s">
        <v>11</v>
      </c>
      <c r="CP8" s="137"/>
      <c r="CQ8" s="137"/>
      <c r="CR8" s="137"/>
      <c r="CS8" s="137"/>
      <c r="CT8" s="137"/>
      <c r="CU8" s="137"/>
      <c r="CV8" s="137"/>
      <c r="CW8" s="137"/>
      <c r="CX8" s="137"/>
      <c r="CY8" s="137"/>
      <c r="CZ8" s="137"/>
      <c r="DA8" s="137"/>
      <c r="DB8" s="137"/>
      <c r="DC8" s="137"/>
      <c r="DD8" s="137"/>
      <c r="DE8" s="137"/>
      <c r="DF8" s="137"/>
      <c r="DG8" s="137"/>
      <c r="DH8" s="137"/>
      <c r="DI8" s="137"/>
      <c r="DJ8" s="137"/>
      <c r="DK8" s="137"/>
      <c r="DL8" s="137"/>
      <c r="DM8" s="137"/>
      <c r="DN8" s="137"/>
      <c r="DO8" s="137"/>
      <c r="DP8" s="137"/>
      <c r="DQ8" s="137"/>
      <c r="DR8" s="137"/>
      <c r="DS8" s="138"/>
      <c r="DT8" s="141" t="s">
        <v>12</v>
      </c>
      <c r="DU8" s="142"/>
      <c r="DV8" s="142"/>
      <c r="DW8" s="142"/>
      <c r="DX8" s="142"/>
      <c r="DY8" s="142"/>
      <c r="DZ8" s="142"/>
      <c r="EA8" s="142"/>
      <c r="EB8" s="142"/>
      <c r="EC8" s="142"/>
      <c r="ED8" s="142"/>
      <c r="EE8" s="142"/>
      <c r="EF8" s="142"/>
      <c r="EG8" s="142"/>
      <c r="EH8" s="142"/>
      <c r="EI8" s="142"/>
      <c r="EJ8" s="142"/>
      <c r="EK8" s="142"/>
      <c r="EL8" s="142"/>
      <c r="EM8" s="142"/>
      <c r="EN8" s="142"/>
      <c r="EO8" s="142"/>
      <c r="EP8" s="142"/>
      <c r="EQ8" s="142"/>
      <c r="ER8" s="142"/>
      <c r="ES8" s="142"/>
      <c r="ET8" s="142"/>
      <c r="EU8" s="142"/>
      <c r="EV8" s="142"/>
      <c r="EW8" s="143"/>
      <c r="EX8" s="136" t="s">
        <v>13</v>
      </c>
      <c r="EY8" s="137"/>
      <c r="EZ8" s="137"/>
      <c r="FA8" s="137"/>
      <c r="FB8" s="137"/>
      <c r="FC8" s="137"/>
      <c r="FD8" s="137"/>
      <c r="FE8" s="137"/>
      <c r="FF8" s="137"/>
      <c r="FG8" s="137"/>
      <c r="FH8" s="137"/>
      <c r="FI8" s="137"/>
      <c r="FJ8" s="137"/>
      <c r="FK8" s="137"/>
      <c r="FL8" s="137"/>
      <c r="FM8" s="137"/>
      <c r="FN8" s="137"/>
      <c r="FO8" s="137"/>
      <c r="FP8" s="137"/>
      <c r="FQ8" s="137"/>
      <c r="FR8" s="137"/>
      <c r="FS8" s="137"/>
      <c r="FT8" s="137"/>
      <c r="FU8" s="137"/>
      <c r="FV8" s="137"/>
      <c r="FW8" s="137"/>
      <c r="FX8" s="137"/>
      <c r="FY8" s="137"/>
      <c r="FZ8" s="137"/>
      <c r="GA8" s="137"/>
      <c r="GB8" s="138"/>
      <c r="GC8" s="141" t="s">
        <v>14</v>
      </c>
      <c r="GD8" s="142"/>
      <c r="GE8" s="142"/>
      <c r="GF8" s="142"/>
      <c r="GG8" s="142"/>
      <c r="GH8" s="142"/>
      <c r="GI8" s="142"/>
      <c r="GJ8" s="142"/>
      <c r="GK8" s="142"/>
      <c r="GL8" s="142"/>
      <c r="GM8" s="142"/>
      <c r="GN8" s="142"/>
      <c r="GO8" s="140"/>
      <c r="GP8" s="140"/>
      <c r="GQ8" s="140"/>
      <c r="GR8" s="140"/>
      <c r="GS8" s="140"/>
      <c r="GT8" s="140"/>
      <c r="GU8" s="140"/>
      <c r="GV8" s="140"/>
      <c r="GW8" s="140"/>
      <c r="GX8" s="140"/>
      <c r="GY8" s="140"/>
      <c r="GZ8" s="140"/>
      <c r="HA8" s="140"/>
      <c r="HB8" s="140"/>
      <c r="HC8" s="140"/>
      <c r="HD8" s="140"/>
      <c r="HE8" s="140"/>
      <c r="HF8" s="140"/>
      <c r="HG8" s="139" t="s">
        <v>15</v>
      </c>
      <c r="HH8" s="139"/>
      <c r="HI8" s="139"/>
      <c r="HJ8" s="139"/>
      <c r="HK8" s="139"/>
      <c r="HL8" s="139"/>
      <c r="HM8" s="139"/>
      <c r="HN8" s="139"/>
      <c r="HO8" s="139"/>
      <c r="HP8" s="139"/>
      <c r="HQ8" s="139"/>
      <c r="HR8" s="139"/>
      <c r="HS8" s="139"/>
      <c r="HT8" s="139"/>
      <c r="HU8" s="139"/>
      <c r="HV8" s="139"/>
      <c r="HW8" s="139"/>
      <c r="HX8" s="139"/>
      <c r="HY8" s="139"/>
      <c r="HZ8" s="139"/>
      <c r="IA8" s="139"/>
      <c r="IB8" s="139"/>
      <c r="IC8" s="139"/>
      <c r="ID8" s="139"/>
      <c r="IE8" s="139"/>
      <c r="IF8" s="139"/>
      <c r="IG8" s="139"/>
      <c r="IH8" s="139"/>
      <c r="II8" s="139"/>
      <c r="IJ8" s="139"/>
      <c r="IK8" s="139"/>
      <c r="IL8" s="140" t="s">
        <v>16</v>
      </c>
      <c r="IM8" s="140"/>
      <c r="IN8" s="140"/>
      <c r="IO8" s="140"/>
      <c r="IP8" s="140"/>
      <c r="IQ8" s="140"/>
      <c r="IR8" s="140"/>
      <c r="IS8" s="140"/>
      <c r="IT8" s="140"/>
      <c r="IU8" s="140"/>
      <c r="IV8" s="140"/>
      <c r="IW8" s="140"/>
      <c r="IX8" s="140"/>
      <c r="IY8" s="140"/>
      <c r="IZ8" s="140"/>
      <c r="JA8" s="140"/>
      <c r="JB8" s="140"/>
      <c r="JC8" s="140"/>
      <c r="JD8" s="140"/>
      <c r="JE8" s="140"/>
      <c r="JF8" s="140"/>
      <c r="JG8" s="140"/>
      <c r="JH8" s="140"/>
      <c r="JI8" s="140"/>
      <c r="JJ8" s="140"/>
      <c r="JK8" s="140"/>
      <c r="JL8" s="140"/>
      <c r="JM8" s="140"/>
      <c r="JN8" s="140"/>
      <c r="JO8" s="140"/>
      <c r="JP8" s="140"/>
      <c r="JQ8" s="139" t="s">
        <v>17</v>
      </c>
      <c r="JR8" s="139"/>
      <c r="JS8" s="139"/>
      <c r="JT8" s="139"/>
      <c r="JU8" s="139"/>
      <c r="JV8" s="139"/>
      <c r="JW8" s="139"/>
      <c r="JX8" s="139"/>
      <c r="JY8" s="139"/>
      <c r="JZ8" s="139"/>
      <c r="KA8" s="139"/>
      <c r="KB8" s="139"/>
      <c r="KC8" s="139"/>
      <c r="KD8" s="139"/>
      <c r="KE8" s="139"/>
      <c r="KF8" s="139"/>
      <c r="KG8" s="139"/>
      <c r="KH8" s="139"/>
      <c r="KI8" s="139"/>
      <c r="KJ8" s="139"/>
      <c r="KK8" s="139"/>
      <c r="KL8" s="139"/>
      <c r="KM8" s="139"/>
      <c r="KN8" s="139"/>
      <c r="KO8" s="139"/>
      <c r="KP8" s="139"/>
      <c r="KQ8" s="139"/>
      <c r="KR8" s="139"/>
      <c r="KS8" s="139"/>
      <c r="KT8" s="139"/>
      <c r="KU8" s="140" t="s">
        <v>18</v>
      </c>
      <c r="KV8" s="140"/>
      <c r="KW8" s="140"/>
      <c r="KX8" s="140"/>
      <c r="KY8" s="140"/>
      <c r="KZ8" s="140"/>
      <c r="LA8" s="140"/>
      <c r="LB8" s="140"/>
      <c r="LC8" s="140"/>
      <c r="LD8" s="140"/>
      <c r="LE8" s="140"/>
      <c r="LF8" s="140"/>
      <c r="LG8" s="140"/>
      <c r="LH8" s="140"/>
      <c r="LI8" s="140"/>
      <c r="LJ8" s="140"/>
      <c r="LK8" s="140"/>
      <c r="LL8" s="140"/>
      <c r="LM8" s="140"/>
      <c r="LN8" s="140"/>
      <c r="LO8" s="140"/>
      <c r="LP8" s="140"/>
      <c r="LQ8" s="140"/>
      <c r="LR8" s="140"/>
      <c r="LS8" s="140"/>
      <c r="LT8" s="140"/>
      <c r="LU8" s="140"/>
      <c r="LV8" s="140"/>
      <c r="LW8" s="140"/>
      <c r="LX8" s="140"/>
      <c r="LY8" s="140"/>
      <c r="LZ8" s="139" t="s">
        <v>19</v>
      </c>
      <c r="MA8" s="139"/>
      <c r="MB8" s="139"/>
      <c r="MC8" s="139"/>
      <c r="MD8" s="139"/>
      <c r="ME8" s="139"/>
      <c r="MF8" s="139"/>
      <c r="MG8" s="139"/>
      <c r="MH8" s="139"/>
      <c r="MI8" s="139"/>
      <c r="MJ8" s="139"/>
      <c r="MK8" s="139"/>
      <c r="ML8" s="139"/>
      <c r="MM8" s="139"/>
      <c r="MN8" s="139"/>
      <c r="MO8" s="139"/>
      <c r="MP8" s="139"/>
      <c r="MQ8" s="139"/>
      <c r="MR8" s="139"/>
      <c r="MS8" s="139"/>
      <c r="MT8" s="139"/>
      <c r="MU8" s="139"/>
      <c r="MV8" s="139"/>
      <c r="MW8" s="139"/>
      <c r="MX8" s="139"/>
      <c r="MY8" s="139"/>
      <c r="MZ8" s="139"/>
      <c r="NA8" s="139"/>
      <c r="NB8" s="139"/>
      <c r="NC8" s="136"/>
      <c r="ND8" s="140" t="s">
        <v>20</v>
      </c>
      <c r="NE8" s="140"/>
      <c r="NF8" s="140"/>
      <c r="NG8" s="140"/>
      <c r="NH8" s="140"/>
      <c r="NI8" s="140"/>
      <c r="NJ8" s="140"/>
      <c r="NK8" s="140"/>
      <c r="NL8" s="140"/>
      <c r="NM8" s="140"/>
      <c r="NN8" s="140"/>
      <c r="NO8" s="140"/>
      <c r="NP8" s="140"/>
      <c r="NQ8" s="140"/>
      <c r="NR8" s="140"/>
      <c r="NS8" s="140"/>
      <c r="NT8" s="140"/>
      <c r="NU8" s="140"/>
      <c r="NV8" s="140"/>
      <c r="NW8" s="140"/>
      <c r="NX8" s="140"/>
      <c r="NY8" s="140"/>
      <c r="NZ8" s="140"/>
      <c r="OA8" s="140"/>
      <c r="OB8" s="140"/>
      <c r="OC8" s="140"/>
      <c r="OD8" s="140"/>
      <c r="OE8" s="140"/>
      <c r="OF8" s="140"/>
      <c r="OG8" s="140"/>
      <c r="OH8" s="140"/>
      <c r="OI8" s="103"/>
      <c r="OJ8" s="102"/>
      <c r="OK8" s="102"/>
      <c r="OL8" s="102"/>
      <c r="OM8" s="102"/>
      <c r="ON8" s="102"/>
      <c r="OO8" s="102"/>
      <c r="OP8" s="102"/>
      <c r="OQ8" s="102"/>
      <c r="OR8" s="102"/>
      <c r="OS8" s="102"/>
      <c r="OT8" s="102"/>
      <c r="OU8" s="102"/>
      <c r="OV8" s="102"/>
      <c r="OW8" s="102"/>
      <c r="OX8" s="102"/>
      <c r="OY8" s="102"/>
      <c r="OZ8" s="102"/>
      <c r="PA8" s="102"/>
      <c r="PB8" s="102"/>
      <c r="PC8" s="102"/>
      <c r="PD8" s="102"/>
      <c r="PE8" s="102"/>
      <c r="PF8" s="102"/>
      <c r="PG8" s="102"/>
      <c r="PH8" s="102"/>
      <c r="PI8" s="102"/>
      <c r="PJ8" s="102"/>
      <c r="PK8" s="102"/>
      <c r="PL8" s="102"/>
      <c r="PM8" s="102"/>
      <c r="PN8" s="102"/>
      <c r="PO8" s="102"/>
      <c r="PP8" s="102"/>
      <c r="PQ8" s="102"/>
      <c r="PR8" s="102"/>
      <c r="PS8" s="102"/>
      <c r="PT8" s="102"/>
      <c r="PU8" s="102"/>
      <c r="PV8" s="102"/>
      <c r="PW8" s="102"/>
      <c r="PX8" s="102"/>
      <c r="PY8" s="102"/>
      <c r="PZ8" s="102"/>
      <c r="QA8" s="102"/>
      <c r="QB8" s="102"/>
      <c r="QC8" s="102"/>
      <c r="QD8" s="102"/>
      <c r="QE8" s="102"/>
      <c r="QF8" s="102"/>
      <c r="QG8" s="102"/>
      <c r="QH8" s="102"/>
      <c r="QI8" s="102"/>
    </row>
    <row r="9" spans="1:455" s="90" customFormat="1" ht="9" customHeight="1" x14ac:dyDescent="0.25">
      <c r="C9" s="91">
        <v>45627</v>
      </c>
      <c r="D9" s="91">
        <v>45628</v>
      </c>
      <c r="E9" s="91">
        <v>45629</v>
      </c>
      <c r="F9" s="91">
        <v>45630</v>
      </c>
      <c r="G9" s="91">
        <v>45631</v>
      </c>
      <c r="H9" s="91">
        <v>45632</v>
      </c>
      <c r="I9" s="91">
        <v>45633</v>
      </c>
      <c r="J9" s="91">
        <v>45634</v>
      </c>
      <c r="K9" s="91">
        <v>45635</v>
      </c>
      <c r="L9" s="91">
        <v>45636</v>
      </c>
      <c r="M9" s="91">
        <v>45637</v>
      </c>
      <c r="N9" s="91">
        <v>45638</v>
      </c>
      <c r="O9" s="91">
        <v>45639</v>
      </c>
      <c r="P9" s="91">
        <v>45640</v>
      </c>
      <c r="Q9" s="91">
        <v>45641</v>
      </c>
      <c r="R9" s="91">
        <v>45642</v>
      </c>
      <c r="S9" s="91">
        <v>45643</v>
      </c>
      <c r="T9" s="91">
        <v>45644</v>
      </c>
      <c r="U9" s="91">
        <v>45645</v>
      </c>
      <c r="V9" s="92">
        <v>45646</v>
      </c>
      <c r="W9" s="93">
        <v>45647</v>
      </c>
      <c r="X9" s="93">
        <v>45648</v>
      </c>
      <c r="Y9" s="93">
        <v>45649</v>
      </c>
      <c r="Z9" s="93">
        <v>45650</v>
      </c>
      <c r="AA9" s="93">
        <v>45651</v>
      </c>
      <c r="AB9" s="93">
        <v>45652</v>
      </c>
      <c r="AC9" s="93">
        <v>45653</v>
      </c>
      <c r="AD9" s="93">
        <v>45654</v>
      </c>
      <c r="AE9" s="93">
        <v>45655</v>
      </c>
      <c r="AF9" s="93">
        <v>45656</v>
      </c>
      <c r="AG9" s="93">
        <v>45657</v>
      </c>
      <c r="AH9" s="94">
        <v>45658</v>
      </c>
      <c r="AI9" s="94">
        <v>45659</v>
      </c>
      <c r="AJ9" s="94">
        <v>45660</v>
      </c>
      <c r="AK9" s="94">
        <v>45661</v>
      </c>
      <c r="AL9" s="94">
        <v>45662</v>
      </c>
      <c r="AM9" s="94">
        <v>45663</v>
      </c>
      <c r="AN9" s="94">
        <v>45664</v>
      </c>
      <c r="AO9" s="94">
        <v>45665</v>
      </c>
      <c r="AP9" s="94">
        <v>45666</v>
      </c>
      <c r="AQ9" s="94">
        <v>45667</v>
      </c>
      <c r="AR9" s="94">
        <v>45668</v>
      </c>
      <c r="AS9" s="94">
        <v>45669</v>
      </c>
      <c r="AT9" s="94">
        <v>45670</v>
      </c>
      <c r="AU9" s="94">
        <v>45671</v>
      </c>
      <c r="AV9" s="94">
        <v>45672</v>
      </c>
      <c r="AW9" s="94">
        <v>45673</v>
      </c>
      <c r="AX9" s="94">
        <v>45674</v>
      </c>
      <c r="AY9" s="94">
        <v>45675</v>
      </c>
      <c r="AZ9" s="94">
        <v>45676</v>
      </c>
      <c r="BA9" s="94">
        <v>45677</v>
      </c>
      <c r="BB9" s="94">
        <v>45678</v>
      </c>
      <c r="BC9" s="94">
        <v>45679</v>
      </c>
      <c r="BD9" s="94">
        <v>45680</v>
      </c>
      <c r="BE9" s="94">
        <v>45681</v>
      </c>
      <c r="BF9" s="94">
        <v>45682</v>
      </c>
      <c r="BG9" s="94">
        <v>45683</v>
      </c>
      <c r="BH9" s="94">
        <v>45684</v>
      </c>
      <c r="BI9" s="94">
        <v>45685</v>
      </c>
      <c r="BJ9" s="94">
        <v>45686</v>
      </c>
      <c r="BK9" s="94">
        <v>45687</v>
      </c>
      <c r="BL9" s="94">
        <v>45688</v>
      </c>
      <c r="BM9" s="93">
        <v>45689</v>
      </c>
      <c r="BN9" s="93">
        <v>45690</v>
      </c>
      <c r="BO9" s="93">
        <v>45691</v>
      </c>
      <c r="BP9" s="93">
        <v>45692</v>
      </c>
      <c r="BQ9" s="93">
        <v>45693</v>
      </c>
      <c r="BR9" s="93">
        <v>45694</v>
      </c>
      <c r="BS9" s="93">
        <v>45695</v>
      </c>
      <c r="BT9" s="93">
        <v>45696</v>
      </c>
      <c r="BU9" s="93">
        <v>45697</v>
      </c>
      <c r="BV9" s="93">
        <v>45698</v>
      </c>
      <c r="BW9" s="93">
        <v>45699</v>
      </c>
      <c r="BX9" s="93">
        <v>45700</v>
      </c>
      <c r="BY9" s="93">
        <v>45701</v>
      </c>
      <c r="BZ9" s="93">
        <v>45702</v>
      </c>
      <c r="CA9" s="93">
        <v>45703</v>
      </c>
      <c r="CB9" s="93">
        <v>45704</v>
      </c>
      <c r="CC9" s="93">
        <v>45705</v>
      </c>
      <c r="CD9" s="93">
        <v>45706</v>
      </c>
      <c r="CE9" s="93">
        <v>45707</v>
      </c>
      <c r="CF9" s="93">
        <v>45708</v>
      </c>
      <c r="CG9" s="93">
        <v>45709</v>
      </c>
      <c r="CH9" s="93">
        <v>45710</v>
      </c>
      <c r="CI9" s="93">
        <v>45711</v>
      </c>
      <c r="CJ9" s="93">
        <v>45712</v>
      </c>
      <c r="CK9" s="93">
        <v>45713</v>
      </c>
      <c r="CL9" s="93">
        <v>45714</v>
      </c>
      <c r="CM9" s="93">
        <v>45715</v>
      </c>
      <c r="CN9" s="93">
        <v>45716</v>
      </c>
      <c r="CO9" s="94">
        <v>45717</v>
      </c>
      <c r="CP9" s="94">
        <v>45718</v>
      </c>
      <c r="CQ9" s="94">
        <v>45719</v>
      </c>
      <c r="CR9" s="94">
        <v>45720</v>
      </c>
      <c r="CS9" s="94">
        <v>45721</v>
      </c>
      <c r="CT9" s="94">
        <v>45722</v>
      </c>
      <c r="CU9" s="94">
        <v>45723</v>
      </c>
      <c r="CV9" s="94">
        <v>45724</v>
      </c>
      <c r="CW9" s="94">
        <v>45725</v>
      </c>
      <c r="CX9" s="94">
        <v>45726</v>
      </c>
      <c r="CY9" s="94">
        <v>45727</v>
      </c>
      <c r="CZ9" s="94">
        <v>45728</v>
      </c>
      <c r="DA9" s="94">
        <v>45729</v>
      </c>
      <c r="DB9" s="94">
        <v>45730</v>
      </c>
      <c r="DC9" s="94">
        <v>45731</v>
      </c>
      <c r="DD9" s="94">
        <v>45732</v>
      </c>
      <c r="DE9" s="94">
        <v>45733</v>
      </c>
      <c r="DF9" s="94">
        <v>45734</v>
      </c>
      <c r="DG9" s="94">
        <v>45735</v>
      </c>
      <c r="DH9" s="94">
        <v>45736</v>
      </c>
      <c r="DI9" s="94">
        <v>45737</v>
      </c>
      <c r="DJ9" s="94">
        <v>45738</v>
      </c>
      <c r="DK9" s="94">
        <v>45739</v>
      </c>
      <c r="DL9" s="94">
        <v>45740</v>
      </c>
      <c r="DM9" s="94">
        <v>45741</v>
      </c>
      <c r="DN9" s="94">
        <v>45742</v>
      </c>
      <c r="DO9" s="94">
        <v>45743</v>
      </c>
      <c r="DP9" s="94">
        <v>45744</v>
      </c>
      <c r="DQ9" s="94">
        <v>45745</v>
      </c>
      <c r="DR9" s="94">
        <v>45746</v>
      </c>
      <c r="DS9" s="94">
        <v>45747</v>
      </c>
      <c r="DT9" s="93">
        <v>45748</v>
      </c>
      <c r="DU9" s="93">
        <v>45749</v>
      </c>
      <c r="DV9" s="93">
        <v>45750</v>
      </c>
      <c r="DW9" s="93">
        <v>45751</v>
      </c>
      <c r="DX9" s="93">
        <v>45752</v>
      </c>
      <c r="DY9" s="93">
        <v>45753</v>
      </c>
      <c r="DZ9" s="93">
        <v>45754</v>
      </c>
      <c r="EA9" s="93">
        <v>45755</v>
      </c>
      <c r="EB9" s="93">
        <v>45756</v>
      </c>
      <c r="EC9" s="93">
        <v>45757</v>
      </c>
      <c r="ED9" s="93">
        <v>45758</v>
      </c>
      <c r="EE9" s="93">
        <v>45759</v>
      </c>
      <c r="EF9" s="93">
        <v>45760</v>
      </c>
      <c r="EG9" s="93">
        <v>45761</v>
      </c>
      <c r="EH9" s="93">
        <v>45762</v>
      </c>
      <c r="EI9" s="93">
        <v>45763</v>
      </c>
      <c r="EJ9" s="93">
        <v>45764</v>
      </c>
      <c r="EK9" s="93">
        <v>45765</v>
      </c>
      <c r="EL9" s="93">
        <v>45766</v>
      </c>
      <c r="EM9" s="93">
        <v>45767</v>
      </c>
      <c r="EN9" s="93">
        <v>45768</v>
      </c>
      <c r="EO9" s="93">
        <v>45769</v>
      </c>
      <c r="EP9" s="93">
        <v>45770</v>
      </c>
      <c r="EQ9" s="93">
        <v>45771</v>
      </c>
      <c r="ER9" s="93">
        <v>45772</v>
      </c>
      <c r="ES9" s="93">
        <v>45773</v>
      </c>
      <c r="ET9" s="93">
        <v>45774</v>
      </c>
      <c r="EU9" s="93">
        <v>45775</v>
      </c>
      <c r="EV9" s="93">
        <v>45776</v>
      </c>
      <c r="EW9" s="93">
        <v>45777</v>
      </c>
      <c r="EX9" s="94">
        <v>45778</v>
      </c>
      <c r="EY9" s="94">
        <v>45779</v>
      </c>
      <c r="EZ9" s="94">
        <v>45780</v>
      </c>
      <c r="FA9" s="94">
        <v>45781</v>
      </c>
      <c r="FB9" s="94">
        <v>45782</v>
      </c>
      <c r="FC9" s="94">
        <v>45783</v>
      </c>
      <c r="FD9" s="94">
        <v>45784</v>
      </c>
      <c r="FE9" s="94">
        <v>45785</v>
      </c>
      <c r="FF9" s="94">
        <v>45786</v>
      </c>
      <c r="FG9" s="94">
        <v>45787</v>
      </c>
      <c r="FH9" s="94">
        <v>45788</v>
      </c>
      <c r="FI9" s="94">
        <v>45789</v>
      </c>
      <c r="FJ9" s="94">
        <v>45790</v>
      </c>
      <c r="FK9" s="94">
        <v>45791</v>
      </c>
      <c r="FL9" s="94">
        <v>45792</v>
      </c>
      <c r="FM9" s="94">
        <v>45793</v>
      </c>
      <c r="FN9" s="94">
        <v>45794</v>
      </c>
      <c r="FO9" s="94">
        <v>45795</v>
      </c>
      <c r="FP9" s="94">
        <v>45796</v>
      </c>
      <c r="FQ9" s="94">
        <v>45797</v>
      </c>
      <c r="FR9" s="94">
        <v>45798</v>
      </c>
      <c r="FS9" s="94">
        <v>45799</v>
      </c>
      <c r="FT9" s="94">
        <v>45800</v>
      </c>
      <c r="FU9" s="94">
        <v>45801</v>
      </c>
      <c r="FV9" s="94">
        <v>45802</v>
      </c>
      <c r="FW9" s="94">
        <v>45803</v>
      </c>
      <c r="FX9" s="94">
        <v>45804</v>
      </c>
      <c r="FY9" s="94">
        <v>45805</v>
      </c>
      <c r="FZ9" s="94">
        <v>45806</v>
      </c>
      <c r="GA9" s="94">
        <v>45807</v>
      </c>
      <c r="GB9" s="94">
        <v>45808</v>
      </c>
      <c r="GC9" s="93">
        <v>45809</v>
      </c>
      <c r="GD9" s="93">
        <v>45810</v>
      </c>
      <c r="GE9" s="93">
        <v>45811</v>
      </c>
      <c r="GF9" s="93">
        <v>45812</v>
      </c>
      <c r="GG9" s="93">
        <v>45813</v>
      </c>
      <c r="GH9" s="93">
        <v>45814</v>
      </c>
      <c r="GI9" s="93">
        <v>45815</v>
      </c>
      <c r="GJ9" s="93">
        <v>45816</v>
      </c>
      <c r="GK9" s="93">
        <v>45817</v>
      </c>
      <c r="GL9" s="93">
        <v>45818</v>
      </c>
      <c r="GM9" s="93">
        <v>45819</v>
      </c>
      <c r="GN9" s="93">
        <v>45820</v>
      </c>
      <c r="GO9" s="93">
        <v>45821</v>
      </c>
      <c r="GP9" s="93">
        <v>45822</v>
      </c>
      <c r="GQ9" s="93">
        <v>45823</v>
      </c>
      <c r="GR9" s="93">
        <v>45824</v>
      </c>
      <c r="GS9" s="93">
        <v>45825</v>
      </c>
      <c r="GT9" s="93">
        <v>45826</v>
      </c>
      <c r="GU9" s="93">
        <v>45827</v>
      </c>
      <c r="GV9" s="93">
        <v>45828</v>
      </c>
      <c r="GW9" s="93">
        <v>45829</v>
      </c>
      <c r="GX9" s="93">
        <v>45830</v>
      </c>
      <c r="GY9" s="93">
        <v>45831</v>
      </c>
      <c r="GZ9" s="93">
        <v>45832</v>
      </c>
      <c r="HA9" s="93">
        <v>45833</v>
      </c>
      <c r="HB9" s="93">
        <v>45834</v>
      </c>
      <c r="HC9" s="93">
        <v>45835</v>
      </c>
      <c r="HD9" s="93">
        <v>45836</v>
      </c>
      <c r="HE9" s="93">
        <v>45837</v>
      </c>
      <c r="HF9" s="93">
        <v>45838</v>
      </c>
      <c r="HG9" s="94">
        <v>45839</v>
      </c>
      <c r="HH9" s="94">
        <v>45840</v>
      </c>
      <c r="HI9" s="94">
        <v>45841</v>
      </c>
      <c r="HJ9" s="94">
        <v>45842</v>
      </c>
      <c r="HK9" s="94">
        <v>45843</v>
      </c>
      <c r="HL9" s="94">
        <v>45844</v>
      </c>
      <c r="HM9" s="94">
        <v>45845</v>
      </c>
      <c r="HN9" s="94">
        <v>45846</v>
      </c>
      <c r="HO9" s="94">
        <v>45847</v>
      </c>
      <c r="HP9" s="94">
        <v>45848</v>
      </c>
      <c r="HQ9" s="94">
        <v>45849</v>
      </c>
      <c r="HR9" s="94">
        <v>45850</v>
      </c>
      <c r="HS9" s="94">
        <v>45851</v>
      </c>
      <c r="HT9" s="94">
        <v>45852</v>
      </c>
      <c r="HU9" s="94">
        <v>45853</v>
      </c>
      <c r="HV9" s="94">
        <v>45854</v>
      </c>
      <c r="HW9" s="94">
        <v>45855</v>
      </c>
      <c r="HX9" s="94">
        <v>45856</v>
      </c>
      <c r="HY9" s="94">
        <v>45857</v>
      </c>
      <c r="HZ9" s="94">
        <v>45858</v>
      </c>
      <c r="IA9" s="94">
        <v>45859</v>
      </c>
      <c r="IB9" s="94">
        <v>45860</v>
      </c>
      <c r="IC9" s="94">
        <v>45861</v>
      </c>
      <c r="ID9" s="94">
        <v>45862</v>
      </c>
      <c r="IE9" s="94">
        <v>45863</v>
      </c>
      <c r="IF9" s="94">
        <v>45864</v>
      </c>
      <c r="IG9" s="94">
        <v>45865</v>
      </c>
      <c r="IH9" s="94">
        <v>45866</v>
      </c>
      <c r="II9" s="94">
        <v>45867</v>
      </c>
      <c r="IJ9" s="94">
        <v>45868</v>
      </c>
      <c r="IK9" s="94">
        <v>45869</v>
      </c>
      <c r="IL9" s="93">
        <v>45870</v>
      </c>
      <c r="IM9" s="93">
        <v>45871</v>
      </c>
      <c r="IN9" s="93">
        <v>45872</v>
      </c>
      <c r="IO9" s="93">
        <v>45873</v>
      </c>
      <c r="IP9" s="93">
        <v>45874</v>
      </c>
      <c r="IQ9" s="93">
        <v>45875</v>
      </c>
      <c r="IR9" s="93">
        <v>45876</v>
      </c>
      <c r="IS9" s="93">
        <v>45877</v>
      </c>
      <c r="IT9" s="93">
        <v>45878</v>
      </c>
      <c r="IU9" s="93">
        <v>45879</v>
      </c>
      <c r="IV9" s="93">
        <v>45880</v>
      </c>
      <c r="IW9" s="93">
        <v>45881</v>
      </c>
      <c r="IX9" s="93">
        <v>45882</v>
      </c>
      <c r="IY9" s="93">
        <v>45883</v>
      </c>
      <c r="IZ9" s="93">
        <v>45884</v>
      </c>
      <c r="JA9" s="93">
        <v>45885</v>
      </c>
      <c r="JB9" s="93">
        <v>45886</v>
      </c>
      <c r="JC9" s="93">
        <v>45887</v>
      </c>
      <c r="JD9" s="93">
        <v>45888</v>
      </c>
      <c r="JE9" s="93">
        <v>45889</v>
      </c>
      <c r="JF9" s="93">
        <v>45890</v>
      </c>
      <c r="JG9" s="93">
        <v>45891</v>
      </c>
      <c r="JH9" s="93">
        <v>45892</v>
      </c>
      <c r="JI9" s="93">
        <v>45893</v>
      </c>
      <c r="JJ9" s="93">
        <v>45894</v>
      </c>
      <c r="JK9" s="93">
        <v>45895</v>
      </c>
      <c r="JL9" s="93">
        <v>45896</v>
      </c>
      <c r="JM9" s="93">
        <v>45897</v>
      </c>
      <c r="JN9" s="93">
        <v>45898</v>
      </c>
      <c r="JO9" s="93">
        <v>45899</v>
      </c>
      <c r="JP9" s="93">
        <v>45900</v>
      </c>
      <c r="JQ9" s="94">
        <v>45901</v>
      </c>
      <c r="JR9" s="94">
        <v>45902</v>
      </c>
      <c r="JS9" s="94">
        <v>45903</v>
      </c>
      <c r="JT9" s="94">
        <v>45904</v>
      </c>
      <c r="JU9" s="94">
        <v>45905</v>
      </c>
      <c r="JV9" s="94">
        <v>45906</v>
      </c>
      <c r="JW9" s="94">
        <v>45907</v>
      </c>
      <c r="JX9" s="94">
        <v>45908</v>
      </c>
      <c r="JY9" s="94">
        <v>45909</v>
      </c>
      <c r="JZ9" s="94">
        <v>45910</v>
      </c>
      <c r="KA9" s="94">
        <v>45911</v>
      </c>
      <c r="KB9" s="94">
        <v>45912</v>
      </c>
      <c r="KC9" s="94">
        <v>45913</v>
      </c>
      <c r="KD9" s="94">
        <v>45914</v>
      </c>
      <c r="KE9" s="94">
        <v>45915</v>
      </c>
      <c r="KF9" s="94">
        <v>45916</v>
      </c>
      <c r="KG9" s="94">
        <v>45917</v>
      </c>
      <c r="KH9" s="94">
        <v>45918</v>
      </c>
      <c r="KI9" s="94">
        <v>45919</v>
      </c>
      <c r="KJ9" s="94">
        <v>45920</v>
      </c>
      <c r="KK9" s="94">
        <v>45921</v>
      </c>
      <c r="KL9" s="94">
        <v>45922</v>
      </c>
      <c r="KM9" s="94">
        <v>45923</v>
      </c>
      <c r="KN9" s="94">
        <v>45924</v>
      </c>
      <c r="KO9" s="94">
        <v>45925</v>
      </c>
      <c r="KP9" s="94">
        <v>45926</v>
      </c>
      <c r="KQ9" s="94">
        <v>45927</v>
      </c>
      <c r="KR9" s="94">
        <v>45928</v>
      </c>
      <c r="KS9" s="94">
        <v>45929</v>
      </c>
      <c r="KT9" s="94">
        <v>45930</v>
      </c>
      <c r="KU9" s="93">
        <v>45931</v>
      </c>
      <c r="KV9" s="93">
        <v>45932</v>
      </c>
      <c r="KW9" s="93">
        <v>45933</v>
      </c>
      <c r="KX9" s="93">
        <v>45934</v>
      </c>
      <c r="KY9" s="93">
        <v>45935</v>
      </c>
      <c r="KZ9" s="93">
        <v>45936</v>
      </c>
      <c r="LA9" s="93">
        <v>45937</v>
      </c>
      <c r="LB9" s="93">
        <v>45938</v>
      </c>
      <c r="LC9" s="93">
        <v>45939</v>
      </c>
      <c r="LD9" s="93">
        <v>45940</v>
      </c>
      <c r="LE9" s="93">
        <v>45941</v>
      </c>
      <c r="LF9" s="93">
        <v>45942</v>
      </c>
      <c r="LG9" s="93">
        <v>45943</v>
      </c>
      <c r="LH9" s="93">
        <v>45944</v>
      </c>
      <c r="LI9" s="93">
        <v>45945</v>
      </c>
      <c r="LJ9" s="93">
        <v>45946</v>
      </c>
      <c r="LK9" s="93">
        <v>45947</v>
      </c>
      <c r="LL9" s="93">
        <v>45948</v>
      </c>
      <c r="LM9" s="93">
        <v>45949</v>
      </c>
      <c r="LN9" s="93">
        <v>45950</v>
      </c>
      <c r="LO9" s="93">
        <v>45951</v>
      </c>
      <c r="LP9" s="93">
        <v>45952</v>
      </c>
      <c r="LQ9" s="93">
        <v>45953</v>
      </c>
      <c r="LR9" s="93">
        <v>45954</v>
      </c>
      <c r="LS9" s="93">
        <v>45955</v>
      </c>
      <c r="LT9" s="93">
        <v>45956</v>
      </c>
      <c r="LU9" s="93">
        <v>45957</v>
      </c>
      <c r="LV9" s="93">
        <v>45958</v>
      </c>
      <c r="LW9" s="93">
        <v>45959</v>
      </c>
      <c r="LX9" s="93">
        <v>45960</v>
      </c>
      <c r="LY9" s="93">
        <v>45961</v>
      </c>
      <c r="LZ9" s="94">
        <v>45962</v>
      </c>
      <c r="MA9" s="94">
        <v>45963</v>
      </c>
      <c r="MB9" s="94">
        <v>45964</v>
      </c>
      <c r="MC9" s="94">
        <v>45965</v>
      </c>
      <c r="MD9" s="94">
        <v>45966</v>
      </c>
      <c r="ME9" s="94">
        <v>45967</v>
      </c>
      <c r="MF9" s="94">
        <v>45968</v>
      </c>
      <c r="MG9" s="94">
        <v>45969</v>
      </c>
      <c r="MH9" s="94">
        <v>45970</v>
      </c>
      <c r="MI9" s="94">
        <v>45971</v>
      </c>
      <c r="MJ9" s="94">
        <v>45972</v>
      </c>
      <c r="MK9" s="94">
        <v>45973</v>
      </c>
      <c r="ML9" s="94">
        <v>45974</v>
      </c>
      <c r="MM9" s="94">
        <v>45975</v>
      </c>
      <c r="MN9" s="94">
        <v>45976</v>
      </c>
      <c r="MO9" s="94">
        <v>45977</v>
      </c>
      <c r="MP9" s="94">
        <v>45978</v>
      </c>
      <c r="MQ9" s="94">
        <v>45979</v>
      </c>
      <c r="MR9" s="94">
        <v>45980</v>
      </c>
      <c r="MS9" s="94">
        <v>45981</v>
      </c>
      <c r="MT9" s="94">
        <v>45982</v>
      </c>
      <c r="MU9" s="94">
        <v>45983</v>
      </c>
      <c r="MV9" s="94">
        <v>45984</v>
      </c>
      <c r="MW9" s="94">
        <v>45985</v>
      </c>
      <c r="MX9" s="94">
        <v>45986</v>
      </c>
      <c r="MY9" s="94">
        <v>45987</v>
      </c>
      <c r="MZ9" s="94">
        <v>45988</v>
      </c>
      <c r="NA9" s="94">
        <v>45989</v>
      </c>
      <c r="NB9" s="94">
        <v>45990</v>
      </c>
      <c r="NC9" s="94">
        <v>45991</v>
      </c>
      <c r="ND9" s="93">
        <v>45992</v>
      </c>
      <c r="NE9" s="93">
        <v>45993</v>
      </c>
      <c r="NF9" s="93">
        <v>45994</v>
      </c>
      <c r="NG9" s="93">
        <v>45995</v>
      </c>
      <c r="NH9" s="93">
        <v>45996</v>
      </c>
      <c r="NI9" s="93">
        <v>45997</v>
      </c>
      <c r="NJ9" s="93">
        <v>45998</v>
      </c>
      <c r="NK9" s="93">
        <v>45999</v>
      </c>
      <c r="NL9" s="93">
        <v>46000</v>
      </c>
      <c r="NM9" s="93">
        <v>46001</v>
      </c>
      <c r="NN9" s="93">
        <v>46002</v>
      </c>
      <c r="NO9" s="93">
        <v>46003</v>
      </c>
      <c r="NP9" s="93">
        <v>46004</v>
      </c>
      <c r="NQ9" s="93">
        <v>46005</v>
      </c>
      <c r="NR9" s="93">
        <v>46006</v>
      </c>
      <c r="NS9" s="93">
        <v>46007</v>
      </c>
      <c r="NT9" s="93">
        <v>46008</v>
      </c>
      <c r="NU9" s="93">
        <v>46009</v>
      </c>
      <c r="NV9" s="93">
        <v>46010</v>
      </c>
      <c r="NW9" s="93">
        <v>46011</v>
      </c>
      <c r="NX9" s="93">
        <v>46012</v>
      </c>
      <c r="NY9" s="93">
        <v>46013</v>
      </c>
      <c r="NZ9" s="93">
        <v>46014</v>
      </c>
      <c r="OA9" s="93">
        <v>46015</v>
      </c>
      <c r="OB9" s="93">
        <v>46016</v>
      </c>
      <c r="OC9" s="93">
        <v>46017</v>
      </c>
      <c r="OD9" s="93">
        <v>46018</v>
      </c>
      <c r="OE9" s="93">
        <v>46019</v>
      </c>
      <c r="OF9" s="93">
        <v>46020</v>
      </c>
      <c r="OG9" s="93">
        <v>46021</v>
      </c>
      <c r="OH9" s="95">
        <v>46022</v>
      </c>
    </row>
    <row r="10" spans="1:455" s="90" customFormat="1" ht="9" customHeight="1" x14ac:dyDescent="0.25">
      <c r="C10" s="96">
        <f>C9</f>
        <v>45627</v>
      </c>
      <c r="D10" s="97">
        <f t="shared" ref="D10:BO10" si="0">D9</f>
        <v>45628</v>
      </c>
      <c r="E10" s="97">
        <f t="shared" si="0"/>
        <v>45629</v>
      </c>
      <c r="F10" s="97">
        <f t="shared" si="0"/>
        <v>45630</v>
      </c>
      <c r="G10" s="97">
        <f t="shared" si="0"/>
        <v>45631</v>
      </c>
      <c r="H10" s="97">
        <f t="shared" si="0"/>
        <v>45632</v>
      </c>
      <c r="I10" s="97">
        <f t="shared" si="0"/>
        <v>45633</v>
      </c>
      <c r="J10" s="97">
        <f t="shared" si="0"/>
        <v>45634</v>
      </c>
      <c r="K10" s="97">
        <f t="shared" si="0"/>
        <v>45635</v>
      </c>
      <c r="L10" s="97">
        <f t="shared" si="0"/>
        <v>45636</v>
      </c>
      <c r="M10" s="97">
        <f t="shared" si="0"/>
        <v>45637</v>
      </c>
      <c r="N10" s="97">
        <f t="shared" si="0"/>
        <v>45638</v>
      </c>
      <c r="O10" s="97">
        <f t="shared" si="0"/>
        <v>45639</v>
      </c>
      <c r="P10" s="97">
        <f t="shared" si="0"/>
        <v>45640</v>
      </c>
      <c r="Q10" s="97">
        <f t="shared" si="0"/>
        <v>45641</v>
      </c>
      <c r="R10" s="97">
        <f t="shared" si="0"/>
        <v>45642</v>
      </c>
      <c r="S10" s="97">
        <f t="shared" si="0"/>
        <v>45643</v>
      </c>
      <c r="T10" s="97">
        <f t="shared" si="0"/>
        <v>45644</v>
      </c>
      <c r="U10" s="97">
        <f t="shared" si="0"/>
        <v>45645</v>
      </c>
      <c r="V10" s="98">
        <f t="shared" si="0"/>
        <v>45646</v>
      </c>
      <c r="W10" s="99">
        <f t="shared" si="0"/>
        <v>45647</v>
      </c>
      <c r="X10" s="99">
        <f t="shared" si="0"/>
        <v>45648</v>
      </c>
      <c r="Y10" s="99">
        <f t="shared" si="0"/>
        <v>45649</v>
      </c>
      <c r="Z10" s="99">
        <f t="shared" si="0"/>
        <v>45650</v>
      </c>
      <c r="AA10" s="99">
        <f t="shared" si="0"/>
        <v>45651</v>
      </c>
      <c r="AB10" s="99">
        <f t="shared" si="0"/>
        <v>45652</v>
      </c>
      <c r="AC10" s="99">
        <f t="shared" si="0"/>
        <v>45653</v>
      </c>
      <c r="AD10" s="99">
        <f t="shared" si="0"/>
        <v>45654</v>
      </c>
      <c r="AE10" s="99">
        <f t="shared" si="0"/>
        <v>45655</v>
      </c>
      <c r="AF10" s="99">
        <f t="shared" si="0"/>
        <v>45656</v>
      </c>
      <c r="AG10" s="99">
        <f t="shared" si="0"/>
        <v>45657</v>
      </c>
      <c r="AH10" s="100">
        <f t="shared" si="0"/>
        <v>45658</v>
      </c>
      <c r="AI10" s="100">
        <f t="shared" si="0"/>
        <v>45659</v>
      </c>
      <c r="AJ10" s="100">
        <f t="shared" si="0"/>
        <v>45660</v>
      </c>
      <c r="AK10" s="100">
        <f t="shared" si="0"/>
        <v>45661</v>
      </c>
      <c r="AL10" s="100">
        <f t="shared" si="0"/>
        <v>45662</v>
      </c>
      <c r="AM10" s="100">
        <f t="shared" si="0"/>
        <v>45663</v>
      </c>
      <c r="AN10" s="100">
        <f t="shared" si="0"/>
        <v>45664</v>
      </c>
      <c r="AO10" s="100">
        <f t="shared" si="0"/>
        <v>45665</v>
      </c>
      <c r="AP10" s="100">
        <f t="shared" si="0"/>
        <v>45666</v>
      </c>
      <c r="AQ10" s="100">
        <f t="shared" si="0"/>
        <v>45667</v>
      </c>
      <c r="AR10" s="100">
        <f t="shared" si="0"/>
        <v>45668</v>
      </c>
      <c r="AS10" s="100">
        <f t="shared" si="0"/>
        <v>45669</v>
      </c>
      <c r="AT10" s="100">
        <f t="shared" si="0"/>
        <v>45670</v>
      </c>
      <c r="AU10" s="100">
        <f t="shared" si="0"/>
        <v>45671</v>
      </c>
      <c r="AV10" s="100">
        <f t="shared" si="0"/>
        <v>45672</v>
      </c>
      <c r="AW10" s="100">
        <f t="shared" si="0"/>
        <v>45673</v>
      </c>
      <c r="AX10" s="100">
        <f t="shared" si="0"/>
        <v>45674</v>
      </c>
      <c r="AY10" s="100">
        <f t="shared" si="0"/>
        <v>45675</v>
      </c>
      <c r="AZ10" s="100">
        <f t="shared" si="0"/>
        <v>45676</v>
      </c>
      <c r="BA10" s="100">
        <f t="shared" si="0"/>
        <v>45677</v>
      </c>
      <c r="BB10" s="100">
        <f t="shared" si="0"/>
        <v>45678</v>
      </c>
      <c r="BC10" s="100">
        <f t="shared" si="0"/>
        <v>45679</v>
      </c>
      <c r="BD10" s="100">
        <f t="shared" si="0"/>
        <v>45680</v>
      </c>
      <c r="BE10" s="100">
        <f t="shared" si="0"/>
        <v>45681</v>
      </c>
      <c r="BF10" s="100">
        <f t="shared" si="0"/>
        <v>45682</v>
      </c>
      <c r="BG10" s="100">
        <f t="shared" si="0"/>
        <v>45683</v>
      </c>
      <c r="BH10" s="100">
        <f t="shared" si="0"/>
        <v>45684</v>
      </c>
      <c r="BI10" s="100">
        <f t="shared" si="0"/>
        <v>45685</v>
      </c>
      <c r="BJ10" s="100">
        <f t="shared" si="0"/>
        <v>45686</v>
      </c>
      <c r="BK10" s="100">
        <f t="shared" si="0"/>
        <v>45687</v>
      </c>
      <c r="BL10" s="100">
        <f t="shared" si="0"/>
        <v>45688</v>
      </c>
      <c r="BM10" s="99">
        <f t="shared" si="0"/>
        <v>45689</v>
      </c>
      <c r="BN10" s="99">
        <f t="shared" si="0"/>
        <v>45690</v>
      </c>
      <c r="BO10" s="99">
        <f t="shared" si="0"/>
        <v>45691</v>
      </c>
      <c r="BP10" s="99">
        <f t="shared" ref="BP10:EA10" si="1">BP9</f>
        <v>45692</v>
      </c>
      <c r="BQ10" s="99">
        <f t="shared" si="1"/>
        <v>45693</v>
      </c>
      <c r="BR10" s="99">
        <f t="shared" si="1"/>
        <v>45694</v>
      </c>
      <c r="BS10" s="99">
        <f t="shared" si="1"/>
        <v>45695</v>
      </c>
      <c r="BT10" s="99">
        <f t="shared" si="1"/>
        <v>45696</v>
      </c>
      <c r="BU10" s="99">
        <f t="shared" si="1"/>
        <v>45697</v>
      </c>
      <c r="BV10" s="99">
        <f t="shared" si="1"/>
        <v>45698</v>
      </c>
      <c r="BW10" s="99">
        <f t="shared" si="1"/>
        <v>45699</v>
      </c>
      <c r="BX10" s="99">
        <f t="shared" si="1"/>
        <v>45700</v>
      </c>
      <c r="BY10" s="99">
        <f t="shared" si="1"/>
        <v>45701</v>
      </c>
      <c r="BZ10" s="99">
        <f t="shared" si="1"/>
        <v>45702</v>
      </c>
      <c r="CA10" s="99">
        <f t="shared" si="1"/>
        <v>45703</v>
      </c>
      <c r="CB10" s="99">
        <f t="shared" si="1"/>
        <v>45704</v>
      </c>
      <c r="CC10" s="99">
        <f t="shared" si="1"/>
        <v>45705</v>
      </c>
      <c r="CD10" s="99">
        <f t="shared" si="1"/>
        <v>45706</v>
      </c>
      <c r="CE10" s="99">
        <f t="shared" si="1"/>
        <v>45707</v>
      </c>
      <c r="CF10" s="99">
        <f t="shared" si="1"/>
        <v>45708</v>
      </c>
      <c r="CG10" s="99">
        <f t="shared" si="1"/>
        <v>45709</v>
      </c>
      <c r="CH10" s="99">
        <f t="shared" si="1"/>
        <v>45710</v>
      </c>
      <c r="CI10" s="99">
        <f t="shared" si="1"/>
        <v>45711</v>
      </c>
      <c r="CJ10" s="99">
        <f t="shared" si="1"/>
        <v>45712</v>
      </c>
      <c r="CK10" s="99">
        <f t="shared" si="1"/>
        <v>45713</v>
      </c>
      <c r="CL10" s="99">
        <f t="shared" si="1"/>
        <v>45714</v>
      </c>
      <c r="CM10" s="99">
        <f t="shared" si="1"/>
        <v>45715</v>
      </c>
      <c r="CN10" s="99">
        <f t="shared" si="1"/>
        <v>45716</v>
      </c>
      <c r="CO10" s="100">
        <f t="shared" si="1"/>
        <v>45717</v>
      </c>
      <c r="CP10" s="100">
        <f t="shared" si="1"/>
        <v>45718</v>
      </c>
      <c r="CQ10" s="100">
        <f t="shared" si="1"/>
        <v>45719</v>
      </c>
      <c r="CR10" s="100">
        <f t="shared" si="1"/>
        <v>45720</v>
      </c>
      <c r="CS10" s="100">
        <f t="shared" si="1"/>
        <v>45721</v>
      </c>
      <c r="CT10" s="100">
        <f t="shared" si="1"/>
        <v>45722</v>
      </c>
      <c r="CU10" s="100">
        <f t="shared" si="1"/>
        <v>45723</v>
      </c>
      <c r="CV10" s="100">
        <f t="shared" si="1"/>
        <v>45724</v>
      </c>
      <c r="CW10" s="100">
        <f t="shared" si="1"/>
        <v>45725</v>
      </c>
      <c r="CX10" s="100">
        <f t="shared" si="1"/>
        <v>45726</v>
      </c>
      <c r="CY10" s="100">
        <f t="shared" si="1"/>
        <v>45727</v>
      </c>
      <c r="CZ10" s="100">
        <f t="shared" si="1"/>
        <v>45728</v>
      </c>
      <c r="DA10" s="100">
        <f t="shared" si="1"/>
        <v>45729</v>
      </c>
      <c r="DB10" s="100">
        <f t="shared" si="1"/>
        <v>45730</v>
      </c>
      <c r="DC10" s="100">
        <f t="shared" si="1"/>
        <v>45731</v>
      </c>
      <c r="DD10" s="100">
        <f t="shared" si="1"/>
        <v>45732</v>
      </c>
      <c r="DE10" s="100">
        <f t="shared" si="1"/>
        <v>45733</v>
      </c>
      <c r="DF10" s="100">
        <f t="shared" si="1"/>
        <v>45734</v>
      </c>
      <c r="DG10" s="100">
        <f t="shared" si="1"/>
        <v>45735</v>
      </c>
      <c r="DH10" s="100">
        <f t="shared" si="1"/>
        <v>45736</v>
      </c>
      <c r="DI10" s="100">
        <f t="shared" si="1"/>
        <v>45737</v>
      </c>
      <c r="DJ10" s="100">
        <f t="shared" si="1"/>
        <v>45738</v>
      </c>
      <c r="DK10" s="100">
        <f t="shared" si="1"/>
        <v>45739</v>
      </c>
      <c r="DL10" s="100">
        <f t="shared" si="1"/>
        <v>45740</v>
      </c>
      <c r="DM10" s="100">
        <f t="shared" si="1"/>
        <v>45741</v>
      </c>
      <c r="DN10" s="100">
        <f t="shared" si="1"/>
        <v>45742</v>
      </c>
      <c r="DO10" s="100">
        <f t="shared" si="1"/>
        <v>45743</v>
      </c>
      <c r="DP10" s="100">
        <f t="shared" si="1"/>
        <v>45744</v>
      </c>
      <c r="DQ10" s="100">
        <f t="shared" si="1"/>
        <v>45745</v>
      </c>
      <c r="DR10" s="100">
        <f t="shared" si="1"/>
        <v>45746</v>
      </c>
      <c r="DS10" s="100">
        <f t="shared" si="1"/>
        <v>45747</v>
      </c>
      <c r="DT10" s="99">
        <f t="shared" si="1"/>
        <v>45748</v>
      </c>
      <c r="DU10" s="99">
        <f t="shared" si="1"/>
        <v>45749</v>
      </c>
      <c r="DV10" s="99">
        <f t="shared" si="1"/>
        <v>45750</v>
      </c>
      <c r="DW10" s="99">
        <f t="shared" si="1"/>
        <v>45751</v>
      </c>
      <c r="DX10" s="99">
        <f t="shared" si="1"/>
        <v>45752</v>
      </c>
      <c r="DY10" s="99">
        <f t="shared" si="1"/>
        <v>45753</v>
      </c>
      <c r="DZ10" s="99">
        <f t="shared" si="1"/>
        <v>45754</v>
      </c>
      <c r="EA10" s="99">
        <f t="shared" si="1"/>
        <v>45755</v>
      </c>
      <c r="EB10" s="99">
        <f t="shared" ref="EB10:GM10" si="2">EB9</f>
        <v>45756</v>
      </c>
      <c r="EC10" s="99">
        <f t="shared" si="2"/>
        <v>45757</v>
      </c>
      <c r="ED10" s="99">
        <f t="shared" si="2"/>
        <v>45758</v>
      </c>
      <c r="EE10" s="99">
        <f t="shared" si="2"/>
        <v>45759</v>
      </c>
      <c r="EF10" s="99">
        <f t="shared" si="2"/>
        <v>45760</v>
      </c>
      <c r="EG10" s="99">
        <f t="shared" si="2"/>
        <v>45761</v>
      </c>
      <c r="EH10" s="99">
        <f t="shared" si="2"/>
        <v>45762</v>
      </c>
      <c r="EI10" s="99">
        <f t="shared" si="2"/>
        <v>45763</v>
      </c>
      <c r="EJ10" s="99">
        <f t="shared" si="2"/>
        <v>45764</v>
      </c>
      <c r="EK10" s="99">
        <f t="shared" si="2"/>
        <v>45765</v>
      </c>
      <c r="EL10" s="99">
        <f t="shared" si="2"/>
        <v>45766</v>
      </c>
      <c r="EM10" s="99">
        <f t="shared" si="2"/>
        <v>45767</v>
      </c>
      <c r="EN10" s="99">
        <f t="shared" si="2"/>
        <v>45768</v>
      </c>
      <c r="EO10" s="99">
        <f t="shared" si="2"/>
        <v>45769</v>
      </c>
      <c r="EP10" s="99">
        <f t="shared" si="2"/>
        <v>45770</v>
      </c>
      <c r="EQ10" s="99">
        <f t="shared" si="2"/>
        <v>45771</v>
      </c>
      <c r="ER10" s="99">
        <f t="shared" si="2"/>
        <v>45772</v>
      </c>
      <c r="ES10" s="99">
        <f t="shared" si="2"/>
        <v>45773</v>
      </c>
      <c r="ET10" s="99">
        <f t="shared" si="2"/>
        <v>45774</v>
      </c>
      <c r="EU10" s="99">
        <f t="shared" si="2"/>
        <v>45775</v>
      </c>
      <c r="EV10" s="99">
        <f t="shared" si="2"/>
        <v>45776</v>
      </c>
      <c r="EW10" s="99">
        <f t="shared" si="2"/>
        <v>45777</v>
      </c>
      <c r="EX10" s="100">
        <f t="shared" si="2"/>
        <v>45778</v>
      </c>
      <c r="EY10" s="100">
        <f t="shared" si="2"/>
        <v>45779</v>
      </c>
      <c r="EZ10" s="100">
        <f t="shared" si="2"/>
        <v>45780</v>
      </c>
      <c r="FA10" s="100">
        <f t="shared" si="2"/>
        <v>45781</v>
      </c>
      <c r="FB10" s="100">
        <f t="shared" si="2"/>
        <v>45782</v>
      </c>
      <c r="FC10" s="100">
        <f t="shared" si="2"/>
        <v>45783</v>
      </c>
      <c r="FD10" s="100">
        <f t="shared" si="2"/>
        <v>45784</v>
      </c>
      <c r="FE10" s="100">
        <f t="shared" si="2"/>
        <v>45785</v>
      </c>
      <c r="FF10" s="100">
        <f t="shared" si="2"/>
        <v>45786</v>
      </c>
      <c r="FG10" s="100">
        <f t="shared" si="2"/>
        <v>45787</v>
      </c>
      <c r="FH10" s="100">
        <f t="shared" si="2"/>
        <v>45788</v>
      </c>
      <c r="FI10" s="100">
        <f t="shared" si="2"/>
        <v>45789</v>
      </c>
      <c r="FJ10" s="100">
        <f t="shared" si="2"/>
        <v>45790</v>
      </c>
      <c r="FK10" s="100">
        <f t="shared" si="2"/>
        <v>45791</v>
      </c>
      <c r="FL10" s="100">
        <f t="shared" si="2"/>
        <v>45792</v>
      </c>
      <c r="FM10" s="100">
        <f t="shared" si="2"/>
        <v>45793</v>
      </c>
      <c r="FN10" s="100">
        <f t="shared" si="2"/>
        <v>45794</v>
      </c>
      <c r="FO10" s="100">
        <f t="shared" si="2"/>
        <v>45795</v>
      </c>
      <c r="FP10" s="100">
        <f t="shared" si="2"/>
        <v>45796</v>
      </c>
      <c r="FQ10" s="100">
        <f t="shared" si="2"/>
        <v>45797</v>
      </c>
      <c r="FR10" s="100">
        <f t="shared" si="2"/>
        <v>45798</v>
      </c>
      <c r="FS10" s="100">
        <f t="shared" si="2"/>
        <v>45799</v>
      </c>
      <c r="FT10" s="100">
        <f t="shared" si="2"/>
        <v>45800</v>
      </c>
      <c r="FU10" s="100">
        <f t="shared" si="2"/>
        <v>45801</v>
      </c>
      <c r="FV10" s="100">
        <f t="shared" si="2"/>
        <v>45802</v>
      </c>
      <c r="FW10" s="100">
        <f t="shared" si="2"/>
        <v>45803</v>
      </c>
      <c r="FX10" s="100">
        <f t="shared" si="2"/>
        <v>45804</v>
      </c>
      <c r="FY10" s="100">
        <f t="shared" si="2"/>
        <v>45805</v>
      </c>
      <c r="FZ10" s="100">
        <f t="shared" si="2"/>
        <v>45806</v>
      </c>
      <c r="GA10" s="100">
        <f t="shared" si="2"/>
        <v>45807</v>
      </c>
      <c r="GB10" s="100">
        <f t="shared" si="2"/>
        <v>45808</v>
      </c>
      <c r="GC10" s="99">
        <f t="shared" si="2"/>
        <v>45809</v>
      </c>
      <c r="GD10" s="99">
        <f t="shared" si="2"/>
        <v>45810</v>
      </c>
      <c r="GE10" s="99">
        <f t="shared" si="2"/>
        <v>45811</v>
      </c>
      <c r="GF10" s="99">
        <f t="shared" si="2"/>
        <v>45812</v>
      </c>
      <c r="GG10" s="99">
        <f t="shared" si="2"/>
        <v>45813</v>
      </c>
      <c r="GH10" s="99">
        <f t="shared" si="2"/>
        <v>45814</v>
      </c>
      <c r="GI10" s="99">
        <f t="shared" si="2"/>
        <v>45815</v>
      </c>
      <c r="GJ10" s="99">
        <f t="shared" si="2"/>
        <v>45816</v>
      </c>
      <c r="GK10" s="99">
        <f t="shared" si="2"/>
        <v>45817</v>
      </c>
      <c r="GL10" s="99">
        <f t="shared" si="2"/>
        <v>45818</v>
      </c>
      <c r="GM10" s="99">
        <f t="shared" si="2"/>
        <v>45819</v>
      </c>
      <c r="GN10" s="99">
        <f t="shared" ref="GN10:IY10" si="3">GN9</f>
        <v>45820</v>
      </c>
      <c r="GO10" s="99">
        <f t="shared" si="3"/>
        <v>45821</v>
      </c>
      <c r="GP10" s="99">
        <f t="shared" si="3"/>
        <v>45822</v>
      </c>
      <c r="GQ10" s="99">
        <f t="shared" si="3"/>
        <v>45823</v>
      </c>
      <c r="GR10" s="99">
        <f t="shared" si="3"/>
        <v>45824</v>
      </c>
      <c r="GS10" s="99">
        <f t="shared" si="3"/>
        <v>45825</v>
      </c>
      <c r="GT10" s="99">
        <f t="shared" si="3"/>
        <v>45826</v>
      </c>
      <c r="GU10" s="99">
        <f t="shared" si="3"/>
        <v>45827</v>
      </c>
      <c r="GV10" s="99">
        <f t="shared" si="3"/>
        <v>45828</v>
      </c>
      <c r="GW10" s="99">
        <f t="shared" si="3"/>
        <v>45829</v>
      </c>
      <c r="GX10" s="99">
        <f t="shared" si="3"/>
        <v>45830</v>
      </c>
      <c r="GY10" s="99">
        <f t="shared" si="3"/>
        <v>45831</v>
      </c>
      <c r="GZ10" s="99">
        <f t="shared" si="3"/>
        <v>45832</v>
      </c>
      <c r="HA10" s="99">
        <f t="shared" si="3"/>
        <v>45833</v>
      </c>
      <c r="HB10" s="99">
        <f t="shared" si="3"/>
        <v>45834</v>
      </c>
      <c r="HC10" s="99">
        <f t="shared" si="3"/>
        <v>45835</v>
      </c>
      <c r="HD10" s="99">
        <f t="shared" si="3"/>
        <v>45836</v>
      </c>
      <c r="HE10" s="99">
        <f t="shared" si="3"/>
        <v>45837</v>
      </c>
      <c r="HF10" s="99">
        <f t="shared" si="3"/>
        <v>45838</v>
      </c>
      <c r="HG10" s="100">
        <f t="shared" si="3"/>
        <v>45839</v>
      </c>
      <c r="HH10" s="100">
        <f t="shared" si="3"/>
        <v>45840</v>
      </c>
      <c r="HI10" s="100">
        <f t="shared" si="3"/>
        <v>45841</v>
      </c>
      <c r="HJ10" s="100">
        <f t="shared" si="3"/>
        <v>45842</v>
      </c>
      <c r="HK10" s="100">
        <f t="shared" si="3"/>
        <v>45843</v>
      </c>
      <c r="HL10" s="100">
        <f t="shared" si="3"/>
        <v>45844</v>
      </c>
      <c r="HM10" s="100">
        <f t="shared" si="3"/>
        <v>45845</v>
      </c>
      <c r="HN10" s="100">
        <f t="shared" si="3"/>
        <v>45846</v>
      </c>
      <c r="HO10" s="100">
        <f t="shared" si="3"/>
        <v>45847</v>
      </c>
      <c r="HP10" s="100">
        <f t="shared" si="3"/>
        <v>45848</v>
      </c>
      <c r="HQ10" s="100">
        <f t="shared" si="3"/>
        <v>45849</v>
      </c>
      <c r="HR10" s="100">
        <f t="shared" si="3"/>
        <v>45850</v>
      </c>
      <c r="HS10" s="100">
        <f t="shared" si="3"/>
        <v>45851</v>
      </c>
      <c r="HT10" s="100">
        <f t="shared" si="3"/>
        <v>45852</v>
      </c>
      <c r="HU10" s="100">
        <f t="shared" si="3"/>
        <v>45853</v>
      </c>
      <c r="HV10" s="100">
        <f t="shared" si="3"/>
        <v>45854</v>
      </c>
      <c r="HW10" s="100">
        <f t="shared" si="3"/>
        <v>45855</v>
      </c>
      <c r="HX10" s="100">
        <f t="shared" si="3"/>
        <v>45856</v>
      </c>
      <c r="HY10" s="100">
        <f t="shared" si="3"/>
        <v>45857</v>
      </c>
      <c r="HZ10" s="100">
        <f t="shared" si="3"/>
        <v>45858</v>
      </c>
      <c r="IA10" s="100">
        <f t="shared" si="3"/>
        <v>45859</v>
      </c>
      <c r="IB10" s="100">
        <f t="shared" si="3"/>
        <v>45860</v>
      </c>
      <c r="IC10" s="100">
        <f t="shared" si="3"/>
        <v>45861</v>
      </c>
      <c r="ID10" s="100">
        <f t="shared" si="3"/>
        <v>45862</v>
      </c>
      <c r="IE10" s="100">
        <f t="shared" si="3"/>
        <v>45863</v>
      </c>
      <c r="IF10" s="100">
        <f t="shared" si="3"/>
        <v>45864</v>
      </c>
      <c r="IG10" s="100">
        <f t="shared" si="3"/>
        <v>45865</v>
      </c>
      <c r="IH10" s="100">
        <f t="shared" si="3"/>
        <v>45866</v>
      </c>
      <c r="II10" s="100">
        <f t="shared" si="3"/>
        <v>45867</v>
      </c>
      <c r="IJ10" s="100">
        <f t="shared" si="3"/>
        <v>45868</v>
      </c>
      <c r="IK10" s="100">
        <f t="shared" si="3"/>
        <v>45869</v>
      </c>
      <c r="IL10" s="99">
        <f t="shared" si="3"/>
        <v>45870</v>
      </c>
      <c r="IM10" s="99">
        <f t="shared" si="3"/>
        <v>45871</v>
      </c>
      <c r="IN10" s="99">
        <f t="shared" si="3"/>
        <v>45872</v>
      </c>
      <c r="IO10" s="99">
        <f t="shared" si="3"/>
        <v>45873</v>
      </c>
      <c r="IP10" s="99">
        <f t="shared" si="3"/>
        <v>45874</v>
      </c>
      <c r="IQ10" s="99">
        <f t="shared" si="3"/>
        <v>45875</v>
      </c>
      <c r="IR10" s="99">
        <f t="shared" si="3"/>
        <v>45876</v>
      </c>
      <c r="IS10" s="99">
        <f t="shared" si="3"/>
        <v>45877</v>
      </c>
      <c r="IT10" s="99">
        <f t="shared" si="3"/>
        <v>45878</v>
      </c>
      <c r="IU10" s="99">
        <f t="shared" si="3"/>
        <v>45879</v>
      </c>
      <c r="IV10" s="99">
        <f t="shared" si="3"/>
        <v>45880</v>
      </c>
      <c r="IW10" s="99">
        <f t="shared" si="3"/>
        <v>45881</v>
      </c>
      <c r="IX10" s="99">
        <f t="shared" si="3"/>
        <v>45882</v>
      </c>
      <c r="IY10" s="99">
        <f t="shared" si="3"/>
        <v>45883</v>
      </c>
      <c r="IZ10" s="99">
        <f t="shared" ref="IZ10:LK10" si="4">IZ9</f>
        <v>45884</v>
      </c>
      <c r="JA10" s="99">
        <f t="shared" si="4"/>
        <v>45885</v>
      </c>
      <c r="JB10" s="99">
        <f t="shared" si="4"/>
        <v>45886</v>
      </c>
      <c r="JC10" s="99">
        <f t="shared" si="4"/>
        <v>45887</v>
      </c>
      <c r="JD10" s="99">
        <f t="shared" si="4"/>
        <v>45888</v>
      </c>
      <c r="JE10" s="99">
        <f t="shared" si="4"/>
        <v>45889</v>
      </c>
      <c r="JF10" s="99">
        <f t="shared" si="4"/>
        <v>45890</v>
      </c>
      <c r="JG10" s="99">
        <f t="shared" si="4"/>
        <v>45891</v>
      </c>
      <c r="JH10" s="99">
        <f t="shared" si="4"/>
        <v>45892</v>
      </c>
      <c r="JI10" s="99">
        <f t="shared" si="4"/>
        <v>45893</v>
      </c>
      <c r="JJ10" s="99">
        <f t="shared" si="4"/>
        <v>45894</v>
      </c>
      <c r="JK10" s="99">
        <f t="shared" si="4"/>
        <v>45895</v>
      </c>
      <c r="JL10" s="99">
        <f t="shared" si="4"/>
        <v>45896</v>
      </c>
      <c r="JM10" s="99">
        <f t="shared" si="4"/>
        <v>45897</v>
      </c>
      <c r="JN10" s="99">
        <f t="shared" si="4"/>
        <v>45898</v>
      </c>
      <c r="JO10" s="99">
        <f t="shared" si="4"/>
        <v>45899</v>
      </c>
      <c r="JP10" s="99">
        <f t="shared" si="4"/>
        <v>45900</v>
      </c>
      <c r="JQ10" s="100">
        <f t="shared" si="4"/>
        <v>45901</v>
      </c>
      <c r="JR10" s="100">
        <f t="shared" si="4"/>
        <v>45902</v>
      </c>
      <c r="JS10" s="100">
        <f t="shared" si="4"/>
        <v>45903</v>
      </c>
      <c r="JT10" s="100">
        <f t="shared" si="4"/>
        <v>45904</v>
      </c>
      <c r="JU10" s="100">
        <f t="shared" si="4"/>
        <v>45905</v>
      </c>
      <c r="JV10" s="100">
        <f t="shared" si="4"/>
        <v>45906</v>
      </c>
      <c r="JW10" s="100">
        <f t="shared" si="4"/>
        <v>45907</v>
      </c>
      <c r="JX10" s="100">
        <f t="shared" si="4"/>
        <v>45908</v>
      </c>
      <c r="JY10" s="100">
        <f t="shared" si="4"/>
        <v>45909</v>
      </c>
      <c r="JZ10" s="100">
        <f t="shared" si="4"/>
        <v>45910</v>
      </c>
      <c r="KA10" s="100">
        <f t="shared" si="4"/>
        <v>45911</v>
      </c>
      <c r="KB10" s="100">
        <f t="shared" si="4"/>
        <v>45912</v>
      </c>
      <c r="KC10" s="100">
        <f t="shared" si="4"/>
        <v>45913</v>
      </c>
      <c r="KD10" s="100">
        <f t="shared" si="4"/>
        <v>45914</v>
      </c>
      <c r="KE10" s="100">
        <f t="shared" si="4"/>
        <v>45915</v>
      </c>
      <c r="KF10" s="100">
        <f t="shared" si="4"/>
        <v>45916</v>
      </c>
      <c r="KG10" s="100">
        <f t="shared" si="4"/>
        <v>45917</v>
      </c>
      <c r="KH10" s="100">
        <f t="shared" si="4"/>
        <v>45918</v>
      </c>
      <c r="KI10" s="100">
        <f t="shared" si="4"/>
        <v>45919</v>
      </c>
      <c r="KJ10" s="100">
        <f t="shared" si="4"/>
        <v>45920</v>
      </c>
      <c r="KK10" s="100">
        <f t="shared" si="4"/>
        <v>45921</v>
      </c>
      <c r="KL10" s="100">
        <f t="shared" si="4"/>
        <v>45922</v>
      </c>
      <c r="KM10" s="100">
        <f t="shared" si="4"/>
        <v>45923</v>
      </c>
      <c r="KN10" s="100">
        <f t="shared" si="4"/>
        <v>45924</v>
      </c>
      <c r="KO10" s="100">
        <f t="shared" si="4"/>
        <v>45925</v>
      </c>
      <c r="KP10" s="100">
        <f t="shared" si="4"/>
        <v>45926</v>
      </c>
      <c r="KQ10" s="100">
        <f t="shared" si="4"/>
        <v>45927</v>
      </c>
      <c r="KR10" s="100">
        <f t="shared" si="4"/>
        <v>45928</v>
      </c>
      <c r="KS10" s="100">
        <f t="shared" si="4"/>
        <v>45929</v>
      </c>
      <c r="KT10" s="100">
        <f t="shared" si="4"/>
        <v>45930</v>
      </c>
      <c r="KU10" s="99">
        <f t="shared" si="4"/>
        <v>45931</v>
      </c>
      <c r="KV10" s="99">
        <f t="shared" si="4"/>
        <v>45932</v>
      </c>
      <c r="KW10" s="99">
        <f t="shared" si="4"/>
        <v>45933</v>
      </c>
      <c r="KX10" s="99">
        <f t="shared" si="4"/>
        <v>45934</v>
      </c>
      <c r="KY10" s="99">
        <f t="shared" si="4"/>
        <v>45935</v>
      </c>
      <c r="KZ10" s="99">
        <f t="shared" si="4"/>
        <v>45936</v>
      </c>
      <c r="LA10" s="99">
        <f t="shared" si="4"/>
        <v>45937</v>
      </c>
      <c r="LB10" s="99">
        <f t="shared" si="4"/>
        <v>45938</v>
      </c>
      <c r="LC10" s="99">
        <f t="shared" si="4"/>
        <v>45939</v>
      </c>
      <c r="LD10" s="99">
        <f t="shared" si="4"/>
        <v>45940</v>
      </c>
      <c r="LE10" s="99">
        <f t="shared" si="4"/>
        <v>45941</v>
      </c>
      <c r="LF10" s="99">
        <f t="shared" si="4"/>
        <v>45942</v>
      </c>
      <c r="LG10" s="99">
        <f t="shared" si="4"/>
        <v>45943</v>
      </c>
      <c r="LH10" s="99">
        <f t="shared" si="4"/>
        <v>45944</v>
      </c>
      <c r="LI10" s="99">
        <f t="shared" si="4"/>
        <v>45945</v>
      </c>
      <c r="LJ10" s="99">
        <f t="shared" si="4"/>
        <v>45946</v>
      </c>
      <c r="LK10" s="99">
        <f t="shared" si="4"/>
        <v>45947</v>
      </c>
      <c r="LL10" s="99">
        <f t="shared" ref="LL10:NW10" si="5">LL9</f>
        <v>45948</v>
      </c>
      <c r="LM10" s="99">
        <f t="shared" si="5"/>
        <v>45949</v>
      </c>
      <c r="LN10" s="99">
        <f t="shared" si="5"/>
        <v>45950</v>
      </c>
      <c r="LO10" s="99">
        <f t="shared" si="5"/>
        <v>45951</v>
      </c>
      <c r="LP10" s="99">
        <f t="shared" si="5"/>
        <v>45952</v>
      </c>
      <c r="LQ10" s="99">
        <f t="shared" si="5"/>
        <v>45953</v>
      </c>
      <c r="LR10" s="99">
        <f t="shared" si="5"/>
        <v>45954</v>
      </c>
      <c r="LS10" s="99">
        <f t="shared" si="5"/>
        <v>45955</v>
      </c>
      <c r="LT10" s="99">
        <f t="shared" si="5"/>
        <v>45956</v>
      </c>
      <c r="LU10" s="99">
        <f t="shared" si="5"/>
        <v>45957</v>
      </c>
      <c r="LV10" s="99">
        <f t="shared" si="5"/>
        <v>45958</v>
      </c>
      <c r="LW10" s="99">
        <f t="shared" si="5"/>
        <v>45959</v>
      </c>
      <c r="LX10" s="99">
        <f t="shared" si="5"/>
        <v>45960</v>
      </c>
      <c r="LY10" s="99">
        <f t="shared" si="5"/>
        <v>45961</v>
      </c>
      <c r="LZ10" s="100">
        <f t="shared" si="5"/>
        <v>45962</v>
      </c>
      <c r="MA10" s="100">
        <f t="shared" si="5"/>
        <v>45963</v>
      </c>
      <c r="MB10" s="100">
        <f t="shared" si="5"/>
        <v>45964</v>
      </c>
      <c r="MC10" s="100">
        <f t="shared" si="5"/>
        <v>45965</v>
      </c>
      <c r="MD10" s="100">
        <f t="shared" si="5"/>
        <v>45966</v>
      </c>
      <c r="ME10" s="100">
        <f t="shared" si="5"/>
        <v>45967</v>
      </c>
      <c r="MF10" s="100">
        <f t="shared" si="5"/>
        <v>45968</v>
      </c>
      <c r="MG10" s="100">
        <f t="shared" si="5"/>
        <v>45969</v>
      </c>
      <c r="MH10" s="100">
        <f t="shared" si="5"/>
        <v>45970</v>
      </c>
      <c r="MI10" s="100">
        <f t="shared" si="5"/>
        <v>45971</v>
      </c>
      <c r="MJ10" s="100">
        <f t="shared" si="5"/>
        <v>45972</v>
      </c>
      <c r="MK10" s="100">
        <f t="shared" si="5"/>
        <v>45973</v>
      </c>
      <c r="ML10" s="100">
        <f t="shared" si="5"/>
        <v>45974</v>
      </c>
      <c r="MM10" s="100">
        <f t="shared" si="5"/>
        <v>45975</v>
      </c>
      <c r="MN10" s="100">
        <f t="shared" si="5"/>
        <v>45976</v>
      </c>
      <c r="MO10" s="100">
        <f t="shared" si="5"/>
        <v>45977</v>
      </c>
      <c r="MP10" s="100">
        <f t="shared" si="5"/>
        <v>45978</v>
      </c>
      <c r="MQ10" s="100">
        <f t="shared" si="5"/>
        <v>45979</v>
      </c>
      <c r="MR10" s="100">
        <f t="shared" si="5"/>
        <v>45980</v>
      </c>
      <c r="MS10" s="100">
        <f t="shared" si="5"/>
        <v>45981</v>
      </c>
      <c r="MT10" s="100">
        <f t="shared" si="5"/>
        <v>45982</v>
      </c>
      <c r="MU10" s="100">
        <f t="shared" si="5"/>
        <v>45983</v>
      </c>
      <c r="MV10" s="100">
        <f t="shared" si="5"/>
        <v>45984</v>
      </c>
      <c r="MW10" s="100">
        <f t="shared" si="5"/>
        <v>45985</v>
      </c>
      <c r="MX10" s="100">
        <f t="shared" si="5"/>
        <v>45986</v>
      </c>
      <c r="MY10" s="100">
        <f t="shared" si="5"/>
        <v>45987</v>
      </c>
      <c r="MZ10" s="100">
        <f t="shared" si="5"/>
        <v>45988</v>
      </c>
      <c r="NA10" s="100">
        <f t="shared" si="5"/>
        <v>45989</v>
      </c>
      <c r="NB10" s="100">
        <f t="shared" si="5"/>
        <v>45990</v>
      </c>
      <c r="NC10" s="100">
        <f t="shared" si="5"/>
        <v>45991</v>
      </c>
      <c r="ND10" s="99">
        <f t="shared" si="5"/>
        <v>45992</v>
      </c>
      <c r="NE10" s="99">
        <f t="shared" si="5"/>
        <v>45993</v>
      </c>
      <c r="NF10" s="99">
        <f t="shared" si="5"/>
        <v>45994</v>
      </c>
      <c r="NG10" s="99">
        <f t="shared" si="5"/>
        <v>45995</v>
      </c>
      <c r="NH10" s="99">
        <f t="shared" si="5"/>
        <v>45996</v>
      </c>
      <c r="NI10" s="99">
        <f t="shared" si="5"/>
        <v>45997</v>
      </c>
      <c r="NJ10" s="99">
        <f t="shared" si="5"/>
        <v>45998</v>
      </c>
      <c r="NK10" s="99">
        <f t="shared" si="5"/>
        <v>45999</v>
      </c>
      <c r="NL10" s="99">
        <f t="shared" si="5"/>
        <v>46000</v>
      </c>
      <c r="NM10" s="99">
        <f t="shared" si="5"/>
        <v>46001</v>
      </c>
      <c r="NN10" s="99">
        <f t="shared" si="5"/>
        <v>46002</v>
      </c>
      <c r="NO10" s="99">
        <f t="shared" si="5"/>
        <v>46003</v>
      </c>
      <c r="NP10" s="99">
        <f t="shared" si="5"/>
        <v>46004</v>
      </c>
      <c r="NQ10" s="99">
        <f t="shared" si="5"/>
        <v>46005</v>
      </c>
      <c r="NR10" s="99">
        <f t="shared" si="5"/>
        <v>46006</v>
      </c>
      <c r="NS10" s="99">
        <f t="shared" si="5"/>
        <v>46007</v>
      </c>
      <c r="NT10" s="99">
        <f t="shared" si="5"/>
        <v>46008</v>
      </c>
      <c r="NU10" s="99">
        <f t="shared" si="5"/>
        <v>46009</v>
      </c>
      <c r="NV10" s="99">
        <f t="shared" si="5"/>
        <v>46010</v>
      </c>
      <c r="NW10" s="99">
        <f t="shared" si="5"/>
        <v>46011</v>
      </c>
      <c r="NX10" s="99">
        <f t="shared" ref="NX10:OH10" si="6">NX9</f>
        <v>46012</v>
      </c>
      <c r="NY10" s="99">
        <f t="shared" si="6"/>
        <v>46013</v>
      </c>
      <c r="NZ10" s="99">
        <f t="shared" si="6"/>
        <v>46014</v>
      </c>
      <c r="OA10" s="99">
        <f t="shared" si="6"/>
        <v>46015</v>
      </c>
      <c r="OB10" s="99">
        <f t="shared" si="6"/>
        <v>46016</v>
      </c>
      <c r="OC10" s="99">
        <f t="shared" si="6"/>
        <v>46017</v>
      </c>
      <c r="OD10" s="99">
        <f t="shared" si="6"/>
        <v>46018</v>
      </c>
      <c r="OE10" s="99">
        <f t="shared" si="6"/>
        <v>46019</v>
      </c>
      <c r="OF10" s="99">
        <f t="shared" si="6"/>
        <v>46020</v>
      </c>
      <c r="OG10" s="99">
        <f t="shared" si="6"/>
        <v>46021</v>
      </c>
      <c r="OH10" s="101">
        <f t="shared" si="6"/>
        <v>46022</v>
      </c>
    </row>
    <row r="11" spans="1:455" customFormat="1" ht="9.75" customHeight="1" x14ac:dyDescent="0.25">
      <c r="A11" s="147" t="s">
        <v>21</v>
      </c>
      <c r="B11" s="35" t="s">
        <v>22</v>
      </c>
      <c r="C11" s="65"/>
      <c r="D11" s="65"/>
      <c r="E11" s="65"/>
      <c r="F11" s="65"/>
      <c r="G11" s="65"/>
      <c r="H11" s="65"/>
      <c r="I11" s="65"/>
      <c r="J11" s="65"/>
      <c r="K11" s="65"/>
      <c r="L11" s="65"/>
      <c r="M11" s="65"/>
      <c r="N11" s="65"/>
      <c r="O11" s="65"/>
      <c r="P11" s="65"/>
      <c r="Q11" s="65"/>
      <c r="R11" s="65"/>
      <c r="S11" s="65"/>
      <c r="T11" s="65"/>
      <c r="U11" s="65"/>
      <c r="V11" s="65"/>
      <c r="W11" s="65"/>
      <c r="X11" s="65"/>
      <c r="Y11" s="65"/>
      <c r="Z11" s="65"/>
      <c r="AA11" s="65"/>
      <c r="AB11" s="65"/>
      <c r="AC11" s="65"/>
      <c r="AD11" s="65"/>
      <c r="AE11" s="65"/>
      <c r="AF11" s="65"/>
      <c r="AG11" s="65"/>
      <c r="AH11" s="87"/>
      <c r="AI11" s="87"/>
      <c r="AJ11" s="87"/>
      <c r="AK11" s="87"/>
      <c r="AL11" s="87"/>
      <c r="AM11" s="87"/>
      <c r="AN11" s="87"/>
      <c r="AO11" s="87"/>
      <c r="AP11" s="87"/>
      <c r="AQ11" s="87"/>
      <c r="AR11" s="87"/>
      <c r="AS11" s="87"/>
      <c r="AT11" s="87"/>
      <c r="AU11" s="87"/>
      <c r="AV11" s="87"/>
      <c r="AW11" s="87"/>
      <c r="AX11" s="87"/>
      <c r="AY11" s="87"/>
      <c r="AZ11" s="87"/>
      <c r="BA11" s="87"/>
      <c r="BB11" s="87"/>
      <c r="BC11" s="87"/>
      <c r="BD11" s="87"/>
      <c r="BE11" s="87"/>
      <c r="BF11" s="87"/>
      <c r="BG11" s="87"/>
      <c r="BH11" s="87"/>
      <c r="BI11" s="87"/>
      <c r="BJ11" s="87"/>
      <c r="BK11" s="87"/>
      <c r="BL11" s="87"/>
      <c r="BM11" s="87"/>
      <c r="BN11" s="87"/>
      <c r="BO11" s="87"/>
      <c r="BP11" s="87"/>
      <c r="BQ11" s="87"/>
      <c r="BR11" s="87"/>
      <c r="BS11" s="87"/>
      <c r="BT11" s="87"/>
      <c r="BU11" s="87"/>
      <c r="BV11" s="87"/>
      <c r="BW11" s="87"/>
      <c r="BX11" s="87"/>
      <c r="BY11" s="87"/>
      <c r="BZ11" s="87"/>
      <c r="CA11" s="87"/>
      <c r="CB11" s="88"/>
      <c r="CC11" s="88"/>
      <c r="CD11" s="88"/>
      <c r="CE11" s="88"/>
      <c r="CF11" s="88"/>
      <c r="CG11" s="88"/>
      <c r="CH11" s="88"/>
      <c r="CI11" s="88"/>
      <c r="CJ11" s="88"/>
      <c r="CK11" s="88"/>
      <c r="CL11" s="88"/>
      <c r="CM11" s="88"/>
      <c r="CN11" s="88"/>
      <c r="CO11" s="88"/>
      <c r="CP11" s="88"/>
      <c r="CQ11" s="88"/>
      <c r="CR11" s="88"/>
      <c r="CS11" s="88"/>
      <c r="CT11" s="88"/>
      <c r="CU11" s="88"/>
      <c r="CV11" s="88"/>
      <c r="CW11" s="88"/>
      <c r="CX11" s="88"/>
      <c r="CY11" s="88"/>
      <c r="CZ11" s="88"/>
      <c r="DA11" s="88"/>
      <c r="DB11" s="88"/>
      <c r="DC11" s="88"/>
      <c r="DD11" s="88"/>
      <c r="DE11" s="88"/>
      <c r="DF11" s="88"/>
      <c r="DG11" s="88"/>
      <c r="DH11" s="88"/>
      <c r="DI11" s="88"/>
      <c r="DJ11" s="88"/>
      <c r="DK11" s="88"/>
      <c r="DL11" s="88"/>
      <c r="DM11" s="88"/>
      <c r="DN11" s="88"/>
      <c r="DO11" s="88"/>
      <c r="DP11" s="88"/>
      <c r="DQ11" s="88"/>
      <c r="DR11" s="88"/>
      <c r="DS11" s="88"/>
      <c r="DT11" s="88"/>
      <c r="DU11" s="88"/>
      <c r="DV11" s="88"/>
      <c r="DW11" s="88"/>
      <c r="DX11" s="88"/>
      <c r="DY11" s="88"/>
      <c r="DZ11" s="88"/>
      <c r="EA11" s="88"/>
      <c r="EB11" s="88"/>
      <c r="EC11" s="88"/>
      <c r="ED11" s="88"/>
      <c r="EE11" s="88"/>
      <c r="EF11" s="88"/>
      <c r="EG11" s="88"/>
      <c r="EH11" s="88"/>
      <c r="EI11" s="88"/>
      <c r="EJ11" s="88"/>
      <c r="EK11" s="88"/>
      <c r="EL11" s="88"/>
      <c r="EM11" s="88"/>
      <c r="EN11" s="88"/>
      <c r="EO11" s="88"/>
      <c r="EP11" s="88"/>
      <c r="EQ11" s="88"/>
      <c r="ER11" s="88"/>
      <c r="ES11" s="88"/>
      <c r="ET11" s="88"/>
      <c r="EU11" s="88"/>
      <c r="EV11" s="88"/>
      <c r="EW11" s="88"/>
      <c r="EX11" s="88"/>
      <c r="EY11" s="88"/>
      <c r="EZ11" s="88"/>
      <c r="FA11" s="88"/>
      <c r="FB11" s="88"/>
      <c r="FC11" s="88"/>
      <c r="FD11" s="88"/>
      <c r="FE11" s="88"/>
      <c r="FF11" s="88"/>
      <c r="FG11" s="88"/>
      <c r="FH11" s="88"/>
      <c r="FI11" s="88"/>
      <c r="FJ11" s="88"/>
      <c r="FK11" s="88"/>
      <c r="FL11" s="88"/>
      <c r="FM11" s="88"/>
      <c r="FN11" s="88"/>
      <c r="FO11" s="88"/>
      <c r="FP11" s="88"/>
      <c r="FQ11" s="88"/>
      <c r="FR11" s="88"/>
      <c r="FS11" s="88"/>
      <c r="FT11" s="88"/>
      <c r="FU11" s="88"/>
      <c r="FV11" s="88"/>
      <c r="FW11" s="88"/>
      <c r="FX11" s="88"/>
      <c r="FY11" s="88"/>
      <c r="FZ11" s="88"/>
      <c r="GA11" s="88"/>
      <c r="GB11" s="88"/>
      <c r="GC11" s="88"/>
      <c r="GD11" s="88"/>
      <c r="GE11" s="88"/>
      <c r="GF11" s="88"/>
      <c r="GG11" s="88"/>
      <c r="GH11" s="88"/>
      <c r="GI11" s="88"/>
      <c r="GJ11" s="88"/>
      <c r="GK11" s="88"/>
      <c r="GL11" s="88"/>
      <c r="GM11" s="88"/>
      <c r="GN11" s="88"/>
      <c r="GO11" s="88"/>
      <c r="GP11" s="88"/>
      <c r="GQ11" s="88"/>
      <c r="GR11" s="88"/>
      <c r="GS11" s="88"/>
      <c r="GT11" s="88"/>
      <c r="GU11" s="88"/>
      <c r="GV11" s="88"/>
      <c r="GW11" s="88"/>
      <c r="GX11" s="88"/>
      <c r="GY11" s="88"/>
      <c r="GZ11" s="88"/>
      <c r="HA11" s="88"/>
      <c r="HB11" s="88"/>
      <c r="HC11" s="88"/>
      <c r="HD11" s="88"/>
      <c r="HE11" s="88"/>
      <c r="HF11" s="88"/>
      <c r="HG11" s="88"/>
      <c r="HH11" s="88"/>
      <c r="HI11" s="88"/>
      <c r="HJ11" s="88"/>
      <c r="HK11" s="88"/>
      <c r="HL11" s="88"/>
      <c r="HM11" s="88"/>
      <c r="HN11" s="88"/>
      <c r="HO11" s="88"/>
      <c r="HP11" s="88"/>
      <c r="HQ11" s="88"/>
      <c r="HR11" s="88"/>
      <c r="HS11" s="88"/>
      <c r="HT11" s="88"/>
      <c r="HU11" s="88"/>
      <c r="HV11" s="88"/>
      <c r="HW11" s="88"/>
      <c r="HX11" s="88"/>
      <c r="HY11" s="88"/>
      <c r="HZ11" s="88"/>
      <c r="IA11" s="88"/>
      <c r="IB11" s="88"/>
      <c r="IC11" s="88"/>
      <c r="ID11" s="88"/>
      <c r="IE11" s="88"/>
      <c r="IF11" s="88"/>
      <c r="IG11" s="88"/>
      <c r="IH11" s="88"/>
      <c r="II11" s="88"/>
      <c r="IJ11" s="88"/>
      <c r="IK11" s="88"/>
      <c r="IL11" s="88"/>
      <c r="IM11" s="88"/>
      <c r="IN11" s="88"/>
      <c r="IO11" s="88"/>
      <c r="IP11" s="88"/>
      <c r="IQ11" s="88"/>
      <c r="IR11" s="88"/>
      <c r="IS11" s="88"/>
      <c r="IT11" s="88"/>
      <c r="IU11" s="88"/>
      <c r="IV11" s="88"/>
      <c r="IW11" s="88"/>
      <c r="IX11" s="88"/>
      <c r="IY11" s="88"/>
      <c r="IZ11" s="88"/>
      <c r="JA11" s="88"/>
      <c r="JB11" s="88"/>
      <c r="JC11" s="88"/>
      <c r="JD11" s="88"/>
      <c r="JE11" s="88"/>
      <c r="JF11" s="88"/>
      <c r="JG11" s="88"/>
      <c r="JH11" s="88"/>
      <c r="JI11" s="88"/>
      <c r="JJ11" s="88"/>
      <c r="JK11" s="88"/>
      <c r="JL11" s="88"/>
      <c r="JM11" s="88"/>
      <c r="JN11" s="88"/>
      <c r="JO11" s="88"/>
      <c r="JP11" s="88"/>
      <c r="JQ11" s="88"/>
      <c r="JR11" s="88"/>
      <c r="JS11" s="88"/>
      <c r="JT11" s="88"/>
      <c r="JU11" s="88"/>
      <c r="JV11" s="88"/>
      <c r="JW11" s="88"/>
      <c r="JX11" s="88"/>
      <c r="JY11" s="88"/>
      <c r="JZ11" s="88"/>
      <c r="KA11" s="88"/>
      <c r="KB11" s="88"/>
      <c r="KC11" s="88"/>
      <c r="KD11" s="88"/>
      <c r="KE11" s="88"/>
      <c r="KF11" s="88"/>
      <c r="KG11" s="88"/>
      <c r="KH11" s="88"/>
      <c r="KI11" s="88"/>
      <c r="KJ11" s="88"/>
      <c r="KK11" s="88"/>
      <c r="KL11" s="88"/>
      <c r="KM11" s="88"/>
      <c r="KN11" s="88"/>
      <c r="KO11" s="88"/>
      <c r="KP11" s="88"/>
      <c r="KQ11" s="88"/>
      <c r="KR11" s="88"/>
      <c r="KS11" s="88"/>
      <c r="KT11" s="88"/>
      <c r="KU11" s="88"/>
      <c r="KV11" s="88"/>
      <c r="KW11" s="88"/>
      <c r="KX11" s="88"/>
      <c r="KY11" s="88"/>
      <c r="KZ11" s="88"/>
      <c r="LA11" s="88"/>
      <c r="LB11" s="88"/>
      <c r="LC11" s="88"/>
      <c r="LD11" s="88"/>
      <c r="LE11" s="88"/>
      <c r="LF11" s="88"/>
      <c r="LG11" s="88"/>
      <c r="LH11" s="88"/>
      <c r="LI11" s="88"/>
      <c r="LJ11" s="88"/>
      <c r="LK11" s="88"/>
      <c r="LL11" s="88"/>
      <c r="LM11" s="88"/>
      <c r="LN11" s="88"/>
      <c r="LO11" s="88"/>
      <c r="LP11" s="88"/>
      <c r="LQ11" s="88"/>
      <c r="LR11" s="88"/>
      <c r="LS11" s="88"/>
      <c r="LT11" s="88"/>
      <c r="LU11" s="88"/>
      <c r="LV11" s="88"/>
      <c r="LW11" s="88"/>
      <c r="LX11" s="88"/>
      <c r="LY11" s="88"/>
      <c r="LZ11" s="88"/>
      <c r="MA11" s="88"/>
      <c r="MB11" s="88"/>
      <c r="MC11" s="88"/>
      <c r="MD11" s="88"/>
      <c r="ME11" s="88"/>
      <c r="MF11" s="88"/>
      <c r="MG11" s="88"/>
      <c r="MH11" s="88"/>
      <c r="MI11" s="88"/>
      <c r="MJ11" s="88"/>
      <c r="MK11" s="88"/>
      <c r="ML11" s="88"/>
      <c r="MM11" s="88"/>
      <c r="MN11" s="88"/>
      <c r="MO11" s="88"/>
      <c r="MP11" s="88"/>
      <c r="MQ11" s="88"/>
      <c r="MR11" s="88"/>
      <c r="MS11" s="88"/>
      <c r="MT11" s="88"/>
      <c r="MU11" s="88"/>
      <c r="MV11" s="88"/>
      <c r="MW11" s="88"/>
      <c r="MX11" s="88"/>
      <c r="MY11" s="88"/>
      <c r="MZ11" s="88"/>
      <c r="NA11" s="88"/>
      <c r="NB11" s="88"/>
      <c r="NC11" s="88"/>
      <c r="ND11" s="88"/>
      <c r="NE11" s="88"/>
      <c r="NF11" s="88"/>
      <c r="NG11" s="88"/>
      <c r="NH11" s="88"/>
      <c r="NI11" s="88"/>
      <c r="NJ11" s="88"/>
      <c r="NK11" s="88"/>
      <c r="NL11" s="88"/>
      <c r="NM11" s="88"/>
      <c r="NN11" s="88"/>
      <c r="NO11" s="88"/>
      <c r="NP11" s="88"/>
      <c r="NQ11" s="88"/>
      <c r="NR11" s="88"/>
      <c r="NS11" s="88"/>
      <c r="NT11" s="88"/>
      <c r="NU11" s="88"/>
      <c r="NV11" s="88"/>
      <c r="NW11" s="88"/>
      <c r="NX11" s="88"/>
      <c r="NY11" s="88"/>
      <c r="NZ11" s="88"/>
      <c r="OA11" s="88"/>
      <c r="OB11" s="88"/>
      <c r="OC11" s="88"/>
      <c r="OD11" s="88"/>
      <c r="OE11" s="88"/>
      <c r="OF11" s="88"/>
      <c r="OG11" s="88"/>
      <c r="OH11" s="88"/>
    </row>
    <row r="12" spans="1:455" customFormat="1" ht="9.75" customHeight="1" x14ac:dyDescent="0.25">
      <c r="A12" s="148"/>
      <c r="B12" s="34" t="s">
        <v>23</v>
      </c>
      <c r="C12" s="65"/>
      <c r="D12" s="65"/>
      <c r="E12" s="65"/>
      <c r="F12" s="65"/>
      <c r="G12" s="65"/>
      <c r="H12" s="65"/>
      <c r="I12" s="65"/>
      <c r="J12" s="65"/>
      <c r="K12" s="65"/>
      <c r="L12" s="65"/>
      <c r="M12" s="65"/>
      <c r="N12" s="65"/>
      <c r="O12" s="65"/>
      <c r="P12" s="65"/>
      <c r="Q12" s="65"/>
      <c r="R12" s="65"/>
      <c r="S12" s="65"/>
      <c r="T12" s="65"/>
      <c r="U12" s="65"/>
      <c r="V12" s="65"/>
      <c r="W12" s="65"/>
      <c r="X12" s="65"/>
      <c r="Y12" s="65"/>
      <c r="Z12" s="65"/>
      <c r="AA12" s="65"/>
      <c r="AB12" s="65"/>
      <c r="AC12" s="65"/>
      <c r="AD12" s="65"/>
      <c r="AE12" s="65"/>
      <c r="AF12" s="65"/>
      <c r="AG12" s="65"/>
      <c r="AH12" s="87"/>
      <c r="AI12" s="87"/>
      <c r="AJ12" s="87"/>
      <c r="AK12" s="87"/>
      <c r="AL12" s="87"/>
      <c r="AM12" s="87"/>
      <c r="AN12" s="87"/>
      <c r="AO12" s="87"/>
      <c r="AP12" s="87"/>
      <c r="AQ12" s="87"/>
      <c r="AR12" s="87"/>
      <c r="AS12" s="87"/>
      <c r="AT12" s="87"/>
      <c r="AU12" s="87"/>
      <c r="AV12" s="87"/>
      <c r="AW12" s="87"/>
      <c r="AX12" s="87"/>
      <c r="AY12" s="87"/>
      <c r="AZ12" s="87"/>
      <c r="BA12" s="87"/>
      <c r="BB12" s="87"/>
      <c r="BC12" s="87"/>
      <c r="BD12" s="87"/>
      <c r="BE12" s="87"/>
      <c r="BF12" s="87"/>
      <c r="BG12" s="87"/>
      <c r="BH12" s="87"/>
      <c r="BI12" s="87"/>
      <c r="BJ12" s="87"/>
      <c r="BK12" s="87"/>
      <c r="BL12" s="87"/>
      <c r="BM12" s="87"/>
      <c r="BN12" s="87"/>
      <c r="BO12" s="87"/>
      <c r="BP12" s="87"/>
      <c r="BQ12" s="87"/>
      <c r="BR12" s="87"/>
      <c r="BS12" s="87"/>
      <c r="BT12" s="87"/>
      <c r="BU12" s="87"/>
      <c r="BV12" s="87"/>
      <c r="BW12" s="87"/>
      <c r="BX12" s="87"/>
      <c r="BY12" s="87"/>
      <c r="BZ12" s="87"/>
      <c r="CA12" s="87"/>
      <c r="CB12" s="88"/>
      <c r="CC12" s="88"/>
      <c r="CD12" s="88"/>
      <c r="CE12" s="88"/>
      <c r="CF12" s="88"/>
      <c r="CG12" s="88"/>
      <c r="CH12" s="88"/>
      <c r="CI12" s="88"/>
      <c r="CJ12" s="88"/>
      <c r="CK12" s="88"/>
      <c r="CL12" s="88"/>
      <c r="CM12" s="88"/>
      <c r="CN12" s="88"/>
      <c r="CO12" s="88"/>
      <c r="CP12" s="88"/>
      <c r="CQ12" s="88"/>
      <c r="CR12" s="88"/>
      <c r="CS12" s="88"/>
      <c r="CT12" s="88"/>
      <c r="CU12" s="88"/>
      <c r="CV12" s="88"/>
      <c r="CW12" s="88"/>
      <c r="CX12" s="88"/>
      <c r="CY12" s="88"/>
      <c r="CZ12" s="88"/>
      <c r="DA12" s="88"/>
      <c r="DB12" s="88"/>
      <c r="DC12" s="88"/>
      <c r="DD12" s="88"/>
      <c r="DE12" s="88"/>
      <c r="DF12" s="88"/>
      <c r="DG12" s="88"/>
      <c r="DH12" s="88"/>
      <c r="DI12" s="88"/>
      <c r="DJ12" s="88"/>
      <c r="DK12" s="88"/>
      <c r="DL12" s="88"/>
      <c r="DM12" s="88"/>
      <c r="DN12" s="88"/>
      <c r="DO12" s="88"/>
      <c r="DP12" s="88"/>
      <c r="DQ12" s="88"/>
      <c r="DR12" s="88"/>
      <c r="DS12" s="88"/>
      <c r="DT12" s="88"/>
      <c r="DU12" s="88"/>
      <c r="DV12" s="88"/>
      <c r="DW12" s="88"/>
      <c r="DX12" s="88"/>
      <c r="DY12" s="88"/>
      <c r="DZ12" s="88"/>
      <c r="EA12" s="88"/>
      <c r="EB12" s="88"/>
      <c r="EC12" s="88"/>
      <c r="ED12" s="88"/>
      <c r="EE12" s="88"/>
      <c r="EF12" s="88"/>
      <c r="EG12" s="88"/>
      <c r="EH12" s="88"/>
      <c r="EI12" s="88"/>
      <c r="EJ12" s="88"/>
      <c r="EK12" s="88"/>
      <c r="EL12" s="88"/>
      <c r="EM12" s="88"/>
      <c r="EN12" s="88"/>
      <c r="EO12" s="88"/>
      <c r="EP12" s="88"/>
      <c r="EQ12" s="88"/>
      <c r="ER12" s="88"/>
      <c r="ES12" s="88"/>
      <c r="ET12" s="88"/>
      <c r="EU12" s="88"/>
      <c r="EV12" s="88"/>
      <c r="EW12" s="88"/>
      <c r="EX12" s="88"/>
      <c r="EY12" s="88"/>
      <c r="EZ12" s="88"/>
      <c r="FA12" s="88"/>
      <c r="FB12" s="88"/>
      <c r="FC12" s="88"/>
      <c r="FD12" s="88"/>
      <c r="FE12" s="88"/>
      <c r="FF12" s="88"/>
      <c r="FG12" s="88"/>
      <c r="FH12" s="88"/>
      <c r="FI12" s="88"/>
      <c r="FJ12" s="88"/>
      <c r="FK12" s="88"/>
      <c r="FL12" s="88"/>
      <c r="FM12" s="88"/>
      <c r="FN12" s="88"/>
      <c r="FO12" s="88"/>
      <c r="FP12" s="88"/>
      <c r="FQ12" s="88"/>
      <c r="FR12" s="88"/>
      <c r="FS12" s="88"/>
      <c r="FT12" s="88"/>
      <c r="FU12" s="88"/>
      <c r="FV12" s="88"/>
      <c r="FW12" s="88"/>
      <c r="FX12" s="88"/>
      <c r="FY12" s="88"/>
      <c r="FZ12" s="88"/>
      <c r="GA12" s="88"/>
      <c r="GB12" s="88"/>
      <c r="GC12" s="88"/>
      <c r="GD12" s="88"/>
      <c r="GE12" s="88"/>
      <c r="GF12" s="88"/>
      <c r="GG12" s="88"/>
      <c r="GH12" s="88"/>
      <c r="GI12" s="88"/>
      <c r="GJ12" s="88"/>
      <c r="GK12" s="88"/>
      <c r="GL12" s="88"/>
      <c r="GM12" s="88"/>
      <c r="GN12" s="88"/>
      <c r="GO12" s="88"/>
      <c r="GP12" s="88"/>
      <c r="GQ12" s="88"/>
      <c r="GR12" s="88"/>
      <c r="GS12" s="88"/>
      <c r="GT12" s="88"/>
      <c r="GU12" s="88"/>
      <c r="GV12" s="88"/>
      <c r="GW12" s="88"/>
      <c r="GX12" s="88"/>
      <c r="GY12" s="88"/>
      <c r="GZ12" s="88"/>
      <c r="HA12" s="88"/>
      <c r="HB12" s="88"/>
      <c r="HC12" s="88"/>
      <c r="HD12" s="88"/>
      <c r="HE12" s="88"/>
      <c r="HF12" s="88"/>
      <c r="HG12" s="88"/>
      <c r="HH12" s="88"/>
      <c r="HI12" s="88"/>
      <c r="HJ12" s="88"/>
      <c r="HK12" s="88"/>
      <c r="HL12" s="88"/>
      <c r="HM12" s="88"/>
      <c r="HN12" s="88"/>
      <c r="HO12" s="88"/>
      <c r="HP12" s="88"/>
      <c r="HQ12" s="88"/>
      <c r="HR12" s="88"/>
      <c r="HS12" s="88"/>
      <c r="HT12" s="88"/>
      <c r="HU12" s="88"/>
      <c r="HV12" s="88"/>
      <c r="HW12" s="88"/>
      <c r="HX12" s="88"/>
      <c r="HY12" s="88"/>
      <c r="HZ12" s="88"/>
      <c r="IA12" s="88"/>
      <c r="IB12" s="88"/>
      <c r="IC12" s="88"/>
      <c r="ID12" s="88"/>
      <c r="IE12" s="88"/>
      <c r="IF12" s="88"/>
      <c r="IG12" s="88"/>
      <c r="IH12" s="88"/>
      <c r="II12" s="88"/>
      <c r="IJ12" s="88"/>
      <c r="IK12" s="88"/>
      <c r="IL12" s="88"/>
      <c r="IM12" s="88"/>
      <c r="IN12" s="88"/>
      <c r="IO12" s="88"/>
      <c r="IP12" s="88"/>
      <c r="IQ12" s="88"/>
      <c r="IR12" s="88"/>
      <c r="IS12" s="88"/>
      <c r="IT12" s="88"/>
      <c r="IU12" s="88"/>
      <c r="IV12" s="88"/>
      <c r="IW12" s="88"/>
      <c r="IX12" s="88"/>
      <c r="IY12" s="88"/>
      <c r="IZ12" s="88"/>
      <c r="JA12" s="88"/>
      <c r="JB12" s="88"/>
      <c r="JC12" s="88"/>
      <c r="JD12" s="88"/>
      <c r="JE12" s="88"/>
      <c r="JF12" s="88"/>
      <c r="JG12" s="88"/>
      <c r="JH12" s="88"/>
      <c r="JI12" s="88"/>
      <c r="JJ12" s="88"/>
      <c r="JK12" s="88"/>
      <c r="JL12" s="88"/>
      <c r="JM12" s="88"/>
      <c r="JN12" s="88"/>
      <c r="JO12" s="88"/>
      <c r="JP12" s="88"/>
      <c r="JQ12" s="88"/>
      <c r="JR12" s="88"/>
      <c r="JS12" s="88"/>
      <c r="JT12" s="88"/>
      <c r="JU12" s="88"/>
      <c r="JV12" s="88"/>
      <c r="JW12" s="88"/>
      <c r="JX12" s="88"/>
      <c r="JY12" s="88"/>
      <c r="JZ12" s="88"/>
      <c r="KA12" s="88"/>
      <c r="KB12" s="88"/>
      <c r="KC12" s="88"/>
      <c r="KD12" s="88"/>
      <c r="KE12" s="88"/>
      <c r="KF12" s="88"/>
      <c r="KG12" s="88"/>
      <c r="KH12" s="88"/>
      <c r="KI12" s="88"/>
      <c r="KJ12" s="88"/>
      <c r="KK12" s="88"/>
      <c r="KL12" s="88"/>
      <c r="KM12" s="88"/>
      <c r="KN12" s="88"/>
      <c r="KO12" s="88"/>
      <c r="KP12" s="88"/>
      <c r="KQ12" s="88"/>
      <c r="KR12" s="88"/>
      <c r="KS12" s="88"/>
      <c r="KT12" s="88"/>
      <c r="KU12" s="88"/>
      <c r="KV12" s="88"/>
      <c r="KW12" s="88"/>
      <c r="KX12" s="88"/>
      <c r="KY12" s="88"/>
      <c r="KZ12" s="88"/>
      <c r="LA12" s="88"/>
      <c r="LB12" s="88"/>
      <c r="LC12" s="88"/>
      <c r="LD12" s="88"/>
      <c r="LE12" s="88"/>
      <c r="LF12" s="88"/>
      <c r="LG12" s="88"/>
      <c r="LH12" s="88"/>
      <c r="LI12" s="88"/>
      <c r="LJ12" s="88"/>
      <c r="LK12" s="88"/>
      <c r="LL12" s="88"/>
      <c r="LM12" s="88"/>
      <c r="LN12" s="88"/>
      <c r="LO12" s="88"/>
      <c r="LP12" s="88"/>
      <c r="LQ12" s="88"/>
      <c r="LR12" s="88"/>
      <c r="LS12" s="88"/>
      <c r="LT12" s="88"/>
      <c r="LU12" s="88"/>
      <c r="LV12" s="88"/>
      <c r="LW12" s="88"/>
      <c r="LX12" s="88"/>
      <c r="LY12" s="88"/>
      <c r="LZ12" s="88"/>
      <c r="MA12" s="88"/>
      <c r="MB12" s="88"/>
      <c r="MC12" s="88"/>
      <c r="MD12" s="88"/>
      <c r="ME12" s="88"/>
      <c r="MF12" s="88"/>
      <c r="MG12" s="88"/>
      <c r="MH12" s="88"/>
      <c r="MI12" s="88"/>
      <c r="MJ12" s="88"/>
      <c r="MK12" s="88"/>
      <c r="ML12" s="88"/>
      <c r="MM12" s="88"/>
      <c r="MN12" s="88"/>
      <c r="MO12" s="88"/>
      <c r="MP12" s="88"/>
      <c r="MQ12" s="88"/>
      <c r="MR12" s="88"/>
      <c r="MS12" s="88"/>
      <c r="MT12" s="88"/>
      <c r="MU12" s="88"/>
      <c r="MV12" s="88"/>
      <c r="MW12" s="88"/>
      <c r="MX12" s="88"/>
      <c r="MY12" s="88"/>
      <c r="MZ12" s="88"/>
      <c r="NA12" s="88"/>
      <c r="NB12" s="88"/>
      <c r="NC12" s="88"/>
      <c r="ND12" s="88"/>
      <c r="NE12" s="88"/>
      <c r="NF12" s="88"/>
      <c r="NG12" s="88"/>
      <c r="NH12" s="88"/>
      <c r="NI12" s="88"/>
      <c r="NJ12" s="88"/>
      <c r="NK12" s="88"/>
      <c r="NL12" s="88"/>
      <c r="NM12" s="88"/>
      <c r="NN12" s="88"/>
      <c r="NO12" s="88"/>
      <c r="NP12" s="88"/>
      <c r="NQ12" s="88"/>
      <c r="NR12" s="88"/>
      <c r="NS12" s="88"/>
      <c r="NT12" s="88"/>
      <c r="NU12" s="88"/>
      <c r="NV12" s="88"/>
      <c r="NW12" s="88"/>
      <c r="NX12" s="88"/>
      <c r="NY12" s="88"/>
      <c r="NZ12" s="88"/>
      <c r="OA12" s="88"/>
      <c r="OB12" s="88"/>
      <c r="OC12" s="88"/>
      <c r="OD12" s="88"/>
      <c r="OE12" s="88"/>
      <c r="OF12" s="88"/>
      <c r="OG12" s="88"/>
      <c r="OH12" s="88"/>
      <c r="OI12" s="89"/>
      <c r="OJ12" s="64"/>
      <c r="OK12" s="64"/>
      <c r="OL12" s="64"/>
      <c r="OM12" s="64"/>
      <c r="ON12" s="64"/>
      <c r="OO12" s="64"/>
      <c r="OP12" s="64"/>
      <c r="OQ12" s="64"/>
      <c r="OR12" s="64"/>
      <c r="OS12" s="64"/>
      <c r="OT12" s="64"/>
      <c r="OU12" s="64"/>
      <c r="OV12" s="64"/>
      <c r="OW12" s="64"/>
      <c r="OX12" s="64"/>
      <c r="OY12" s="64"/>
      <c r="OZ12" s="64"/>
      <c r="PA12" s="64"/>
      <c r="PB12" s="64"/>
      <c r="PC12" s="64"/>
      <c r="PD12" s="64"/>
      <c r="PE12" s="64"/>
      <c r="PF12" s="64"/>
      <c r="PG12" s="64"/>
      <c r="PH12" s="64"/>
      <c r="PI12" s="64"/>
      <c r="PJ12" s="64"/>
      <c r="PK12" s="64"/>
      <c r="PL12" s="64"/>
      <c r="PM12" s="64"/>
      <c r="PN12" s="64"/>
      <c r="PO12" s="64"/>
      <c r="PP12" s="64"/>
      <c r="PQ12" s="64"/>
      <c r="PR12" s="64"/>
      <c r="PS12" s="64"/>
      <c r="PT12" s="64"/>
    </row>
    <row r="13" spans="1:455" customFormat="1" ht="9.75" customHeight="1" x14ac:dyDescent="0.25">
      <c r="A13" s="149"/>
      <c r="B13" s="36" t="s">
        <v>24</v>
      </c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5"/>
      <c r="S13" s="65"/>
      <c r="T13" s="65"/>
      <c r="U13" s="65"/>
      <c r="V13" s="65"/>
      <c r="W13" s="65"/>
      <c r="X13" s="65"/>
      <c r="Y13" s="65"/>
      <c r="Z13" s="65"/>
      <c r="AA13" s="65"/>
      <c r="AB13" s="65"/>
      <c r="AC13" s="65"/>
      <c r="AD13" s="65"/>
      <c r="AE13" s="65"/>
      <c r="AF13" s="65"/>
      <c r="AG13" s="65"/>
      <c r="AH13" s="87"/>
      <c r="AI13" s="87"/>
      <c r="AJ13" s="87"/>
      <c r="AK13" s="87"/>
      <c r="AL13" s="87"/>
      <c r="AM13" s="87"/>
      <c r="AN13" s="87"/>
      <c r="AO13" s="87"/>
      <c r="AP13" s="87"/>
      <c r="AQ13" s="87"/>
      <c r="AR13" s="87"/>
      <c r="AS13" s="87"/>
      <c r="AT13" s="87"/>
      <c r="AU13" s="87"/>
      <c r="AV13" s="87"/>
      <c r="AW13" s="87"/>
      <c r="AX13" s="87"/>
      <c r="AY13" s="87"/>
      <c r="AZ13" s="87"/>
      <c r="BA13" s="87"/>
      <c r="BB13" s="87"/>
      <c r="BC13" s="87"/>
      <c r="BD13" s="87"/>
      <c r="BE13" s="87"/>
      <c r="BF13" s="87"/>
      <c r="BG13" s="87"/>
      <c r="BH13" s="87"/>
      <c r="BI13" s="87"/>
      <c r="BJ13" s="87"/>
      <c r="BK13" s="87"/>
      <c r="BL13" s="87"/>
      <c r="BM13" s="87"/>
      <c r="BN13" s="87"/>
      <c r="BO13" s="87"/>
      <c r="BP13" s="87"/>
      <c r="BQ13" s="87"/>
      <c r="BR13" s="87"/>
      <c r="BS13" s="87"/>
      <c r="BT13" s="87"/>
      <c r="BU13" s="87"/>
      <c r="BV13" s="87"/>
      <c r="BW13" s="87"/>
      <c r="BX13" s="87"/>
      <c r="BY13" s="87"/>
      <c r="BZ13" s="87"/>
      <c r="CA13" s="87"/>
      <c r="CB13" s="88"/>
      <c r="CC13" s="88"/>
      <c r="CD13" s="88"/>
      <c r="CE13" s="88"/>
      <c r="CF13" s="88"/>
      <c r="CG13" s="88"/>
      <c r="CH13" s="88"/>
      <c r="CI13" s="88"/>
      <c r="CJ13" s="88"/>
      <c r="CK13" s="88"/>
      <c r="CL13" s="88"/>
      <c r="CM13" s="88"/>
      <c r="CN13" s="88"/>
      <c r="CO13" s="88"/>
      <c r="CP13" s="88"/>
      <c r="CQ13" s="88"/>
      <c r="CR13" s="88"/>
      <c r="CS13" s="88"/>
      <c r="CT13" s="88"/>
      <c r="CU13" s="88"/>
      <c r="CV13" s="88"/>
      <c r="CW13" s="88"/>
      <c r="CX13" s="88"/>
      <c r="CY13" s="88"/>
      <c r="CZ13" s="88"/>
      <c r="DA13" s="88"/>
      <c r="DB13" s="88"/>
      <c r="DC13" s="88"/>
      <c r="DD13" s="88"/>
      <c r="DE13" s="88"/>
      <c r="DF13" s="88"/>
      <c r="DG13" s="88"/>
      <c r="DH13" s="88"/>
      <c r="DI13" s="88"/>
      <c r="DJ13" s="88"/>
      <c r="DK13" s="88"/>
      <c r="DL13" s="88"/>
      <c r="DM13" s="88"/>
      <c r="DN13" s="88"/>
      <c r="DO13" s="88"/>
      <c r="DP13" s="88"/>
      <c r="DQ13" s="88"/>
      <c r="DR13" s="88"/>
      <c r="DS13" s="88"/>
      <c r="DT13" s="88"/>
      <c r="DU13" s="88"/>
      <c r="DV13" s="88"/>
      <c r="DW13" s="88"/>
      <c r="DX13" s="88"/>
      <c r="DY13" s="88"/>
      <c r="DZ13" s="88"/>
      <c r="EA13" s="88"/>
      <c r="EB13" s="88"/>
      <c r="EC13" s="88"/>
      <c r="ED13" s="88"/>
      <c r="EE13" s="88"/>
      <c r="EF13" s="88"/>
      <c r="EG13" s="88"/>
      <c r="EH13" s="88"/>
      <c r="EI13" s="88"/>
      <c r="EJ13" s="88"/>
      <c r="EK13" s="88"/>
      <c r="EL13" s="88"/>
      <c r="EM13" s="88"/>
      <c r="EN13" s="88"/>
      <c r="EO13" s="88"/>
      <c r="EP13" s="88"/>
      <c r="EQ13" s="88"/>
      <c r="ER13" s="88"/>
      <c r="ES13" s="88"/>
      <c r="ET13" s="88"/>
      <c r="EU13" s="88"/>
      <c r="EV13" s="88"/>
      <c r="EW13" s="88"/>
      <c r="EX13" s="88"/>
      <c r="EY13" s="88"/>
      <c r="EZ13" s="88"/>
      <c r="FA13" s="88"/>
      <c r="FB13" s="88"/>
      <c r="FC13" s="88"/>
      <c r="FD13" s="88"/>
      <c r="FE13" s="88"/>
      <c r="FF13" s="88"/>
      <c r="FG13" s="88"/>
      <c r="FH13" s="88"/>
      <c r="FI13" s="88"/>
      <c r="FJ13" s="88"/>
      <c r="FK13" s="88"/>
      <c r="FL13" s="88"/>
      <c r="FM13" s="88"/>
      <c r="FN13" s="88"/>
      <c r="FO13" s="88"/>
      <c r="FP13" s="88"/>
      <c r="FQ13" s="88"/>
      <c r="FR13" s="88"/>
      <c r="FS13" s="88"/>
      <c r="FT13" s="88"/>
      <c r="FU13" s="88"/>
      <c r="FV13" s="88"/>
      <c r="FW13" s="88"/>
      <c r="FX13" s="88"/>
      <c r="FY13" s="88"/>
      <c r="FZ13" s="88"/>
      <c r="GA13" s="88"/>
      <c r="GB13" s="88"/>
      <c r="GC13" s="88"/>
      <c r="GD13" s="88"/>
      <c r="GE13" s="88"/>
      <c r="GF13" s="88"/>
      <c r="GG13" s="88"/>
      <c r="GH13" s="88"/>
      <c r="GI13" s="88"/>
      <c r="GJ13" s="88"/>
      <c r="GK13" s="88"/>
      <c r="GL13" s="88"/>
      <c r="GM13" s="88"/>
      <c r="GN13" s="88"/>
      <c r="GO13" s="88"/>
      <c r="GP13" s="88"/>
      <c r="GQ13" s="88"/>
      <c r="GR13" s="88"/>
      <c r="GS13" s="88"/>
      <c r="GT13" s="88"/>
      <c r="GU13" s="88"/>
      <c r="GV13" s="88"/>
      <c r="GW13" s="88"/>
      <c r="GX13" s="88"/>
      <c r="GY13" s="88"/>
      <c r="GZ13" s="88"/>
      <c r="HA13" s="88"/>
      <c r="HB13" s="88"/>
      <c r="HC13" s="88"/>
      <c r="HD13" s="88"/>
      <c r="HE13" s="88"/>
      <c r="HF13" s="88"/>
      <c r="HG13" s="88"/>
      <c r="HH13" s="88"/>
      <c r="HI13" s="88"/>
      <c r="HJ13" s="88"/>
      <c r="HK13" s="88"/>
      <c r="HL13" s="88"/>
      <c r="HM13" s="88"/>
      <c r="HN13" s="88"/>
      <c r="HO13" s="88"/>
      <c r="HP13" s="88"/>
      <c r="HQ13" s="88"/>
      <c r="HR13" s="88"/>
      <c r="HS13" s="88"/>
      <c r="HT13" s="88"/>
      <c r="HU13" s="88"/>
      <c r="HV13" s="88"/>
      <c r="HW13" s="88"/>
      <c r="HX13" s="88"/>
      <c r="HY13" s="88"/>
      <c r="HZ13" s="88"/>
      <c r="IA13" s="88"/>
      <c r="IB13" s="88"/>
      <c r="IC13" s="88"/>
      <c r="ID13" s="88"/>
      <c r="IE13" s="88"/>
      <c r="IF13" s="88"/>
      <c r="IG13" s="88"/>
      <c r="IH13" s="88"/>
      <c r="II13" s="88"/>
      <c r="IJ13" s="88"/>
      <c r="IK13" s="88"/>
      <c r="IL13" s="88"/>
      <c r="IM13" s="88"/>
      <c r="IN13" s="88"/>
      <c r="IO13" s="88"/>
      <c r="IP13" s="88"/>
      <c r="IQ13" s="88"/>
      <c r="IR13" s="88"/>
      <c r="IS13" s="88"/>
      <c r="IT13" s="88"/>
      <c r="IU13" s="88"/>
      <c r="IV13" s="88"/>
      <c r="IW13" s="88"/>
      <c r="IX13" s="88"/>
      <c r="IY13" s="88"/>
      <c r="IZ13" s="88"/>
      <c r="JA13" s="88"/>
      <c r="JB13" s="88"/>
      <c r="JC13" s="88"/>
      <c r="JD13" s="88"/>
      <c r="JE13" s="88"/>
      <c r="JF13" s="88"/>
      <c r="JG13" s="88"/>
      <c r="JH13" s="88"/>
      <c r="JI13" s="88"/>
      <c r="JJ13" s="88"/>
      <c r="JK13" s="88"/>
      <c r="JL13" s="88"/>
      <c r="JM13" s="88"/>
      <c r="JN13" s="88"/>
      <c r="JO13" s="88"/>
      <c r="JP13" s="88"/>
      <c r="JQ13" s="88"/>
      <c r="JR13" s="88"/>
      <c r="JS13" s="88"/>
      <c r="JT13" s="88"/>
      <c r="JU13" s="88"/>
      <c r="JV13" s="88"/>
      <c r="JW13" s="88"/>
      <c r="JX13" s="88"/>
      <c r="JY13" s="88"/>
      <c r="JZ13" s="88"/>
      <c r="KA13" s="88"/>
      <c r="KB13" s="88"/>
      <c r="KC13" s="88"/>
      <c r="KD13" s="88"/>
      <c r="KE13" s="88"/>
      <c r="KF13" s="88"/>
      <c r="KG13" s="88"/>
      <c r="KH13" s="88"/>
      <c r="KI13" s="88"/>
      <c r="KJ13" s="88"/>
      <c r="KK13" s="88"/>
      <c r="KL13" s="88"/>
      <c r="KM13" s="88"/>
      <c r="KN13" s="88"/>
      <c r="KO13" s="88"/>
      <c r="KP13" s="88"/>
      <c r="KQ13" s="88"/>
      <c r="KR13" s="88"/>
      <c r="KS13" s="88"/>
      <c r="KT13" s="88"/>
      <c r="KU13" s="88"/>
      <c r="KV13" s="88"/>
      <c r="KW13" s="88"/>
      <c r="KX13" s="88"/>
      <c r="KY13" s="88"/>
      <c r="KZ13" s="88"/>
      <c r="LA13" s="88"/>
      <c r="LB13" s="88"/>
      <c r="LC13" s="88"/>
      <c r="LD13" s="88"/>
      <c r="LE13" s="88"/>
      <c r="LF13" s="88"/>
      <c r="LG13" s="88"/>
      <c r="LH13" s="88"/>
      <c r="LI13" s="88"/>
      <c r="LJ13" s="88"/>
      <c r="LK13" s="88"/>
      <c r="LL13" s="88"/>
      <c r="LM13" s="88"/>
      <c r="LN13" s="88"/>
      <c r="LO13" s="88"/>
      <c r="LP13" s="88"/>
      <c r="LQ13" s="88"/>
      <c r="LR13" s="88"/>
      <c r="LS13" s="88"/>
      <c r="LT13" s="88"/>
      <c r="LU13" s="88"/>
      <c r="LV13" s="88"/>
      <c r="LW13" s="88"/>
      <c r="LX13" s="88"/>
      <c r="LY13" s="88"/>
      <c r="LZ13" s="88"/>
      <c r="MA13" s="88"/>
      <c r="MB13" s="88"/>
      <c r="MC13" s="88"/>
      <c r="MD13" s="88"/>
      <c r="ME13" s="88"/>
      <c r="MF13" s="88"/>
      <c r="MG13" s="88"/>
      <c r="MH13" s="88"/>
      <c r="MI13" s="88"/>
      <c r="MJ13" s="88"/>
      <c r="MK13" s="88"/>
      <c r="ML13" s="88"/>
      <c r="MM13" s="88"/>
      <c r="MN13" s="88"/>
      <c r="MO13" s="88"/>
      <c r="MP13" s="88"/>
      <c r="MQ13" s="88"/>
      <c r="MR13" s="88"/>
      <c r="MS13" s="88"/>
      <c r="MT13" s="88"/>
      <c r="MU13" s="88"/>
      <c r="MV13" s="88"/>
      <c r="MW13" s="88"/>
      <c r="MX13" s="88"/>
      <c r="MY13" s="88"/>
      <c r="MZ13" s="88"/>
      <c r="NA13" s="88"/>
      <c r="NB13" s="88"/>
      <c r="NC13" s="88"/>
      <c r="ND13" s="88"/>
      <c r="NE13" s="88"/>
      <c r="NF13" s="88"/>
      <c r="NG13" s="88"/>
      <c r="NH13" s="88"/>
      <c r="NI13" s="88"/>
      <c r="NJ13" s="88"/>
      <c r="NK13" s="88"/>
      <c r="NL13" s="88"/>
      <c r="NM13" s="88"/>
      <c r="NN13" s="88"/>
      <c r="NO13" s="88"/>
      <c r="NP13" s="88"/>
      <c r="NQ13" s="88"/>
      <c r="NR13" s="88"/>
      <c r="NS13" s="88"/>
      <c r="NT13" s="88"/>
      <c r="NU13" s="88"/>
      <c r="NV13" s="88"/>
      <c r="NW13" s="88"/>
      <c r="NX13" s="88"/>
      <c r="NY13" s="88"/>
      <c r="NZ13" s="88"/>
      <c r="OA13" s="88"/>
      <c r="OB13" s="88"/>
      <c r="OC13" s="88"/>
      <c r="OD13" s="88"/>
      <c r="OE13" s="88"/>
      <c r="OF13" s="88"/>
      <c r="OG13" s="88"/>
      <c r="OH13" s="88"/>
      <c r="OI13" s="68"/>
      <c r="OJ13" s="69"/>
      <c r="OK13" s="69"/>
      <c r="OL13" s="69"/>
      <c r="OM13" s="69"/>
      <c r="ON13" s="69"/>
      <c r="OO13" s="69"/>
      <c r="OP13" s="69"/>
      <c r="OQ13" s="69"/>
      <c r="OR13" s="69"/>
      <c r="OS13" s="69"/>
      <c r="OT13" s="69"/>
      <c r="OU13" s="69"/>
      <c r="OV13" s="69"/>
      <c r="OW13" s="69"/>
      <c r="OX13" s="69"/>
      <c r="OY13" s="69"/>
      <c r="OZ13" s="69"/>
      <c r="PA13" s="69"/>
      <c r="PB13" s="69"/>
      <c r="PC13" s="69"/>
      <c r="PD13" s="69"/>
      <c r="PE13" s="69"/>
      <c r="PF13" s="69"/>
      <c r="PG13" s="69"/>
      <c r="PH13" s="69"/>
      <c r="PI13" s="69"/>
      <c r="PJ13" s="69"/>
      <c r="PK13" s="69"/>
      <c r="PL13" s="69"/>
      <c r="PM13" s="69"/>
      <c r="PN13" s="69"/>
      <c r="PO13" s="69"/>
      <c r="PP13" s="69"/>
      <c r="PQ13" s="69"/>
      <c r="PR13" s="69"/>
      <c r="PS13" s="69"/>
      <c r="PT13" s="69"/>
    </row>
    <row r="14" spans="1:455" customFormat="1" ht="10.5" customHeight="1" x14ac:dyDescent="0.25">
      <c r="A14" s="63" t="s">
        <v>25</v>
      </c>
      <c r="B14" s="64"/>
      <c r="C14" s="65"/>
      <c r="D14" s="65"/>
      <c r="E14" s="65"/>
      <c r="F14" s="65"/>
      <c r="G14" s="65"/>
      <c r="H14" s="65"/>
      <c r="I14" s="65"/>
      <c r="J14" s="65"/>
      <c r="K14" s="65" t="s">
        <v>26</v>
      </c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  <c r="AC14" s="65"/>
      <c r="AD14" s="65"/>
      <c r="AE14" s="65"/>
      <c r="AF14" s="65"/>
      <c r="AG14" s="65"/>
      <c r="AH14" s="66"/>
      <c r="AI14" s="66"/>
      <c r="AJ14" s="66"/>
      <c r="AK14" s="66"/>
      <c r="AL14" s="66"/>
      <c r="AM14" s="66"/>
      <c r="AN14" s="66"/>
      <c r="AO14" s="66"/>
      <c r="AP14" s="66"/>
      <c r="AQ14" s="66"/>
      <c r="AR14" s="66"/>
      <c r="AS14" s="66"/>
      <c r="AT14" s="66"/>
      <c r="AU14" s="66"/>
      <c r="AV14" s="66"/>
      <c r="AW14" s="66"/>
      <c r="AX14" s="66"/>
      <c r="AY14" s="66"/>
      <c r="AZ14" s="66"/>
      <c r="BA14" s="66"/>
      <c r="BB14" s="66"/>
      <c r="BC14" s="66"/>
      <c r="BD14" s="66"/>
      <c r="BE14" s="66"/>
      <c r="BF14" s="66"/>
      <c r="BG14" s="66"/>
      <c r="BH14" s="66"/>
      <c r="BI14" s="66"/>
      <c r="BJ14" s="66"/>
      <c r="BK14" s="66"/>
      <c r="BL14" s="66"/>
      <c r="BM14" s="66"/>
      <c r="BN14" s="66"/>
      <c r="BO14" s="66"/>
      <c r="BP14" s="66"/>
      <c r="BQ14" s="66"/>
      <c r="BR14" s="66"/>
      <c r="BS14" s="66"/>
      <c r="BT14" s="66"/>
      <c r="BU14" s="66"/>
      <c r="BV14" s="66"/>
      <c r="BW14" s="66"/>
      <c r="BX14" s="66"/>
      <c r="BY14" s="66"/>
      <c r="BZ14" s="66"/>
      <c r="CA14" s="66"/>
      <c r="CB14" s="66"/>
      <c r="CC14" s="66"/>
      <c r="CD14" s="66"/>
      <c r="CE14" s="66"/>
      <c r="CF14" s="66"/>
      <c r="CG14" s="66"/>
      <c r="CH14" s="66"/>
      <c r="CI14" s="66"/>
      <c r="CJ14" s="66"/>
      <c r="CK14" s="66"/>
      <c r="CL14" s="66"/>
      <c r="CM14" s="66"/>
      <c r="CN14" s="66"/>
      <c r="CO14" s="66"/>
      <c r="CP14" s="66"/>
      <c r="CQ14" s="66"/>
      <c r="CR14" s="67"/>
      <c r="CS14" s="67"/>
      <c r="CT14" s="67"/>
      <c r="CU14" s="66"/>
      <c r="CV14" s="66"/>
      <c r="CW14" s="66"/>
      <c r="CX14" s="107" t="s">
        <v>26</v>
      </c>
      <c r="CY14" s="66"/>
      <c r="CZ14" s="66"/>
      <c r="DA14" s="66"/>
      <c r="DB14" s="66"/>
      <c r="DC14" s="66"/>
      <c r="DD14" s="66"/>
      <c r="DE14" s="66"/>
      <c r="DF14" s="66"/>
      <c r="DG14" s="66"/>
      <c r="DH14" s="66"/>
      <c r="DI14" s="66"/>
      <c r="DJ14" s="66"/>
      <c r="DK14" s="66"/>
      <c r="DL14" s="66"/>
      <c r="DM14" s="66"/>
      <c r="DN14" s="66"/>
      <c r="DO14" s="66"/>
      <c r="DP14" s="66"/>
      <c r="DQ14" s="66"/>
      <c r="DR14" s="66"/>
      <c r="DS14" s="66"/>
      <c r="DT14" s="66"/>
      <c r="DU14" s="66"/>
      <c r="DV14" s="66"/>
      <c r="DW14" s="66"/>
      <c r="DX14" s="66"/>
      <c r="DY14" s="66"/>
      <c r="DZ14" s="66"/>
      <c r="EA14" s="66"/>
      <c r="EB14" s="66"/>
      <c r="EC14" s="66"/>
      <c r="ED14" s="66"/>
      <c r="EE14" s="66"/>
      <c r="EF14" s="66"/>
      <c r="EG14" s="66"/>
      <c r="EH14" s="66"/>
      <c r="EI14" s="66"/>
      <c r="EJ14" s="66"/>
      <c r="EK14" s="66"/>
      <c r="EL14" s="66"/>
      <c r="EM14" s="66"/>
      <c r="EN14" s="66"/>
      <c r="EO14" s="66"/>
      <c r="EP14" s="66"/>
      <c r="EQ14" s="66"/>
      <c r="ER14" s="66"/>
      <c r="ES14" s="66"/>
      <c r="ET14" s="66"/>
      <c r="EU14" s="66"/>
      <c r="EV14" s="66"/>
      <c r="EW14" s="66"/>
      <c r="EX14" s="66"/>
      <c r="EY14" s="66"/>
      <c r="EZ14" s="66"/>
      <c r="FA14" s="66"/>
      <c r="FB14" s="66"/>
      <c r="FC14" s="66"/>
      <c r="FD14" s="66"/>
      <c r="FE14" s="66"/>
      <c r="FF14" s="66"/>
      <c r="FG14" s="66"/>
      <c r="FH14" s="66"/>
      <c r="FI14" s="66"/>
      <c r="FJ14" s="66"/>
      <c r="FK14" s="66"/>
      <c r="FL14" s="66"/>
      <c r="FM14" s="66"/>
      <c r="FN14" s="66"/>
      <c r="FO14" s="66"/>
      <c r="FP14" s="66"/>
      <c r="FQ14" s="66"/>
      <c r="FR14" s="66"/>
      <c r="FS14" s="66"/>
      <c r="FT14" s="66"/>
      <c r="FU14" s="66"/>
      <c r="FV14" s="66"/>
      <c r="FW14" s="66"/>
      <c r="FX14" s="66"/>
      <c r="FY14" s="66"/>
      <c r="FZ14" s="66"/>
      <c r="GA14" s="66"/>
      <c r="GB14" s="66"/>
      <c r="GC14" s="66"/>
      <c r="GD14" s="66"/>
      <c r="GE14" s="66"/>
      <c r="GF14" s="66"/>
      <c r="GG14" s="66"/>
      <c r="GH14" s="66"/>
      <c r="GI14" s="66"/>
      <c r="GJ14" s="66"/>
      <c r="GK14" s="66"/>
      <c r="GL14" s="67"/>
      <c r="GM14" s="67"/>
      <c r="GN14" s="67"/>
      <c r="GO14" s="66"/>
      <c r="GP14" s="66"/>
      <c r="GQ14" s="66"/>
      <c r="GR14" s="66" t="s">
        <v>26</v>
      </c>
      <c r="GS14" s="66"/>
      <c r="GT14" s="66"/>
      <c r="GU14" s="66"/>
      <c r="GV14" s="66"/>
      <c r="GW14" s="66"/>
      <c r="GX14" s="66"/>
      <c r="GY14" s="66"/>
      <c r="GZ14" s="66"/>
      <c r="HA14" s="66"/>
      <c r="HB14" s="66"/>
      <c r="HC14" s="66"/>
      <c r="HD14" s="66"/>
      <c r="HE14" s="66"/>
      <c r="HF14" s="66"/>
      <c r="HG14" s="66"/>
      <c r="HH14" s="66"/>
      <c r="HI14" s="66"/>
      <c r="HJ14" s="66"/>
      <c r="HK14" s="66"/>
      <c r="HL14" s="66"/>
      <c r="HM14" s="66"/>
      <c r="HN14" s="66"/>
      <c r="HO14" s="66"/>
      <c r="HP14" s="66"/>
      <c r="HQ14" s="66"/>
      <c r="HR14" s="66"/>
      <c r="HS14" s="66"/>
      <c r="HT14" s="66"/>
      <c r="HU14" s="66"/>
      <c r="HV14" s="66"/>
      <c r="HW14" s="66"/>
      <c r="HX14" s="66"/>
      <c r="HY14" s="66"/>
      <c r="HZ14" s="66"/>
      <c r="IA14" s="66"/>
      <c r="IB14" s="66"/>
      <c r="IC14" s="66"/>
      <c r="ID14" s="66"/>
      <c r="IE14" s="66"/>
      <c r="IF14" s="66"/>
      <c r="IG14" s="66"/>
      <c r="IH14" s="66"/>
      <c r="II14" s="66"/>
      <c r="IJ14" s="66"/>
      <c r="IK14" s="66"/>
      <c r="IL14" s="66"/>
      <c r="IM14" s="66"/>
      <c r="IN14" s="66"/>
      <c r="IO14" s="66"/>
      <c r="IP14" s="66"/>
      <c r="IQ14" s="66"/>
      <c r="IR14" s="66"/>
      <c r="IS14" s="66"/>
      <c r="IT14" s="66"/>
      <c r="IU14" s="66"/>
      <c r="IV14" s="66"/>
      <c r="IW14" s="66"/>
      <c r="IX14" s="66"/>
      <c r="IY14" s="66"/>
      <c r="IZ14" s="66"/>
      <c r="JA14" s="66"/>
      <c r="JB14" s="66"/>
      <c r="JC14" s="66"/>
      <c r="JD14" s="66"/>
      <c r="JE14" s="66"/>
      <c r="JF14" s="66"/>
      <c r="JG14" s="66"/>
      <c r="JH14" s="66"/>
      <c r="JI14" s="66"/>
      <c r="JJ14" s="66"/>
      <c r="JK14" s="66"/>
      <c r="JL14" s="66"/>
      <c r="JM14" s="66"/>
      <c r="JN14" s="66"/>
      <c r="JO14" s="66"/>
      <c r="JP14" s="66"/>
      <c r="JQ14" s="66"/>
      <c r="JR14" s="66"/>
      <c r="JS14" s="66"/>
      <c r="JT14" s="66"/>
      <c r="JU14" s="66"/>
      <c r="JV14" s="66"/>
      <c r="JW14" s="66"/>
      <c r="JX14" s="66"/>
      <c r="JY14" s="66"/>
      <c r="JZ14" s="66"/>
      <c r="KA14" s="66"/>
      <c r="KB14" s="66"/>
      <c r="KC14" s="66"/>
      <c r="KD14" s="66"/>
      <c r="KE14" s="66"/>
      <c r="KF14" s="66"/>
      <c r="KG14" s="66"/>
      <c r="KH14" s="66"/>
      <c r="KI14" s="66"/>
      <c r="KJ14" s="66"/>
      <c r="KK14" s="66"/>
      <c r="KL14" s="66"/>
      <c r="KM14" s="67"/>
      <c r="KN14" s="67"/>
      <c r="KO14" s="67"/>
      <c r="KP14" s="66"/>
      <c r="KQ14" s="66"/>
      <c r="KR14" s="66"/>
      <c r="KS14" s="66" t="s">
        <v>27</v>
      </c>
      <c r="KT14" s="66"/>
      <c r="KU14" s="66"/>
      <c r="KV14" s="66"/>
      <c r="KW14" s="66"/>
      <c r="KX14" s="66"/>
      <c r="KY14" s="66"/>
      <c r="KZ14" s="66"/>
      <c r="LA14" s="66"/>
      <c r="LB14" s="66"/>
      <c r="LC14" s="66"/>
      <c r="LD14" s="66"/>
      <c r="LE14" s="66"/>
      <c r="LF14" s="66"/>
      <c r="LG14" s="66"/>
      <c r="LH14" s="66"/>
      <c r="LI14" s="66"/>
      <c r="LJ14" s="66"/>
      <c r="LK14" s="66"/>
      <c r="LL14" s="66"/>
      <c r="LM14" s="66"/>
      <c r="LN14" s="66"/>
      <c r="LO14" s="66"/>
      <c r="LP14" s="66"/>
      <c r="LQ14" s="66"/>
      <c r="LR14" s="66"/>
      <c r="LS14" s="66"/>
      <c r="LT14" s="66"/>
      <c r="LU14" s="66"/>
      <c r="LV14" s="66"/>
      <c r="LW14" s="66"/>
      <c r="LX14" s="66"/>
      <c r="LY14" s="66"/>
      <c r="LZ14" s="66"/>
      <c r="MA14" s="66"/>
      <c r="MB14" s="66"/>
      <c r="MC14" s="66"/>
      <c r="MD14" s="66"/>
      <c r="ME14" s="66"/>
      <c r="MF14" s="66"/>
      <c r="MG14" s="66"/>
      <c r="MH14" s="66"/>
      <c r="MI14" s="66"/>
      <c r="MJ14" s="66"/>
      <c r="MK14" s="66"/>
      <c r="ML14" s="66"/>
      <c r="MM14" s="66"/>
      <c r="MN14" s="66"/>
      <c r="MO14" s="66"/>
      <c r="MP14" s="66"/>
      <c r="MQ14" s="66"/>
      <c r="MR14" s="66"/>
      <c r="MS14" s="66"/>
      <c r="MT14" s="66"/>
      <c r="MU14" s="66"/>
      <c r="MV14" s="66"/>
      <c r="MW14" s="66"/>
      <c r="MX14" s="66"/>
      <c r="MY14" s="66"/>
      <c r="MZ14" s="66"/>
      <c r="NA14" s="66"/>
      <c r="NB14" s="66"/>
      <c r="NC14" s="66"/>
      <c r="ND14" s="66"/>
      <c r="NE14" s="66"/>
      <c r="NF14" s="66"/>
      <c r="NG14" s="66"/>
      <c r="NH14" s="66"/>
      <c r="NI14" s="66"/>
      <c r="NJ14" s="66"/>
      <c r="NK14" s="66"/>
      <c r="NL14" s="66"/>
      <c r="NM14" s="66"/>
      <c r="NN14" s="66"/>
      <c r="NO14" s="66"/>
      <c r="NP14" s="66"/>
      <c r="NQ14" s="66"/>
      <c r="NR14" s="66"/>
      <c r="NS14" s="66"/>
      <c r="NT14" s="66"/>
      <c r="NU14" s="66"/>
      <c r="NV14" s="66"/>
      <c r="NW14" s="66"/>
      <c r="NX14" s="66"/>
      <c r="NY14" s="66"/>
      <c r="NZ14" s="66"/>
      <c r="OA14" s="66"/>
      <c r="OB14" s="66"/>
      <c r="OC14" s="66"/>
      <c r="OD14" s="66"/>
      <c r="OE14" s="66"/>
      <c r="OF14" s="66"/>
      <c r="OG14" s="66"/>
      <c r="OH14" s="66"/>
      <c r="OI14" s="68"/>
      <c r="OJ14" s="69"/>
      <c r="OK14" s="69"/>
      <c r="OL14" s="69"/>
      <c r="OM14" s="69"/>
      <c r="ON14" s="69"/>
      <c r="OO14" s="69"/>
      <c r="OP14" s="69"/>
      <c r="OQ14" s="69"/>
      <c r="OR14" s="69"/>
      <c r="OS14" s="69"/>
      <c r="OT14" s="69"/>
      <c r="OU14" s="69"/>
      <c r="OV14" s="69"/>
      <c r="OW14" s="69"/>
      <c r="OX14" s="69"/>
      <c r="OY14" s="69"/>
      <c r="OZ14" s="69"/>
      <c r="PA14" s="69"/>
      <c r="PB14" s="69"/>
      <c r="PC14" s="69"/>
      <c r="PD14" s="69"/>
      <c r="PE14" s="69"/>
      <c r="PF14" s="69"/>
      <c r="PG14" s="69"/>
      <c r="PH14" s="69"/>
      <c r="PI14" s="69"/>
      <c r="PJ14" s="69"/>
      <c r="PK14" s="69"/>
      <c r="PL14" s="69"/>
      <c r="PM14" s="69"/>
      <c r="PN14" s="69"/>
      <c r="PO14" s="69"/>
      <c r="PP14" s="69"/>
      <c r="PQ14" s="69"/>
      <c r="PR14" s="69"/>
      <c r="PS14" s="69"/>
      <c r="PT14" s="69"/>
    </row>
    <row r="15" spans="1:455" s="110" customFormat="1" ht="10.5" customHeight="1" x14ac:dyDescent="0.2">
      <c r="C15" s="119"/>
      <c r="D15" s="119"/>
      <c r="E15" s="119"/>
      <c r="F15" s="119"/>
      <c r="G15" s="119"/>
      <c r="H15" s="119"/>
      <c r="I15" s="119"/>
      <c r="J15" s="119"/>
      <c r="K15" s="119"/>
      <c r="L15" s="119"/>
      <c r="M15" s="119"/>
      <c r="N15" s="119"/>
      <c r="O15" s="119"/>
      <c r="P15" s="119"/>
      <c r="Q15" s="119"/>
      <c r="R15" s="119"/>
      <c r="S15" s="119"/>
      <c r="T15" s="119"/>
      <c r="U15" s="119"/>
      <c r="V15" s="119"/>
      <c r="W15" s="119"/>
      <c r="X15" s="119"/>
      <c r="Y15" s="119"/>
      <c r="Z15" s="119"/>
      <c r="AA15" s="119"/>
      <c r="AB15" s="119"/>
      <c r="AC15" s="119"/>
      <c r="AD15" s="119"/>
      <c r="AE15" s="119"/>
      <c r="AF15" s="119"/>
      <c r="AG15" s="119"/>
      <c r="AH15" s="131" t="s">
        <v>28</v>
      </c>
      <c r="AI15" s="131"/>
      <c r="AJ15" s="131"/>
      <c r="AK15" s="131"/>
      <c r="AL15" s="131"/>
      <c r="AM15" s="131"/>
      <c r="AN15" s="116">
        <v>748</v>
      </c>
      <c r="AO15" s="134"/>
      <c r="AP15" s="134"/>
      <c r="AQ15" s="131" t="s">
        <v>29</v>
      </c>
      <c r="AR15" s="131"/>
      <c r="AS15" s="131"/>
      <c r="AT15" s="131"/>
      <c r="AU15" s="131"/>
      <c r="AV15" s="131"/>
      <c r="AW15" s="121">
        <f>AN15-BF15</f>
        <v>66</v>
      </c>
      <c r="AX15" s="135"/>
      <c r="AY15" s="135"/>
      <c r="AZ15" s="131" t="s">
        <v>30</v>
      </c>
      <c r="BA15" s="131"/>
      <c r="BB15" s="131"/>
      <c r="BC15" s="131"/>
      <c r="BD15" s="131"/>
      <c r="BE15" s="131"/>
      <c r="BF15" s="122">
        <f>SUM(AI17:BL50)</f>
        <v>682</v>
      </c>
      <c r="BG15" s="135"/>
      <c r="BH15" s="135"/>
      <c r="BI15" s="135"/>
      <c r="BJ15" s="135"/>
      <c r="BK15" s="135"/>
      <c r="BL15" s="135"/>
      <c r="BM15" s="131" t="s">
        <v>28</v>
      </c>
      <c r="BN15" s="131"/>
      <c r="BO15" s="131"/>
      <c r="BP15" s="131"/>
      <c r="BQ15" s="131"/>
      <c r="BR15" s="131"/>
      <c r="BS15" s="116">
        <v>680</v>
      </c>
      <c r="BT15" s="133"/>
      <c r="BU15" s="133"/>
      <c r="BV15" s="131" t="s">
        <v>29</v>
      </c>
      <c r="BW15" s="131"/>
      <c r="BX15" s="131"/>
      <c r="BY15" s="131"/>
      <c r="BZ15" s="131"/>
      <c r="CA15" s="131"/>
      <c r="CB15" s="116">
        <f>BS15-CK15</f>
        <v>54.5</v>
      </c>
      <c r="CC15" s="132"/>
      <c r="CD15" s="132"/>
      <c r="CE15" s="131" t="s">
        <v>30</v>
      </c>
      <c r="CF15" s="131"/>
      <c r="CG15" s="131"/>
      <c r="CH15" s="131"/>
      <c r="CI15" s="131"/>
      <c r="CJ15" s="131"/>
      <c r="CK15" s="116">
        <f>SUM(BO17:CN50)</f>
        <v>625.5</v>
      </c>
      <c r="CL15" s="133"/>
      <c r="CM15" s="133"/>
      <c r="CN15" s="133"/>
      <c r="CO15" s="131" t="s">
        <v>28</v>
      </c>
      <c r="CP15" s="131"/>
      <c r="CQ15" s="131"/>
      <c r="CR15" s="131"/>
      <c r="CS15" s="131"/>
      <c r="CT15" s="131"/>
      <c r="CU15" s="116">
        <v>712</v>
      </c>
      <c r="CV15" s="134"/>
      <c r="CW15" s="134"/>
      <c r="CX15" s="131" t="s">
        <v>29</v>
      </c>
      <c r="CY15" s="131"/>
      <c r="CZ15" s="131"/>
      <c r="DA15" s="131"/>
      <c r="DB15" s="131"/>
      <c r="DC15" s="131"/>
      <c r="DD15" s="116">
        <f>CU15-DM15</f>
        <v>9</v>
      </c>
      <c r="DE15" s="135"/>
      <c r="DF15" s="135"/>
      <c r="DG15" s="131" t="s">
        <v>30</v>
      </c>
      <c r="DH15" s="131"/>
      <c r="DI15" s="131"/>
      <c r="DJ15" s="131"/>
      <c r="DK15" s="131"/>
      <c r="DL15" s="131"/>
      <c r="DM15" s="116">
        <f>SUM(CQ17:DS50)</f>
        <v>703</v>
      </c>
      <c r="DN15" s="134"/>
      <c r="DO15" s="134"/>
      <c r="DP15" s="134"/>
      <c r="DQ15" s="134"/>
      <c r="DR15" s="134"/>
      <c r="DS15" s="134"/>
      <c r="DT15" s="131" t="s">
        <v>28</v>
      </c>
      <c r="DU15" s="131"/>
      <c r="DV15" s="131"/>
      <c r="DW15" s="131"/>
      <c r="DX15" s="131"/>
      <c r="DY15" s="131"/>
      <c r="DZ15" s="116">
        <v>714</v>
      </c>
      <c r="EA15" s="133"/>
      <c r="EB15" s="133"/>
      <c r="EC15" s="131" t="s">
        <v>29</v>
      </c>
      <c r="ED15" s="131"/>
      <c r="EE15" s="131"/>
      <c r="EF15" s="131"/>
      <c r="EG15" s="131"/>
      <c r="EH15" s="131"/>
      <c r="EI15" s="116">
        <f>DZ15-ER15</f>
        <v>8</v>
      </c>
      <c r="EJ15" s="132"/>
      <c r="EK15" s="132"/>
      <c r="EL15" s="131" t="s">
        <v>30</v>
      </c>
      <c r="EM15" s="131"/>
      <c r="EN15" s="131"/>
      <c r="EO15" s="131"/>
      <c r="EP15" s="131"/>
      <c r="EQ15" s="131"/>
      <c r="ER15" s="116">
        <f>SUM(DT17:EX50)</f>
        <v>706</v>
      </c>
      <c r="ES15" s="133"/>
      <c r="ET15" s="133"/>
      <c r="EU15" s="133"/>
      <c r="EV15" s="133"/>
      <c r="EW15" s="133"/>
      <c r="EX15" s="131" t="s">
        <v>28</v>
      </c>
      <c r="EY15" s="131"/>
      <c r="EZ15" s="131"/>
      <c r="FA15" s="131"/>
      <c r="FB15" s="131"/>
      <c r="FC15" s="131"/>
      <c r="FD15" s="116">
        <v>646</v>
      </c>
      <c r="FE15" s="134"/>
      <c r="FF15" s="134"/>
      <c r="FG15" s="131" t="s">
        <v>29</v>
      </c>
      <c r="FH15" s="131"/>
      <c r="FI15" s="131"/>
      <c r="FJ15" s="131"/>
      <c r="FK15" s="131"/>
      <c r="FL15" s="131"/>
      <c r="FM15" s="116">
        <f>FD15-FV15</f>
        <v>5</v>
      </c>
      <c r="FN15" s="135"/>
      <c r="FO15" s="135"/>
      <c r="FP15" s="131" t="s">
        <v>30</v>
      </c>
      <c r="FQ15" s="131"/>
      <c r="FR15" s="131"/>
      <c r="FS15" s="131"/>
      <c r="FT15" s="131"/>
      <c r="FU15" s="131"/>
      <c r="FV15" s="116">
        <f>SUM(EX17:GB50)</f>
        <v>641</v>
      </c>
      <c r="FW15" s="120"/>
      <c r="FX15" s="120"/>
      <c r="FY15" s="120"/>
      <c r="FZ15" s="120"/>
      <c r="GA15" s="120"/>
      <c r="GB15" s="123"/>
      <c r="GC15" s="131" t="s">
        <v>28</v>
      </c>
      <c r="GD15" s="131"/>
      <c r="GE15" s="131"/>
      <c r="GF15" s="131"/>
      <c r="GG15" s="131"/>
      <c r="GH15" s="131"/>
      <c r="GI15" s="116">
        <v>679</v>
      </c>
      <c r="GJ15" s="133"/>
      <c r="GK15" s="133"/>
      <c r="GL15" s="131" t="s">
        <v>29</v>
      </c>
      <c r="GM15" s="131"/>
      <c r="GN15" s="131"/>
      <c r="GO15" s="131"/>
      <c r="GP15" s="131"/>
      <c r="GQ15" s="131"/>
      <c r="GR15" s="116">
        <f>GI15-HA15</f>
        <v>0</v>
      </c>
      <c r="GS15" s="132"/>
      <c r="GT15" s="132"/>
      <c r="GU15" s="131" t="s">
        <v>30</v>
      </c>
      <c r="GV15" s="131"/>
      <c r="GW15" s="131"/>
      <c r="GX15" s="131"/>
      <c r="GY15" s="131"/>
      <c r="GZ15" s="131"/>
      <c r="HA15" s="116">
        <f>SUM(GC17:HF50)</f>
        <v>679</v>
      </c>
      <c r="HB15" s="133"/>
      <c r="HC15" s="133"/>
      <c r="HD15" s="133"/>
      <c r="HE15" s="133"/>
      <c r="HF15" s="133"/>
      <c r="HG15" s="131" t="s">
        <v>28</v>
      </c>
      <c r="HH15" s="131"/>
      <c r="HI15" s="131"/>
      <c r="HJ15" s="131"/>
      <c r="HK15" s="131"/>
      <c r="HL15" s="131"/>
      <c r="HM15" s="116">
        <v>748</v>
      </c>
      <c r="HN15" s="134"/>
      <c r="HO15" s="134"/>
      <c r="HP15" s="131" t="s">
        <v>29</v>
      </c>
      <c r="HQ15" s="131"/>
      <c r="HR15" s="131"/>
      <c r="HS15" s="131"/>
      <c r="HT15" s="131"/>
      <c r="HU15" s="131"/>
      <c r="HV15" s="116">
        <f>HM15-IE15</f>
        <v>39</v>
      </c>
      <c r="HW15" s="135"/>
      <c r="HX15" s="135"/>
      <c r="HY15" s="131" t="s">
        <v>30</v>
      </c>
      <c r="HZ15" s="131"/>
      <c r="IA15" s="131"/>
      <c r="IB15" s="131"/>
      <c r="IC15" s="131"/>
      <c r="ID15" s="131"/>
      <c r="IE15" s="116">
        <f>SUM(HH17:IK50)</f>
        <v>709</v>
      </c>
      <c r="IF15" s="134"/>
      <c r="IG15" s="134"/>
      <c r="IH15" s="134"/>
      <c r="II15" s="134"/>
      <c r="IJ15" s="134"/>
      <c r="IK15" s="134"/>
      <c r="IL15" s="131" t="s">
        <v>28</v>
      </c>
      <c r="IM15" s="131"/>
      <c r="IN15" s="131"/>
      <c r="IO15" s="131"/>
      <c r="IP15" s="131"/>
      <c r="IQ15" s="131"/>
      <c r="IR15" s="116">
        <v>680</v>
      </c>
      <c r="IS15" s="133"/>
      <c r="IT15" s="133"/>
      <c r="IU15" s="131" t="s">
        <v>29</v>
      </c>
      <c r="IV15" s="131"/>
      <c r="IW15" s="131"/>
      <c r="IX15" s="131"/>
      <c r="IY15" s="131"/>
      <c r="IZ15" s="131"/>
      <c r="JA15" s="116">
        <f>IR15-JJ15</f>
        <v>9</v>
      </c>
      <c r="JB15" s="132"/>
      <c r="JC15" s="132"/>
      <c r="JD15" s="131" t="s">
        <v>30</v>
      </c>
      <c r="JE15" s="131"/>
      <c r="JF15" s="131"/>
      <c r="JG15" s="131"/>
      <c r="JH15" s="131"/>
      <c r="JI15" s="131"/>
      <c r="JJ15" s="116">
        <f>SUM(IL17:JP50)</f>
        <v>671</v>
      </c>
      <c r="JK15" s="133"/>
      <c r="JL15" s="133"/>
      <c r="JM15" s="133"/>
      <c r="JN15" s="133"/>
      <c r="JO15" s="133"/>
      <c r="JP15" s="133"/>
      <c r="JQ15" s="131" t="s">
        <v>28</v>
      </c>
      <c r="JR15" s="131"/>
      <c r="JS15" s="131"/>
      <c r="JT15" s="131"/>
      <c r="JU15" s="131"/>
      <c r="JV15" s="131"/>
      <c r="JW15" s="116">
        <v>781</v>
      </c>
      <c r="JX15" s="134"/>
      <c r="JY15" s="134"/>
      <c r="JZ15" s="131" t="s">
        <v>29</v>
      </c>
      <c r="KA15" s="131"/>
      <c r="KB15" s="131"/>
      <c r="KC15" s="131"/>
      <c r="KD15" s="131"/>
      <c r="KE15" s="131"/>
      <c r="KF15" s="116">
        <f>JW15-KO15</f>
        <v>34</v>
      </c>
      <c r="KG15" s="135"/>
      <c r="KH15" s="135"/>
      <c r="KI15" s="131" t="s">
        <v>30</v>
      </c>
      <c r="KJ15" s="131"/>
      <c r="KK15" s="131"/>
      <c r="KL15" s="131"/>
      <c r="KM15" s="131"/>
      <c r="KN15" s="131"/>
      <c r="KO15" s="116">
        <f>SUM(JQ17:KT50)</f>
        <v>747</v>
      </c>
      <c r="KP15" s="134"/>
      <c r="KQ15" s="134"/>
      <c r="KR15" s="134"/>
      <c r="KS15" s="134"/>
      <c r="KT15" s="134"/>
      <c r="KU15" s="131" t="s">
        <v>28</v>
      </c>
      <c r="KV15" s="131"/>
      <c r="KW15" s="131"/>
      <c r="KX15" s="131"/>
      <c r="KY15" s="131"/>
      <c r="KZ15" s="131"/>
      <c r="LA15" s="116">
        <v>782</v>
      </c>
      <c r="LB15" s="133"/>
      <c r="LC15" s="133"/>
      <c r="LD15" s="131" t="s">
        <v>29</v>
      </c>
      <c r="LE15" s="131"/>
      <c r="LF15" s="131"/>
      <c r="LG15" s="131"/>
      <c r="LH15" s="131"/>
      <c r="LI15" s="131"/>
      <c r="LJ15" s="116">
        <f>LA15-LS15</f>
        <v>1</v>
      </c>
      <c r="LK15" s="132"/>
      <c r="LL15" s="132"/>
      <c r="LM15" s="131" t="s">
        <v>30</v>
      </c>
      <c r="LN15" s="131"/>
      <c r="LO15" s="131"/>
      <c r="LP15" s="131"/>
      <c r="LQ15" s="131"/>
      <c r="LR15" s="131"/>
      <c r="LS15" s="116">
        <f>SUM(KU17:LY50)</f>
        <v>781</v>
      </c>
      <c r="LT15" s="133"/>
      <c r="LU15" s="133"/>
      <c r="LV15" s="133"/>
      <c r="LW15" s="133"/>
      <c r="LX15" s="133"/>
      <c r="LY15" s="133"/>
      <c r="LZ15" s="131" t="s">
        <v>28</v>
      </c>
      <c r="MA15" s="131"/>
      <c r="MB15" s="131"/>
      <c r="MC15" s="131"/>
      <c r="MD15" s="131"/>
      <c r="ME15" s="131"/>
      <c r="MF15" s="116">
        <v>680</v>
      </c>
      <c r="MG15" s="134"/>
      <c r="MH15" s="134"/>
      <c r="MI15" s="131" t="s">
        <v>29</v>
      </c>
      <c r="MJ15" s="131"/>
      <c r="MK15" s="131"/>
      <c r="ML15" s="131"/>
      <c r="MM15" s="131"/>
      <c r="MN15" s="131"/>
      <c r="MO15" s="116">
        <f>MF15-MX15</f>
        <v>0</v>
      </c>
      <c r="MP15" s="135"/>
      <c r="MQ15" s="135"/>
      <c r="MR15" s="131" t="s">
        <v>30</v>
      </c>
      <c r="MS15" s="131"/>
      <c r="MT15" s="131"/>
      <c r="MU15" s="131"/>
      <c r="MV15" s="131"/>
      <c r="MW15" s="131"/>
      <c r="MX15" s="116">
        <f>SUM(LZ17:NC50)</f>
        <v>680</v>
      </c>
      <c r="MY15" s="134"/>
      <c r="MZ15" s="134"/>
      <c r="NA15" s="134"/>
      <c r="NB15" s="134"/>
      <c r="NC15" s="134"/>
      <c r="ND15" s="131" t="s">
        <v>28</v>
      </c>
      <c r="NE15" s="131"/>
      <c r="NF15" s="131"/>
      <c r="NG15" s="131"/>
      <c r="NH15" s="131"/>
      <c r="NI15" s="131"/>
      <c r="NJ15" s="116">
        <v>782</v>
      </c>
      <c r="NK15" s="133"/>
      <c r="NL15" s="133"/>
      <c r="NM15" s="131" t="s">
        <v>29</v>
      </c>
      <c r="NN15" s="131"/>
      <c r="NO15" s="131"/>
      <c r="NP15" s="131"/>
      <c r="NQ15" s="131"/>
      <c r="NR15" s="131"/>
      <c r="NS15" s="116">
        <f>NJ15-OB15</f>
        <v>56.5</v>
      </c>
      <c r="NT15" s="132"/>
      <c r="NU15" s="132"/>
      <c r="NV15" s="131" t="s">
        <v>30</v>
      </c>
      <c r="NW15" s="131"/>
      <c r="NX15" s="131"/>
      <c r="NY15" s="131"/>
      <c r="NZ15" s="131"/>
      <c r="OA15" s="131"/>
      <c r="OB15" s="116">
        <f>SUM(ND17:OH50)</f>
        <v>725.5</v>
      </c>
      <c r="OC15" s="133"/>
      <c r="OD15" s="133"/>
      <c r="OE15" s="133"/>
      <c r="OF15" s="133"/>
      <c r="OG15" s="133"/>
      <c r="OH15" s="133"/>
      <c r="OI15" s="124"/>
      <c r="OJ15" s="114"/>
      <c r="OK15" s="114"/>
      <c r="OL15" s="114"/>
      <c r="OM15" s="114"/>
      <c r="ON15" s="114"/>
      <c r="OO15" s="114"/>
      <c r="OP15" s="114"/>
      <c r="OQ15" s="114"/>
      <c r="OR15" s="114"/>
      <c r="OS15" s="114"/>
      <c r="OT15" s="114"/>
      <c r="OU15" s="114"/>
      <c r="OV15" s="114"/>
      <c r="OW15" s="114"/>
      <c r="OX15" s="114"/>
      <c r="OY15" s="114"/>
      <c r="OZ15" s="114"/>
      <c r="PA15" s="114"/>
      <c r="PB15" s="114"/>
      <c r="PC15" s="114"/>
      <c r="PD15" s="114"/>
      <c r="PE15" s="114"/>
      <c r="PF15" s="114"/>
      <c r="PG15" s="114"/>
      <c r="PH15" s="114"/>
      <c r="PI15" s="114"/>
      <c r="PJ15" s="114"/>
      <c r="PK15" s="114"/>
      <c r="PL15" s="114"/>
      <c r="PM15" s="114"/>
      <c r="PN15" s="114"/>
      <c r="PO15" s="114"/>
      <c r="PP15" s="114"/>
      <c r="PQ15" s="114"/>
      <c r="PR15" s="114"/>
      <c r="PS15" s="114"/>
      <c r="PT15" s="114"/>
    </row>
    <row r="16" spans="1:455" s="58" customFormat="1" ht="16.5" customHeight="1" x14ac:dyDescent="0.25">
      <c r="A16" s="59" t="s">
        <v>31</v>
      </c>
      <c r="B16" s="60" t="s">
        <v>32</v>
      </c>
      <c r="C16" s="49" t="s">
        <v>33</v>
      </c>
      <c r="D16" s="49" t="s">
        <v>34</v>
      </c>
      <c r="E16" s="49" t="s">
        <v>35</v>
      </c>
      <c r="F16" s="49" t="s">
        <v>36</v>
      </c>
      <c r="G16" s="49" t="s">
        <v>37</v>
      </c>
      <c r="H16" s="49" t="s">
        <v>38</v>
      </c>
      <c r="I16" s="49" t="s">
        <v>39</v>
      </c>
      <c r="J16" s="49" t="s">
        <v>40</v>
      </c>
      <c r="K16" s="49" t="s">
        <v>41</v>
      </c>
      <c r="L16" s="49" t="s">
        <v>42</v>
      </c>
      <c r="M16" s="49" t="s">
        <v>43</v>
      </c>
      <c r="N16" s="49" t="s">
        <v>44</v>
      </c>
      <c r="O16" s="49" t="s">
        <v>45</v>
      </c>
      <c r="P16" s="49" t="s">
        <v>46</v>
      </c>
      <c r="Q16" s="49" t="s">
        <v>47</v>
      </c>
      <c r="R16" s="49" t="s">
        <v>48</v>
      </c>
      <c r="S16" s="49" t="s">
        <v>49</v>
      </c>
      <c r="T16" s="49" t="s">
        <v>50</v>
      </c>
      <c r="U16" s="49" t="s">
        <v>51</v>
      </c>
      <c r="V16" s="49" t="s">
        <v>52</v>
      </c>
      <c r="W16" s="49" t="s">
        <v>53</v>
      </c>
      <c r="X16" s="49" t="s">
        <v>54</v>
      </c>
      <c r="Y16" s="49" t="s">
        <v>55</v>
      </c>
      <c r="Z16" s="49" t="s">
        <v>56</v>
      </c>
      <c r="AA16" s="49" t="s">
        <v>57</v>
      </c>
      <c r="AB16" s="49" t="s">
        <v>58</v>
      </c>
      <c r="AC16" s="49" t="s">
        <v>59</v>
      </c>
      <c r="AD16" s="49" t="s">
        <v>60</v>
      </c>
      <c r="AE16" s="49" t="s">
        <v>61</v>
      </c>
      <c r="AF16" s="49" t="s">
        <v>62</v>
      </c>
      <c r="AG16" s="49" t="s">
        <v>63</v>
      </c>
      <c r="AH16" s="50" t="s">
        <v>64</v>
      </c>
      <c r="AI16" s="50" t="s">
        <v>65</v>
      </c>
      <c r="AJ16" s="50" t="s">
        <v>66</v>
      </c>
      <c r="AK16" s="50" t="s">
        <v>67</v>
      </c>
      <c r="AL16" s="50" t="s">
        <v>68</v>
      </c>
      <c r="AM16" s="50" t="s">
        <v>69</v>
      </c>
      <c r="AN16" s="51" t="s">
        <v>70</v>
      </c>
      <c r="AO16" s="52" t="s">
        <v>71</v>
      </c>
      <c r="AP16" s="52" t="s">
        <v>72</v>
      </c>
      <c r="AQ16" s="50" t="s">
        <v>73</v>
      </c>
      <c r="AR16" s="50" t="s">
        <v>74</v>
      </c>
      <c r="AS16" s="50" t="s">
        <v>75</v>
      </c>
      <c r="AT16" s="50" t="s">
        <v>76</v>
      </c>
      <c r="AU16" s="50" t="s">
        <v>77</v>
      </c>
      <c r="AV16" s="50" t="s">
        <v>78</v>
      </c>
      <c r="AW16" s="51" t="s">
        <v>79</v>
      </c>
      <c r="AX16" s="53" t="s">
        <v>80</v>
      </c>
      <c r="AY16" s="53" t="s">
        <v>81</v>
      </c>
      <c r="AZ16" s="50" t="s">
        <v>82</v>
      </c>
      <c r="BA16" s="50" t="s">
        <v>83</v>
      </c>
      <c r="BB16" s="50" t="s">
        <v>84</v>
      </c>
      <c r="BC16" s="50" t="s">
        <v>85</v>
      </c>
      <c r="BD16" s="50" t="s">
        <v>86</v>
      </c>
      <c r="BE16" s="50" t="s">
        <v>87</v>
      </c>
      <c r="BF16" s="54" t="s">
        <v>88</v>
      </c>
      <c r="BG16" s="53" t="s">
        <v>89</v>
      </c>
      <c r="BH16" s="53" t="s">
        <v>90</v>
      </c>
      <c r="BI16" s="53" t="s">
        <v>91</v>
      </c>
      <c r="BJ16" s="53" t="s">
        <v>92</v>
      </c>
      <c r="BK16" s="53" t="s">
        <v>93</v>
      </c>
      <c r="BL16" s="53" t="s">
        <v>94</v>
      </c>
      <c r="BM16" s="50" t="s">
        <v>95</v>
      </c>
      <c r="BN16" s="50" t="s">
        <v>96</v>
      </c>
      <c r="BO16" s="50" t="s">
        <v>97</v>
      </c>
      <c r="BP16" s="50" t="s">
        <v>98</v>
      </c>
      <c r="BQ16" s="50" t="s">
        <v>99</v>
      </c>
      <c r="BR16" s="50" t="s">
        <v>100</v>
      </c>
      <c r="BS16" s="51" t="s">
        <v>101</v>
      </c>
      <c r="BT16" s="52" t="s">
        <v>102</v>
      </c>
      <c r="BU16" s="52" t="s">
        <v>103</v>
      </c>
      <c r="BV16" s="50" t="s">
        <v>104</v>
      </c>
      <c r="BW16" s="50" t="s">
        <v>105</v>
      </c>
      <c r="BX16" s="50" t="s">
        <v>106</v>
      </c>
      <c r="BY16" s="50" t="s">
        <v>107</v>
      </c>
      <c r="BZ16" s="50" t="s">
        <v>108</v>
      </c>
      <c r="CA16" s="50" t="s">
        <v>109</v>
      </c>
      <c r="CB16" s="51" t="s">
        <v>110</v>
      </c>
      <c r="CC16" s="53" t="s">
        <v>111</v>
      </c>
      <c r="CD16" s="53" t="s">
        <v>112</v>
      </c>
      <c r="CE16" s="50" t="s">
        <v>113</v>
      </c>
      <c r="CF16" s="50" t="s">
        <v>114</v>
      </c>
      <c r="CG16" s="50" t="s">
        <v>115</v>
      </c>
      <c r="CH16" s="50" t="s">
        <v>116</v>
      </c>
      <c r="CI16" s="50" t="s">
        <v>117</v>
      </c>
      <c r="CJ16" s="50" t="s">
        <v>118</v>
      </c>
      <c r="CK16" s="51" t="s">
        <v>119</v>
      </c>
      <c r="CL16" s="50" t="s">
        <v>120</v>
      </c>
      <c r="CM16" s="50" t="s">
        <v>121</v>
      </c>
      <c r="CN16" s="50" t="s">
        <v>122</v>
      </c>
      <c r="CO16" s="50" t="s">
        <v>123</v>
      </c>
      <c r="CP16" s="50" t="s">
        <v>124</v>
      </c>
      <c r="CQ16" s="50" t="s">
        <v>125</v>
      </c>
      <c r="CR16" s="50" t="s">
        <v>126</v>
      </c>
      <c r="CS16" s="50" t="s">
        <v>127</v>
      </c>
      <c r="CT16" s="50" t="s">
        <v>128</v>
      </c>
      <c r="CU16" s="51" t="s">
        <v>129</v>
      </c>
      <c r="CV16" s="52" t="s">
        <v>130</v>
      </c>
      <c r="CW16" s="52" t="s">
        <v>131</v>
      </c>
      <c r="CX16" s="50" t="s">
        <v>132</v>
      </c>
      <c r="CY16" s="50" t="s">
        <v>133</v>
      </c>
      <c r="CZ16" s="50" t="s">
        <v>134</v>
      </c>
      <c r="DA16" s="50" t="s">
        <v>135</v>
      </c>
      <c r="DB16" s="50" t="s">
        <v>136</v>
      </c>
      <c r="DC16" s="50" t="s">
        <v>137</v>
      </c>
      <c r="DD16" s="51" t="s">
        <v>138</v>
      </c>
      <c r="DE16" s="53" t="s">
        <v>139</v>
      </c>
      <c r="DF16" s="53" t="s">
        <v>140</v>
      </c>
      <c r="DG16" s="50" t="s">
        <v>141</v>
      </c>
      <c r="DH16" s="50" t="s">
        <v>142</v>
      </c>
      <c r="DI16" s="50" t="s">
        <v>143</v>
      </c>
      <c r="DJ16" s="50" t="s">
        <v>144</v>
      </c>
      <c r="DK16" s="50" t="s">
        <v>145</v>
      </c>
      <c r="DL16" s="50" t="s">
        <v>146</v>
      </c>
      <c r="DM16" s="51" t="s">
        <v>147</v>
      </c>
      <c r="DN16" s="50" t="s">
        <v>148</v>
      </c>
      <c r="DO16" s="50" t="s">
        <v>149</v>
      </c>
      <c r="DP16" s="50" t="s">
        <v>150</v>
      </c>
      <c r="DQ16" s="50" t="s">
        <v>151</v>
      </c>
      <c r="DR16" s="50" t="s">
        <v>152</v>
      </c>
      <c r="DS16" s="50" t="s">
        <v>153</v>
      </c>
      <c r="DT16" s="50" t="s">
        <v>154</v>
      </c>
      <c r="DU16" s="50" t="s">
        <v>155</v>
      </c>
      <c r="DV16" s="50" t="s">
        <v>156</v>
      </c>
      <c r="DW16" s="50" t="s">
        <v>157</v>
      </c>
      <c r="DX16" s="50" t="s">
        <v>158</v>
      </c>
      <c r="DY16" s="50" t="s">
        <v>159</v>
      </c>
      <c r="DZ16" s="51" t="s">
        <v>160</v>
      </c>
      <c r="EA16" s="52" t="s">
        <v>161</v>
      </c>
      <c r="EB16" s="52" t="s">
        <v>162</v>
      </c>
      <c r="EC16" s="50" t="s">
        <v>163</v>
      </c>
      <c r="ED16" s="50" t="s">
        <v>164</v>
      </c>
      <c r="EE16" s="50" t="s">
        <v>165</v>
      </c>
      <c r="EF16" s="50" t="s">
        <v>166</v>
      </c>
      <c r="EG16" s="50" t="s">
        <v>167</v>
      </c>
      <c r="EH16" s="50" t="s">
        <v>168</v>
      </c>
      <c r="EI16" s="51" t="s">
        <v>169</v>
      </c>
      <c r="EJ16" s="53" t="s">
        <v>170</v>
      </c>
      <c r="EK16" s="53" t="s">
        <v>171</v>
      </c>
      <c r="EL16" s="50" t="s">
        <v>172</v>
      </c>
      <c r="EM16" s="50" t="s">
        <v>173</v>
      </c>
      <c r="EN16" s="50" t="s">
        <v>174</v>
      </c>
      <c r="EO16" s="50" t="s">
        <v>175</v>
      </c>
      <c r="EP16" s="50" t="s">
        <v>176</v>
      </c>
      <c r="EQ16" s="50" t="s">
        <v>177</v>
      </c>
      <c r="ER16" s="51" t="s">
        <v>178</v>
      </c>
      <c r="ES16" s="52" t="s">
        <v>179</v>
      </c>
      <c r="ET16" s="52" t="s">
        <v>180</v>
      </c>
      <c r="EU16" s="52" t="s">
        <v>181</v>
      </c>
      <c r="EV16" s="52" t="s">
        <v>182</v>
      </c>
      <c r="EW16" s="52" t="s">
        <v>183</v>
      </c>
      <c r="EX16" s="50" t="s">
        <v>184</v>
      </c>
      <c r="EY16" s="50" t="s">
        <v>185</v>
      </c>
      <c r="EZ16" s="50" t="s">
        <v>186</v>
      </c>
      <c r="FA16" s="50" t="s">
        <v>187</v>
      </c>
      <c r="FB16" s="50" t="s">
        <v>188</v>
      </c>
      <c r="FC16" s="50" t="s">
        <v>189</v>
      </c>
      <c r="FD16" s="51" t="s">
        <v>190</v>
      </c>
      <c r="FE16" s="52" t="s">
        <v>191</v>
      </c>
      <c r="FF16" s="52" t="s">
        <v>192</v>
      </c>
      <c r="FG16" s="50" t="s">
        <v>193</v>
      </c>
      <c r="FH16" s="50" t="s">
        <v>194</v>
      </c>
      <c r="FI16" s="50" t="s">
        <v>195</v>
      </c>
      <c r="FJ16" s="50" t="s">
        <v>196</v>
      </c>
      <c r="FK16" s="50" t="s">
        <v>197</v>
      </c>
      <c r="FL16" s="50" t="s">
        <v>198</v>
      </c>
      <c r="FM16" s="51" t="s">
        <v>199</v>
      </c>
      <c r="FN16" s="53" t="s">
        <v>200</v>
      </c>
      <c r="FO16" s="53" t="s">
        <v>201</v>
      </c>
      <c r="FP16" s="50" t="s">
        <v>202</v>
      </c>
      <c r="FQ16" s="50" t="s">
        <v>203</v>
      </c>
      <c r="FR16" s="50" t="s">
        <v>204</v>
      </c>
      <c r="FS16" s="50" t="s">
        <v>205</v>
      </c>
      <c r="FT16" s="50" t="s">
        <v>206</v>
      </c>
      <c r="FU16" s="50" t="s">
        <v>207</v>
      </c>
      <c r="FV16" s="51" t="s">
        <v>208</v>
      </c>
      <c r="FW16" s="52" t="s">
        <v>209</v>
      </c>
      <c r="FX16" s="52" t="s">
        <v>210</v>
      </c>
      <c r="FY16" s="52" t="s">
        <v>211</v>
      </c>
      <c r="FZ16" s="52" t="s">
        <v>212</v>
      </c>
      <c r="GA16" s="52" t="s">
        <v>213</v>
      </c>
      <c r="GB16" s="52" t="s">
        <v>214</v>
      </c>
      <c r="GC16" s="50" t="s">
        <v>215</v>
      </c>
      <c r="GD16" s="50" t="s">
        <v>216</v>
      </c>
      <c r="GE16" s="50" t="s">
        <v>217</v>
      </c>
      <c r="GF16" s="50" t="s">
        <v>218</v>
      </c>
      <c r="GG16" s="50" t="s">
        <v>219</v>
      </c>
      <c r="GH16" s="50" t="s">
        <v>220</v>
      </c>
      <c r="GI16" s="51" t="s">
        <v>221</v>
      </c>
      <c r="GJ16" s="52" t="s">
        <v>222</v>
      </c>
      <c r="GK16" s="52" t="s">
        <v>223</v>
      </c>
      <c r="GL16" s="50" t="s">
        <v>224</v>
      </c>
      <c r="GM16" s="50" t="s">
        <v>225</v>
      </c>
      <c r="GN16" s="50" t="s">
        <v>226</v>
      </c>
      <c r="GO16" s="50" t="s">
        <v>227</v>
      </c>
      <c r="GP16" s="50" t="s">
        <v>228</v>
      </c>
      <c r="GQ16" s="50" t="s">
        <v>229</v>
      </c>
      <c r="GR16" s="51" t="s">
        <v>230</v>
      </c>
      <c r="GS16" s="53" t="s">
        <v>231</v>
      </c>
      <c r="GT16" s="53" t="s">
        <v>232</v>
      </c>
      <c r="GU16" s="50" t="s">
        <v>233</v>
      </c>
      <c r="GV16" s="50" t="s">
        <v>234</v>
      </c>
      <c r="GW16" s="50" t="s">
        <v>235</v>
      </c>
      <c r="GX16" s="50" t="s">
        <v>236</v>
      </c>
      <c r="GY16" s="50" t="s">
        <v>237</v>
      </c>
      <c r="GZ16" s="50" t="s">
        <v>238</v>
      </c>
      <c r="HA16" s="51" t="s">
        <v>239</v>
      </c>
      <c r="HB16" s="52" t="s">
        <v>240</v>
      </c>
      <c r="HC16" s="52" t="s">
        <v>241</v>
      </c>
      <c r="HD16" s="52" t="s">
        <v>242</v>
      </c>
      <c r="HE16" s="52" t="s">
        <v>243</v>
      </c>
      <c r="HF16" s="52" t="s">
        <v>244</v>
      </c>
      <c r="HG16" s="50" t="s">
        <v>245</v>
      </c>
      <c r="HH16" s="50" t="s">
        <v>246</v>
      </c>
      <c r="HI16" s="50" t="s">
        <v>247</v>
      </c>
      <c r="HJ16" s="50" t="s">
        <v>248</v>
      </c>
      <c r="HK16" s="50" t="s">
        <v>249</v>
      </c>
      <c r="HL16" s="50" t="s">
        <v>250</v>
      </c>
      <c r="HM16" s="51" t="s">
        <v>251</v>
      </c>
      <c r="HN16" s="52" t="s">
        <v>252</v>
      </c>
      <c r="HO16" s="52" t="s">
        <v>253</v>
      </c>
      <c r="HP16" s="50" t="s">
        <v>254</v>
      </c>
      <c r="HQ16" s="50" t="s">
        <v>255</v>
      </c>
      <c r="HR16" s="50" t="s">
        <v>256</v>
      </c>
      <c r="HS16" s="50" t="s">
        <v>257</v>
      </c>
      <c r="HT16" s="50" t="s">
        <v>258</v>
      </c>
      <c r="HU16" s="50" t="s">
        <v>259</v>
      </c>
      <c r="HV16" s="51" t="s">
        <v>260</v>
      </c>
      <c r="HW16" s="53" t="s">
        <v>261</v>
      </c>
      <c r="HX16" s="53" t="s">
        <v>262</v>
      </c>
      <c r="HY16" s="50" t="s">
        <v>263</v>
      </c>
      <c r="HZ16" s="50" t="s">
        <v>264</v>
      </c>
      <c r="IA16" s="50" t="s">
        <v>265</v>
      </c>
      <c r="IB16" s="50" t="s">
        <v>266</v>
      </c>
      <c r="IC16" s="50" t="s">
        <v>267</v>
      </c>
      <c r="ID16" s="50" t="s">
        <v>268</v>
      </c>
      <c r="IE16" s="51" t="s">
        <v>269</v>
      </c>
      <c r="IF16" s="52" t="s">
        <v>270</v>
      </c>
      <c r="IG16" s="52" t="s">
        <v>271</v>
      </c>
      <c r="IH16" s="52" t="s">
        <v>272</v>
      </c>
      <c r="II16" s="52" t="s">
        <v>273</v>
      </c>
      <c r="IJ16" s="52" t="s">
        <v>274</v>
      </c>
      <c r="IK16" s="52" t="s">
        <v>275</v>
      </c>
      <c r="IL16" s="50" t="s">
        <v>276</v>
      </c>
      <c r="IM16" s="50" t="s">
        <v>277</v>
      </c>
      <c r="IN16" s="50" t="s">
        <v>278</v>
      </c>
      <c r="IO16" s="50" t="s">
        <v>279</v>
      </c>
      <c r="IP16" s="50" t="s">
        <v>280</v>
      </c>
      <c r="IQ16" s="50" t="s">
        <v>281</v>
      </c>
      <c r="IR16" s="51" t="s">
        <v>282</v>
      </c>
      <c r="IS16" s="52" t="s">
        <v>283</v>
      </c>
      <c r="IT16" s="52" t="s">
        <v>284</v>
      </c>
      <c r="IU16" s="50" t="s">
        <v>285</v>
      </c>
      <c r="IV16" s="50" t="s">
        <v>286</v>
      </c>
      <c r="IW16" s="50" t="s">
        <v>287</v>
      </c>
      <c r="IX16" s="50" t="s">
        <v>288</v>
      </c>
      <c r="IY16" s="50" t="s">
        <v>289</v>
      </c>
      <c r="IZ16" s="50" t="s">
        <v>290</v>
      </c>
      <c r="JA16" s="51" t="s">
        <v>291</v>
      </c>
      <c r="JB16" s="53" t="s">
        <v>292</v>
      </c>
      <c r="JC16" s="53" t="s">
        <v>293</v>
      </c>
      <c r="JD16" s="50" t="s">
        <v>294</v>
      </c>
      <c r="JE16" s="50" t="s">
        <v>295</v>
      </c>
      <c r="JF16" s="50" t="s">
        <v>296</v>
      </c>
      <c r="JG16" s="50" t="s">
        <v>297</v>
      </c>
      <c r="JH16" s="50" t="s">
        <v>298</v>
      </c>
      <c r="JI16" s="50" t="s">
        <v>299</v>
      </c>
      <c r="JJ16" s="51" t="s">
        <v>300</v>
      </c>
      <c r="JK16" s="52" t="s">
        <v>301</v>
      </c>
      <c r="JL16" s="52" t="s">
        <v>302</v>
      </c>
      <c r="JM16" s="52" t="s">
        <v>303</v>
      </c>
      <c r="JN16" s="52" t="s">
        <v>304</v>
      </c>
      <c r="JO16" s="52" t="s">
        <v>305</v>
      </c>
      <c r="JP16" s="52" t="s">
        <v>306</v>
      </c>
      <c r="JQ16" s="50" t="s">
        <v>307</v>
      </c>
      <c r="JR16" s="50" t="s">
        <v>308</v>
      </c>
      <c r="JS16" s="50" t="s">
        <v>309</v>
      </c>
      <c r="JT16" s="50" t="s">
        <v>310</v>
      </c>
      <c r="JU16" s="50" t="s">
        <v>311</v>
      </c>
      <c r="JV16" s="50" t="s">
        <v>312</v>
      </c>
      <c r="JW16" s="51" t="s">
        <v>313</v>
      </c>
      <c r="JX16" s="52" t="s">
        <v>314</v>
      </c>
      <c r="JY16" s="52" t="s">
        <v>315</v>
      </c>
      <c r="JZ16" s="50" t="s">
        <v>316</v>
      </c>
      <c r="KA16" s="50" t="s">
        <v>317</v>
      </c>
      <c r="KB16" s="50" t="s">
        <v>318</v>
      </c>
      <c r="KC16" s="50" t="s">
        <v>319</v>
      </c>
      <c r="KD16" s="50" t="s">
        <v>320</v>
      </c>
      <c r="KE16" s="50" t="s">
        <v>321</v>
      </c>
      <c r="KF16" s="51" t="s">
        <v>322</v>
      </c>
      <c r="KG16" s="53" t="s">
        <v>323</v>
      </c>
      <c r="KH16" s="53" t="s">
        <v>324</v>
      </c>
      <c r="KI16" s="50" t="s">
        <v>325</v>
      </c>
      <c r="KJ16" s="50" t="s">
        <v>326</v>
      </c>
      <c r="KK16" s="50" t="s">
        <v>327</v>
      </c>
      <c r="KL16" s="50" t="s">
        <v>328</v>
      </c>
      <c r="KM16" s="50" t="s">
        <v>329</v>
      </c>
      <c r="KN16" s="50" t="s">
        <v>330</v>
      </c>
      <c r="KO16" s="51" t="s">
        <v>331</v>
      </c>
      <c r="KP16" s="52" t="s">
        <v>332</v>
      </c>
      <c r="KQ16" s="52" t="s">
        <v>333</v>
      </c>
      <c r="KR16" s="52" t="s">
        <v>334</v>
      </c>
      <c r="KS16" s="52" t="s">
        <v>335</v>
      </c>
      <c r="KT16" s="52" t="s">
        <v>336</v>
      </c>
      <c r="KU16" s="50" t="s">
        <v>337</v>
      </c>
      <c r="KV16" s="50" t="s">
        <v>338</v>
      </c>
      <c r="KW16" s="50" t="s">
        <v>339</v>
      </c>
      <c r="KX16" s="50" t="s">
        <v>340</v>
      </c>
      <c r="KY16" s="50" t="s">
        <v>341</v>
      </c>
      <c r="KZ16" s="50" t="s">
        <v>342</v>
      </c>
      <c r="LA16" s="51" t="s">
        <v>343</v>
      </c>
      <c r="LB16" s="52" t="s">
        <v>344</v>
      </c>
      <c r="LC16" s="52" t="s">
        <v>345</v>
      </c>
      <c r="LD16" s="50" t="s">
        <v>346</v>
      </c>
      <c r="LE16" s="50" t="s">
        <v>347</v>
      </c>
      <c r="LF16" s="50" t="s">
        <v>348</v>
      </c>
      <c r="LG16" s="50" t="s">
        <v>349</v>
      </c>
      <c r="LH16" s="50" t="s">
        <v>350</v>
      </c>
      <c r="LI16" s="50" t="s">
        <v>351</v>
      </c>
      <c r="LJ16" s="51" t="s">
        <v>352</v>
      </c>
      <c r="LK16" s="53" t="s">
        <v>353</v>
      </c>
      <c r="LL16" s="53" t="s">
        <v>354</v>
      </c>
      <c r="LM16" s="50" t="s">
        <v>355</v>
      </c>
      <c r="LN16" s="50" t="s">
        <v>356</v>
      </c>
      <c r="LO16" s="50" t="s">
        <v>357</v>
      </c>
      <c r="LP16" s="50" t="s">
        <v>358</v>
      </c>
      <c r="LQ16" s="50" t="s">
        <v>359</v>
      </c>
      <c r="LR16" s="50" t="s">
        <v>360</v>
      </c>
      <c r="LS16" s="51" t="s">
        <v>361</v>
      </c>
      <c r="LT16" s="52" t="s">
        <v>362</v>
      </c>
      <c r="LU16" s="52" t="s">
        <v>363</v>
      </c>
      <c r="LV16" s="52" t="s">
        <v>364</v>
      </c>
      <c r="LW16" s="52" t="s">
        <v>365</v>
      </c>
      <c r="LX16" s="52" t="s">
        <v>366</v>
      </c>
      <c r="LY16" s="52" t="s">
        <v>367</v>
      </c>
      <c r="LZ16" s="50" t="s">
        <v>368</v>
      </c>
      <c r="MA16" s="50" t="s">
        <v>369</v>
      </c>
      <c r="MB16" s="50" t="s">
        <v>370</v>
      </c>
      <c r="MC16" s="50" t="s">
        <v>371</v>
      </c>
      <c r="MD16" s="50" t="s">
        <v>372</v>
      </c>
      <c r="ME16" s="50" t="s">
        <v>373</v>
      </c>
      <c r="MF16" s="51" t="s">
        <v>374</v>
      </c>
      <c r="MG16" s="52" t="s">
        <v>375</v>
      </c>
      <c r="MH16" s="52" t="s">
        <v>376</v>
      </c>
      <c r="MI16" s="50" t="s">
        <v>377</v>
      </c>
      <c r="MJ16" s="50" t="s">
        <v>378</v>
      </c>
      <c r="MK16" s="50" t="s">
        <v>379</v>
      </c>
      <c r="ML16" s="50" t="s">
        <v>380</v>
      </c>
      <c r="MM16" s="50" t="s">
        <v>381</v>
      </c>
      <c r="MN16" s="50" t="s">
        <v>382</v>
      </c>
      <c r="MO16" s="51" t="s">
        <v>383</v>
      </c>
      <c r="MP16" s="53" t="s">
        <v>384</v>
      </c>
      <c r="MQ16" s="53" t="s">
        <v>385</v>
      </c>
      <c r="MR16" s="50" t="s">
        <v>386</v>
      </c>
      <c r="MS16" s="50" t="s">
        <v>387</v>
      </c>
      <c r="MT16" s="50" t="s">
        <v>388</v>
      </c>
      <c r="MU16" s="50" t="s">
        <v>389</v>
      </c>
      <c r="MV16" s="50" t="s">
        <v>390</v>
      </c>
      <c r="MW16" s="50" t="s">
        <v>391</v>
      </c>
      <c r="MX16" s="51" t="s">
        <v>392</v>
      </c>
      <c r="MY16" s="52" t="s">
        <v>393</v>
      </c>
      <c r="MZ16" s="52" t="s">
        <v>394</v>
      </c>
      <c r="NA16" s="52" t="s">
        <v>395</v>
      </c>
      <c r="NB16" s="52" t="s">
        <v>396</v>
      </c>
      <c r="NC16" s="52" t="s">
        <v>397</v>
      </c>
      <c r="ND16" s="50" t="s">
        <v>398</v>
      </c>
      <c r="NE16" s="50" t="s">
        <v>399</v>
      </c>
      <c r="NF16" s="50" t="s">
        <v>400</v>
      </c>
      <c r="NG16" s="50" t="s">
        <v>401</v>
      </c>
      <c r="NH16" s="50" t="s">
        <v>402</v>
      </c>
      <c r="NI16" s="50" t="s">
        <v>403</v>
      </c>
      <c r="NJ16" s="51" t="s">
        <v>404</v>
      </c>
      <c r="NK16" s="52" t="s">
        <v>405</v>
      </c>
      <c r="NL16" s="52" t="s">
        <v>406</v>
      </c>
      <c r="NM16" s="50" t="s">
        <v>407</v>
      </c>
      <c r="NN16" s="50" t="s">
        <v>408</v>
      </c>
      <c r="NO16" s="50" t="s">
        <v>409</v>
      </c>
      <c r="NP16" s="50" t="s">
        <v>410</v>
      </c>
      <c r="NQ16" s="50" t="s">
        <v>411</v>
      </c>
      <c r="NR16" s="50" t="s">
        <v>412</v>
      </c>
      <c r="NS16" s="51" t="s">
        <v>413</v>
      </c>
      <c r="NT16" s="53" t="s">
        <v>414</v>
      </c>
      <c r="NU16" s="53" t="s">
        <v>415</v>
      </c>
      <c r="NV16" s="50" t="s">
        <v>416</v>
      </c>
      <c r="NW16" s="50" t="s">
        <v>417</v>
      </c>
      <c r="NX16" s="50" t="s">
        <v>418</v>
      </c>
      <c r="NY16" s="50" t="s">
        <v>419</v>
      </c>
      <c r="NZ16" s="50" t="s">
        <v>420</v>
      </c>
      <c r="OA16" s="50" t="s">
        <v>421</v>
      </c>
      <c r="OB16" s="51" t="s">
        <v>422</v>
      </c>
      <c r="OC16" s="52" t="s">
        <v>423</v>
      </c>
      <c r="OD16" s="52" t="s">
        <v>424</v>
      </c>
      <c r="OE16" s="52" t="s">
        <v>425</v>
      </c>
      <c r="OF16" s="52" t="s">
        <v>426</v>
      </c>
      <c r="OG16" s="52" t="s">
        <v>427</v>
      </c>
      <c r="OH16" s="52" t="s">
        <v>428</v>
      </c>
      <c r="OI16" s="55"/>
      <c r="OJ16" s="56"/>
      <c r="OK16" s="56"/>
      <c r="OL16" s="56"/>
      <c r="OM16" s="56"/>
      <c r="ON16" s="56"/>
      <c r="OO16" s="56"/>
      <c r="OP16" s="56"/>
      <c r="OQ16" s="56"/>
      <c r="OR16" s="56"/>
      <c r="OS16" s="56"/>
      <c r="OT16" s="56"/>
      <c r="OU16" s="56"/>
      <c r="OV16" s="56"/>
      <c r="OW16" s="56"/>
      <c r="OX16" s="56"/>
      <c r="OY16" s="56"/>
      <c r="OZ16" s="56"/>
      <c r="PA16" s="56"/>
      <c r="PB16" s="56"/>
      <c r="PC16" s="56"/>
      <c r="PD16" s="56"/>
      <c r="PE16" s="56"/>
      <c r="PF16" s="56"/>
      <c r="PG16" s="56"/>
      <c r="PH16" s="56"/>
      <c r="PI16" s="56"/>
      <c r="PJ16" s="56"/>
      <c r="PK16" s="56"/>
      <c r="PL16" s="56"/>
      <c r="PM16" s="56"/>
      <c r="PN16" s="56"/>
      <c r="PO16" s="56"/>
      <c r="PP16" s="56"/>
      <c r="PQ16" s="56"/>
      <c r="PR16" s="56"/>
      <c r="PS16" s="56"/>
      <c r="PT16" s="56"/>
      <c r="PU16" s="57"/>
      <c r="PV16" s="57"/>
      <c r="PW16" s="57"/>
      <c r="PX16" s="57"/>
      <c r="PY16" s="57"/>
      <c r="PZ16" s="57"/>
      <c r="QA16" s="57"/>
      <c r="QB16" s="57"/>
      <c r="QC16" s="57"/>
      <c r="QD16" s="57"/>
      <c r="QE16" s="57"/>
      <c r="QF16" s="57"/>
      <c r="QG16" s="57"/>
      <c r="QH16" s="57"/>
      <c r="QI16" s="57"/>
    </row>
    <row r="17" spans="1:451" s="43" customFormat="1" ht="18.75" customHeight="1" x14ac:dyDescent="0.3">
      <c r="A17" s="61" t="s">
        <v>510</v>
      </c>
      <c r="B17" s="62" t="s">
        <v>429</v>
      </c>
      <c r="C17" s="37"/>
      <c r="D17" s="8">
        <v>1</v>
      </c>
      <c r="E17" s="8">
        <v>1</v>
      </c>
      <c r="F17" s="8">
        <v>1</v>
      </c>
      <c r="G17" s="8">
        <v>1</v>
      </c>
      <c r="H17" s="8">
        <v>1</v>
      </c>
      <c r="I17" s="8"/>
      <c r="J17" s="8"/>
      <c r="K17" s="8">
        <v>1</v>
      </c>
      <c r="L17" s="8">
        <v>1</v>
      </c>
      <c r="M17" s="8">
        <v>1</v>
      </c>
      <c r="N17" s="8">
        <v>1</v>
      </c>
      <c r="O17" s="8">
        <v>1</v>
      </c>
      <c r="P17" s="8"/>
      <c r="Q17" s="8"/>
      <c r="R17" s="8">
        <v>1</v>
      </c>
      <c r="S17" s="8">
        <v>1</v>
      </c>
      <c r="T17" s="8">
        <v>1</v>
      </c>
      <c r="U17" s="8">
        <v>1</v>
      </c>
      <c r="V17" s="8">
        <v>1</v>
      </c>
      <c r="W17" s="8"/>
      <c r="X17" s="8"/>
      <c r="Y17" s="8">
        <v>0</v>
      </c>
      <c r="Z17" s="8">
        <v>0</v>
      </c>
      <c r="AA17" s="8"/>
      <c r="AB17" s="8">
        <v>0</v>
      </c>
      <c r="AC17" s="8">
        <v>0</v>
      </c>
      <c r="AD17" s="8"/>
      <c r="AE17" s="8"/>
      <c r="AF17" s="8">
        <v>1</v>
      </c>
      <c r="AG17" s="8">
        <v>1</v>
      </c>
      <c r="AH17" s="38"/>
      <c r="AI17" s="8">
        <v>1</v>
      </c>
      <c r="AJ17" s="8">
        <v>1</v>
      </c>
      <c r="AK17" s="8"/>
      <c r="AL17" s="8"/>
      <c r="AM17" s="109">
        <v>1</v>
      </c>
      <c r="AN17" s="109">
        <v>1</v>
      </c>
      <c r="AO17" s="8">
        <v>1</v>
      </c>
      <c r="AP17" s="8">
        <v>1</v>
      </c>
      <c r="AQ17" s="8">
        <v>1</v>
      </c>
      <c r="AR17" s="39"/>
      <c r="AS17" s="39"/>
      <c r="AT17" s="8">
        <v>1</v>
      </c>
      <c r="AU17" s="8">
        <v>1</v>
      </c>
      <c r="AV17" s="8">
        <v>1</v>
      </c>
      <c r="AW17" s="8">
        <v>1</v>
      </c>
      <c r="AX17" s="8">
        <v>1</v>
      </c>
      <c r="AY17" s="39"/>
      <c r="AZ17" s="39"/>
      <c r="BA17" s="39">
        <v>1</v>
      </c>
      <c r="BB17" s="39">
        <v>1</v>
      </c>
      <c r="BC17" s="39">
        <v>1</v>
      </c>
      <c r="BD17" s="39">
        <v>1</v>
      </c>
      <c r="BE17" s="39">
        <v>1</v>
      </c>
      <c r="BF17" s="39"/>
      <c r="BG17" s="39"/>
      <c r="BH17" s="39">
        <v>1</v>
      </c>
      <c r="BI17" s="39">
        <v>1</v>
      </c>
      <c r="BJ17" s="39">
        <v>1</v>
      </c>
      <c r="BK17" s="39">
        <v>1</v>
      </c>
      <c r="BL17" s="39">
        <v>1</v>
      </c>
      <c r="BM17" s="40"/>
      <c r="BN17" s="40"/>
      <c r="BO17" s="8">
        <v>1</v>
      </c>
      <c r="BP17" s="8">
        <v>1</v>
      </c>
      <c r="BQ17" s="8">
        <v>1</v>
      </c>
      <c r="BR17" s="8">
        <v>1</v>
      </c>
      <c r="BS17" s="40">
        <v>1</v>
      </c>
      <c r="BT17" s="40"/>
      <c r="BU17" s="40"/>
      <c r="BV17" s="8">
        <v>1</v>
      </c>
      <c r="BW17" s="8">
        <v>1</v>
      </c>
      <c r="BX17" s="8">
        <v>1</v>
      </c>
      <c r="BY17" s="8">
        <v>1</v>
      </c>
      <c r="BZ17" s="40">
        <v>1</v>
      </c>
      <c r="CA17" s="40"/>
      <c r="CB17" s="40"/>
      <c r="CC17" s="8">
        <v>1</v>
      </c>
      <c r="CD17" s="8">
        <v>1</v>
      </c>
      <c r="CE17" s="8">
        <v>1</v>
      </c>
      <c r="CF17" s="8">
        <v>1</v>
      </c>
      <c r="CG17" s="40">
        <v>1</v>
      </c>
      <c r="CH17" s="40"/>
      <c r="CI17" s="40"/>
      <c r="CJ17" s="8">
        <v>1</v>
      </c>
      <c r="CK17" s="8">
        <v>1</v>
      </c>
      <c r="CL17" s="8">
        <v>1</v>
      </c>
      <c r="CM17" s="8">
        <v>1</v>
      </c>
      <c r="CN17" s="8">
        <v>1</v>
      </c>
      <c r="CO17" s="40"/>
      <c r="CP17" s="40"/>
      <c r="CQ17" s="8">
        <v>1</v>
      </c>
      <c r="CR17" s="8">
        <v>1</v>
      </c>
      <c r="CS17" s="8">
        <v>1</v>
      </c>
      <c r="CT17" s="8">
        <v>1</v>
      </c>
      <c r="CU17" s="8">
        <v>1</v>
      </c>
      <c r="CV17" s="40"/>
      <c r="CW17" s="40"/>
      <c r="CX17" s="8">
        <v>1</v>
      </c>
      <c r="CY17" s="8">
        <v>1</v>
      </c>
      <c r="CZ17" s="8">
        <v>1</v>
      </c>
      <c r="DA17" s="8">
        <v>1</v>
      </c>
      <c r="DB17" s="40">
        <v>1</v>
      </c>
      <c r="DC17" s="40"/>
      <c r="DD17" s="40"/>
      <c r="DE17" s="8">
        <v>1</v>
      </c>
      <c r="DF17" s="8">
        <v>1</v>
      </c>
      <c r="DG17" s="8">
        <v>1</v>
      </c>
      <c r="DH17" s="8">
        <v>1</v>
      </c>
      <c r="DI17" s="40">
        <v>1</v>
      </c>
      <c r="DJ17" s="40"/>
      <c r="DK17" s="40"/>
      <c r="DL17" s="8">
        <v>1</v>
      </c>
      <c r="DM17" s="8">
        <v>1</v>
      </c>
      <c r="DN17" s="8">
        <v>1</v>
      </c>
      <c r="DO17" s="8">
        <v>1</v>
      </c>
      <c r="DP17" s="40">
        <v>1</v>
      </c>
      <c r="DQ17" s="41"/>
      <c r="DR17" s="41"/>
      <c r="DS17" s="8">
        <v>1</v>
      </c>
      <c r="DT17" s="8">
        <v>1</v>
      </c>
      <c r="DU17" s="8">
        <v>1</v>
      </c>
      <c r="DV17" s="8">
        <v>1</v>
      </c>
      <c r="DW17" s="40">
        <v>1</v>
      </c>
      <c r="DX17" s="41"/>
      <c r="DY17" s="41"/>
      <c r="DZ17" s="8">
        <v>1</v>
      </c>
      <c r="EA17" s="8">
        <v>1</v>
      </c>
      <c r="EB17" s="8">
        <v>1</v>
      </c>
      <c r="EC17" s="8">
        <v>1</v>
      </c>
      <c r="ED17" s="40">
        <v>1</v>
      </c>
      <c r="EE17" s="41"/>
      <c r="EF17" s="41"/>
      <c r="EG17" s="8">
        <v>1</v>
      </c>
      <c r="EH17" s="8">
        <v>1</v>
      </c>
      <c r="EI17" s="8">
        <v>1</v>
      </c>
      <c r="EJ17" s="8">
        <v>1</v>
      </c>
      <c r="EK17" s="40">
        <v>1</v>
      </c>
      <c r="EL17" s="41"/>
      <c r="EM17" s="41"/>
      <c r="EN17" s="38"/>
      <c r="EO17" s="8">
        <v>1</v>
      </c>
      <c r="EP17" s="8">
        <v>1</v>
      </c>
      <c r="EQ17" s="8">
        <v>1</v>
      </c>
      <c r="ER17" s="40">
        <v>1</v>
      </c>
      <c r="ES17" s="41"/>
      <c r="ET17" s="41"/>
      <c r="EU17" s="8">
        <v>1</v>
      </c>
      <c r="EV17" s="8">
        <v>1</v>
      </c>
      <c r="EW17" s="40">
        <v>1</v>
      </c>
      <c r="EX17" s="38"/>
      <c r="EY17" s="40">
        <v>1</v>
      </c>
      <c r="EZ17" s="41"/>
      <c r="FA17" s="41"/>
      <c r="FB17" s="8">
        <v>1</v>
      </c>
      <c r="FC17" s="8">
        <v>1</v>
      </c>
      <c r="FD17" s="40">
        <v>1</v>
      </c>
      <c r="FE17" s="38"/>
      <c r="FF17" s="40">
        <v>1</v>
      </c>
      <c r="FG17" s="41"/>
      <c r="FH17" s="41"/>
      <c r="FI17" s="41">
        <v>1</v>
      </c>
      <c r="FJ17" s="41">
        <v>1</v>
      </c>
      <c r="FK17" s="41">
        <v>1</v>
      </c>
      <c r="FL17" s="41">
        <v>1</v>
      </c>
      <c r="FM17" s="41">
        <v>1</v>
      </c>
      <c r="FN17" s="41"/>
      <c r="FO17" s="41"/>
      <c r="FP17" s="8">
        <v>1</v>
      </c>
      <c r="FQ17" s="8">
        <v>1</v>
      </c>
      <c r="FR17" s="8">
        <v>1</v>
      </c>
      <c r="FS17" s="8">
        <v>1</v>
      </c>
      <c r="FT17" s="40">
        <v>1</v>
      </c>
      <c r="FU17" s="41"/>
      <c r="FV17" s="41"/>
      <c r="FW17" s="8">
        <v>1</v>
      </c>
      <c r="FX17" s="8">
        <v>1</v>
      </c>
      <c r="FY17" s="40">
        <v>1</v>
      </c>
      <c r="FZ17" s="38"/>
      <c r="GA17" s="41">
        <v>1</v>
      </c>
      <c r="GB17" s="41"/>
      <c r="GC17" s="41"/>
      <c r="GD17" s="8">
        <v>1</v>
      </c>
      <c r="GE17" s="8">
        <v>1</v>
      </c>
      <c r="GF17" s="8">
        <v>1</v>
      </c>
      <c r="GG17" s="8">
        <v>1</v>
      </c>
      <c r="GH17" s="40">
        <v>1</v>
      </c>
      <c r="GI17" s="41"/>
      <c r="GJ17" s="41"/>
      <c r="GK17" s="38"/>
      <c r="GL17" s="8">
        <v>1</v>
      </c>
      <c r="GM17" s="8">
        <v>1</v>
      </c>
      <c r="GN17" s="8">
        <v>1</v>
      </c>
      <c r="GO17" s="8">
        <v>1</v>
      </c>
      <c r="GP17" s="41"/>
      <c r="GQ17" s="41"/>
      <c r="GR17" s="8">
        <v>1</v>
      </c>
      <c r="GS17" s="8">
        <v>1</v>
      </c>
      <c r="GT17" s="8">
        <v>1</v>
      </c>
      <c r="GU17" s="8">
        <v>1</v>
      </c>
      <c r="GV17" s="40">
        <v>1</v>
      </c>
      <c r="GW17" s="41"/>
      <c r="GX17" s="41"/>
      <c r="GY17" s="8">
        <v>1</v>
      </c>
      <c r="GZ17" s="8">
        <v>1</v>
      </c>
      <c r="HA17" s="8">
        <v>1</v>
      </c>
      <c r="HB17" s="8">
        <v>1</v>
      </c>
      <c r="HC17" s="40">
        <v>1</v>
      </c>
      <c r="HD17" s="41"/>
      <c r="HE17" s="41"/>
      <c r="HF17" s="8">
        <v>1</v>
      </c>
      <c r="HG17" s="8">
        <v>1</v>
      </c>
      <c r="HH17" s="8">
        <v>1</v>
      </c>
      <c r="HI17" s="8">
        <v>1</v>
      </c>
      <c r="HJ17" s="40">
        <v>1</v>
      </c>
      <c r="HK17" s="41"/>
      <c r="HL17" s="41"/>
      <c r="HM17" s="8">
        <v>1</v>
      </c>
      <c r="HN17" s="8">
        <v>1</v>
      </c>
      <c r="HO17" s="8">
        <v>1</v>
      </c>
      <c r="HP17" s="8">
        <v>1</v>
      </c>
      <c r="HQ17" s="40">
        <v>1</v>
      </c>
      <c r="HR17" s="41"/>
      <c r="HS17" s="41"/>
      <c r="HT17" s="38"/>
      <c r="HU17" s="8">
        <v>1</v>
      </c>
      <c r="HV17" s="8">
        <v>1</v>
      </c>
      <c r="HW17" s="8">
        <v>1</v>
      </c>
      <c r="HX17" s="40">
        <v>1</v>
      </c>
      <c r="HY17" s="41"/>
      <c r="HZ17" s="41"/>
      <c r="IA17" s="8">
        <v>1</v>
      </c>
      <c r="IB17" s="8">
        <v>1</v>
      </c>
      <c r="IC17" s="8">
        <v>1</v>
      </c>
      <c r="ID17" s="8">
        <v>1</v>
      </c>
      <c r="IE17" s="40">
        <v>1</v>
      </c>
      <c r="IF17" s="41"/>
      <c r="IG17" s="41"/>
      <c r="IH17" s="8">
        <v>1</v>
      </c>
      <c r="II17" s="8">
        <v>1</v>
      </c>
      <c r="IJ17" s="8">
        <v>1</v>
      </c>
      <c r="IK17" s="8">
        <v>1</v>
      </c>
      <c r="IL17" s="40">
        <v>1</v>
      </c>
      <c r="IM17" s="41"/>
      <c r="IN17" s="41"/>
      <c r="IO17" s="8">
        <v>1</v>
      </c>
      <c r="IP17" s="8">
        <v>1</v>
      </c>
      <c r="IQ17" s="8">
        <v>1</v>
      </c>
      <c r="IR17" s="8">
        <v>1</v>
      </c>
      <c r="IS17" s="40">
        <v>1</v>
      </c>
      <c r="IT17" s="41"/>
      <c r="IU17" s="41"/>
      <c r="IV17" s="8">
        <v>1</v>
      </c>
      <c r="IW17" s="8">
        <v>1</v>
      </c>
      <c r="IX17" s="8">
        <v>1</v>
      </c>
      <c r="IY17" s="40">
        <v>1</v>
      </c>
      <c r="IZ17" s="38"/>
      <c r="JA17" s="41"/>
      <c r="JB17" s="41"/>
      <c r="JC17" s="8">
        <v>1</v>
      </c>
      <c r="JD17" s="8">
        <v>1</v>
      </c>
      <c r="JE17" s="8">
        <v>1</v>
      </c>
      <c r="JF17" s="8">
        <v>1</v>
      </c>
      <c r="JG17" s="40">
        <v>1</v>
      </c>
      <c r="JH17" s="41"/>
      <c r="JI17" s="41"/>
      <c r="JJ17" s="8">
        <v>1</v>
      </c>
      <c r="JK17" s="8">
        <v>1</v>
      </c>
      <c r="JL17" s="8">
        <v>1</v>
      </c>
      <c r="JM17" s="8">
        <v>1</v>
      </c>
      <c r="JN17" s="40">
        <v>1</v>
      </c>
      <c r="JO17" s="41"/>
      <c r="JP17" s="41"/>
      <c r="JQ17" s="8">
        <v>1</v>
      </c>
      <c r="JR17" s="8">
        <v>1</v>
      </c>
      <c r="JS17" s="8">
        <v>1</v>
      </c>
      <c r="JT17" s="8">
        <v>1</v>
      </c>
      <c r="JU17" s="40">
        <v>1</v>
      </c>
      <c r="JV17" s="41"/>
      <c r="JW17" s="41"/>
      <c r="JX17" s="8">
        <v>1</v>
      </c>
      <c r="JY17" s="8">
        <v>1</v>
      </c>
      <c r="JZ17" s="8">
        <v>1</v>
      </c>
      <c r="KA17" s="8">
        <v>1</v>
      </c>
      <c r="KB17" s="40">
        <v>1</v>
      </c>
      <c r="KC17" s="41"/>
      <c r="KD17" s="41"/>
      <c r="KE17" s="8">
        <v>1</v>
      </c>
      <c r="KF17" s="8">
        <v>1</v>
      </c>
      <c r="KG17" s="8">
        <v>1</v>
      </c>
      <c r="KH17" s="8">
        <v>1</v>
      </c>
      <c r="KI17" s="40">
        <v>1</v>
      </c>
      <c r="KJ17" s="41"/>
      <c r="KK17" s="41"/>
      <c r="KL17" s="8">
        <v>1</v>
      </c>
      <c r="KM17" s="8">
        <v>1</v>
      </c>
      <c r="KN17" s="8">
        <v>1</v>
      </c>
      <c r="KO17" s="8">
        <v>1</v>
      </c>
      <c r="KP17" s="8">
        <v>1</v>
      </c>
      <c r="KQ17" s="41"/>
      <c r="KR17" s="41"/>
      <c r="KS17" s="8">
        <v>1</v>
      </c>
      <c r="KT17" s="8">
        <v>1</v>
      </c>
      <c r="KU17" s="8">
        <v>1</v>
      </c>
      <c r="KV17" s="8">
        <v>1</v>
      </c>
      <c r="KW17" s="40">
        <v>1</v>
      </c>
      <c r="KX17" s="41"/>
      <c r="KY17" s="41"/>
      <c r="KZ17" s="8">
        <v>1</v>
      </c>
      <c r="LA17" s="8">
        <v>1</v>
      </c>
      <c r="LB17" s="8">
        <v>1</v>
      </c>
      <c r="LC17" s="8">
        <v>1</v>
      </c>
      <c r="LD17" s="40">
        <v>1</v>
      </c>
      <c r="LE17" s="41"/>
      <c r="LF17" s="41"/>
      <c r="LG17" s="8">
        <v>1</v>
      </c>
      <c r="LH17" s="8">
        <v>1</v>
      </c>
      <c r="LI17" s="8">
        <v>1</v>
      </c>
      <c r="LJ17" s="8">
        <v>1</v>
      </c>
      <c r="LK17" s="40">
        <v>1</v>
      </c>
      <c r="LL17" s="41"/>
      <c r="LM17" s="41"/>
      <c r="LN17" s="8">
        <v>1</v>
      </c>
      <c r="LO17" s="8">
        <v>1</v>
      </c>
      <c r="LP17" s="8">
        <v>1</v>
      </c>
      <c r="LQ17" s="8">
        <v>1</v>
      </c>
      <c r="LR17" s="40">
        <v>1</v>
      </c>
      <c r="LS17" s="41"/>
      <c r="LT17" s="41"/>
      <c r="LU17" s="8">
        <v>1</v>
      </c>
      <c r="LV17" s="8">
        <v>1</v>
      </c>
      <c r="LW17" s="8">
        <v>1</v>
      </c>
      <c r="LX17" s="8">
        <v>1</v>
      </c>
      <c r="LY17" s="40">
        <v>1</v>
      </c>
      <c r="LZ17" s="41"/>
      <c r="MA17" s="41"/>
      <c r="MB17" s="8">
        <v>1</v>
      </c>
      <c r="MC17" s="8">
        <v>1</v>
      </c>
      <c r="MD17" s="8">
        <v>1</v>
      </c>
      <c r="ME17" s="8">
        <v>1</v>
      </c>
      <c r="MF17" s="40">
        <v>1</v>
      </c>
      <c r="MG17" s="41"/>
      <c r="MH17" s="41"/>
      <c r="MI17" s="8">
        <v>1</v>
      </c>
      <c r="MJ17" s="8">
        <v>1</v>
      </c>
      <c r="MK17" s="8">
        <v>1</v>
      </c>
      <c r="ML17" s="8">
        <v>1</v>
      </c>
      <c r="MM17" s="40">
        <v>1</v>
      </c>
      <c r="MN17" s="41"/>
      <c r="MO17" s="41"/>
      <c r="MP17" s="8">
        <v>1</v>
      </c>
      <c r="MQ17" s="8">
        <v>1</v>
      </c>
      <c r="MR17" s="8">
        <v>1</v>
      </c>
      <c r="MS17" s="8">
        <v>1</v>
      </c>
      <c r="MT17" s="40">
        <v>1</v>
      </c>
      <c r="MU17" s="41"/>
      <c r="MV17" s="41"/>
      <c r="MW17" s="8">
        <v>1</v>
      </c>
      <c r="MX17" s="8">
        <v>1</v>
      </c>
      <c r="MY17" s="8">
        <v>1</v>
      </c>
      <c r="MZ17" s="8">
        <v>1</v>
      </c>
      <c r="NA17" s="40">
        <v>1</v>
      </c>
      <c r="NB17" s="41"/>
      <c r="NC17" s="41"/>
      <c r="ND17" s="8">
        <v>1</v>
      </c>
      <c r="NE17" s="8">
        <v>1</v>
      </c>
      <c r="NF17" s="8">
        <v>1</v>
      </c>
      <c r="NG17" s="8">
        <v>1</v>
      </c>
      <c r="NH17" s="40">
        <v>1</v>
      </c>
      <c r="NI17" s="41"/>
      <c r="NJ17" s="41"/>
      <c r="NK17" s="8">
        <v>1</v>
      </c>
      <c r="NL17" s="8">
        <v>1</v>
      </c>
      <c r="NM17" s="8">
        <v>1</v>
      </c>
      <c r="NN17" s="8">
        <v>1</v>
      </c>
      <c r="NO17" s="40">
        <v>1</v>
      </c>
      <c r="NP17" s="40"/>
      <c r="NQ17" s="40"/>
      <c r="NR17" s="8">
        <v>1</v>
      </c>
      <c r="NS17" s="8">
        <v>1</v>
      </c>
      <c r="NT17" s="8">
        <v>1</v>
      </c>
      <c r="NU17" s="8">
        <v>1</v>
      </c>
      <c r="NV17" s="40">
        <v>1</v>
      </c>
      <c r="NW17" s="40"/>
      <c r="NX17" s="40"/>
      <c r="NY17" s="8">
        <v>1</v>
      </c>
      <c r="NZ17" s="8">
        <v>1</v>
      </c>
      <c r="OA17" s="8">
        <v>1</v>
      </c>
      <c r="OB17" s="8"/>
      <c r="OC17" s="40">
        <v>1</v>
      </c>
      <c r="OD17" s="41"/>
      <c r="OE17" s="41"/>
      <c r="OF17" s="8">
        <v>1</v>
      </c>
      <c r="OG17" s="8">
        <v>1</v>
      </c>
      <c r="OH17" s="40">
        <v>1</v>
      </c>
      <c r="OI17" s="32"/>
      <c r="OJ17" s="33"/>
      <c r="OK17" s="33"/>
      <c r="OL17" s="33"/>
      <c r="OM17" s="33"/>
      <c r="ON17" s="33"/>
      <c r="OO17" s="33"/>
      <c r="OP17" s="33"/>
      <c r="OQ17" s="33"/>
      <c r="OR17" s="33"/>
      <c r="OS17" s="33"/>
      <c r="OT17" s="33"/>
      <c r="OU17" s="33"/>
      <c r="OV17" s="33"/>
      <c r="OW17" s="33"/>
      <c r="OX17" s="33"/>
      <c r="OY17" s="33"/>
      <c r="OZ17" s="33"/>
      <c r="PA17" s="33"/>
      <c r="PB17" s="33"/>
      <c r="PC17" s="33"/>
      <c r="PD17" s="33"/>
      <c r="PE17" s="33"/>
      <c r="PF17" s="33"/>
      <c r="PG17" s="33"/>
      <c r="PH17" s="33"/>
      <c r="PI17" s="33"/>
      <c r="PJ17" s="33"/>
      <c r="PK17" s="33"/>
      <c r="PL17" s="33"/>
      <c r="PM17" s="33"/>
      <c r="PN17" s="33"/>
      <c r="PO17" s="33"/>
      <c r="PP17" s="33"/>
      <c r="PQ17" s="33"/>
      <c r="PR17" s="33"/>
      <c r="PS17" s="33"/>
      <c r="PT17" s="33"/>
      <c r="PU17" s="42"/>
      <c r="PV17" s="42"/>
      <c r="PW17" s="42"/>
      <c r="PX17" s="42"/>
      <c r="PY17" s="42"/>
      <c r="PZ17" s="42"/>
      <c r="QA17" s="42"/>
      <c r="QB17" s="42"/>
      <c r="QC17" s="42"/>
      <c r="QD17" s="42"/>
      <c r="QE17" s="42"/>
      <c r="QF17" s="42"/>
      <c r="QG17" s="42"/>
      <c r="QH17" s="42"/>
      <c r="QI17" s="42"/>
    </row>
    <row r="18" spans="1:451" s="43" customFormat="1" ht="18.75" customHeight="1" x14ac:dyDescent="0.35">
      <c r="A18" s="61" t="s">
        <v>511</v>
      </c>
      <c r="B18" s="62" t="s">
        <v>430</v>
      </c>
      <c r="C18" s="44"/>
      <c r="D18" s="8">
        <v>1</v>
      </c>
      <c r="E18" s="8">
        <v>1</v>
      </c>
      <c r="F18" s="8">
        <v>1</v>
      </c>
      <c r="G18" s="8">
        <v>1</v>
      </c>
      <c r="H18" s="8">
        <v>1</v>
      </c>
      <c r="I18" s="7"/>
      <c r="J18" s="7"/>
      <c r="K18" s="8">
        <v>1</v>
      </c>
      <c r="L18" s="8">
        <v>1</v>
      </c>
      <c r="M18" s="8">
        <v>1</v>
      </c>
      <c r="N18" s="8">
        <v>1</v>
      </c>
      <c r="O18" s="8">
        <v>1</v>
      </c>
      <c r="P18" s="7"/>
      <c r="Q18" s="7"/>
      <c r="R18" s="8">
        <v>1</v>
      </c>
      <c r="S18" s="8">
        <v>1</v>
      </c>
      <c r="T18" s="8">
        <v>1</v>
      </c>
      <c r="U18" s="8">
        <v>1</v>
      </c>
      <c r="V18" s="8">
        <v>1</v>
      </c>
      <c r="W18" s="7"/>
      <c r="X18" s="7"/>
      <c r="Y18" s="8">
        <v>1</v>
      </c>
      <c r="Z18" s="8">
        <v>1</v>
      </c>
      <c r="AA18" s="8"/>
      <c r="AB18" s="8">
        <v>1</v>
      </c>
      <c r="AC18" s="8">
        <v>1</v>
      </c>
      <c r="AD18" s="7"/>
      <c r="AE18" s="7"/>
      <c r="AF18" s="8">
        <v>1</v>
      </c>
      <c r="AG18" s="8">
        <v>1</v>
      </c>
      <c r="AH18" s="38"/>
      <c r="AI18" s="8">
        <v>1</v>
      </c>
      <c r="AJ18" s="8">
        <v>1</v>
      </c>
      <c r="AK18" s="8"/>
      <c r="AL18" s="8"/>
      <c r="AM18" s="109">
        <v>1</v>
      </c>
      <c r="AN18" s="109">
        <v>1</v>
      </c>
      <c r="AO18" s="8">
        <v>1</v>
      </c>
      <c r="AP18" s="8">
        <v>1</v>
      </c>
      <c r="AQ18" s="8">
        <v>1</v>
      </c>
      <c r="AR18" s="39"/>
      <c r="AS18" s="39"/>
      <c r="AT18" s="8">
        <v>1</v>
      </c>
      <c r="AU18" s="8">
        <v>1</v>
      </c>
      <c r="AV18" s="8">
        <v>1</v>
      </c>
      <c r="AW18" s="8">
        <v>1</v>
      </c>
      <c r="AX18" s="8">
        <v>1</v>
      </c>
      <c r="AY18" s="39"/>
      <c r="AZ18" s="39"/>
      <c r="BA18" s="39">
        <v>1</v>
      </c>
      <c r="BB18" s="39">
        <v>1</v>
      </c>
      <c r="BC18" s="39">
        <v>1</v>
      </c>
      <c r="BD18" s="39">
        <v>1</v>
      </c>
      <c r="BE18" s="39">
        <v>1</v>
      </c>
      <c r="BF18" s="39"/>
      <c r="BG18" s="39"/>
      <c r="BH18" s="39">
        <v>1</v>
      </c>
      <c r="BI18" s="39">
        <v>1</v>
      </c>
      <c r="BJ18" s="39">
        <v>1</v>
      </c>
      <c r="BK18" s="39">
        <v>1</v>
      </c>
      <c r="BL18" s="39">
        <v>1</v>
      </c>
      <c r="BM18" s="40"/>
      <c r="BN18" s="40"/>
      <c r="BO18" s="8">
        <v>1</v>
      </c>
      <c r="BP18" s="8">
        <v>1</v>
      </c>
      <c r="BQ18" s="8">
        <v>1</v>
      </c>
      <c r="BR18" s="8">
        <v>1</v>
      </c>
      <c r="BS18" s="8">
        <v>1</v>
      </c>
      <c r="BT18" s="40"/>
      <c r="BU18" s="40"/>
      <c r="BV18" s="8">
        <v>1</v>
      </c>
      <c r="BW18" s="8">
        <v>1</v>
      </c>
      <c r="BX18" s="8">
        <v>1</v>
      </c>
      <c r="BY18" s="8">
        <v>1</v>
      </c>
      <c r="BZ18" s="8">
        <v>1</v>
      </c>
      <c r="CA18" s="40"/>
      <c r="CB18" s="40"/>
      <c r="CC18" s="8">
        <v>1</v>
      </c>
      <c r="CD18" s="8">
        <v>1</v>
      </c>
      <c r="CE18" s="8">
        <v>1</v>
      </c>
      <c r="CF18" s="8">
        <v>1</v>
      </c>
      <c r="CG18" s="8">
        <v>1</v>
      </c>
      <c r="CH18" s="40"/>
      <c r="CI18" s="40"/>
      <c r="CJ18" s="8">
        <v>1</v>
      </c>
      <c r="CK18" s="8">
        <v>1</v>
      </c>
      <c r="CL18" s="8">
        <v>1</v>
      </c>
      <c r="CM18" s="8">
        <v>1</v>
      </c>
      <c r="CN18" s="8">
        <v>1</v>
      </c>
      <c r="CO18" s="40"/>
      <c r="CP18" s="40"/>
      <c r="CQ18" s="8">
        <v>1</v>
      </c>
      <c r="CR18" s="8">
        <v>1</v>
      </c>
      <c r="CS18" s="8">
        <v>1</v>
      </c>
      <c r="CT18" s="8">
        <v>1</v>
      </c>
      <c r="CU18" s="8">
        <v>1</v>
      </c>
      <c r="CV18" s="40"/>
      <c r="CW18" s="40"/>
      <c r="CX18" s="8">
        <v>1</v>
      </c>
      <c r="CY18" s="8">
        <v>1</v>
      </c>
      <c r="CZ18" s="8">
        <v>1</v>
      </c>
      <c r="DA18" s="8">
        <v>1</v>
      </c>
      <c r="DB18" s="8">
        <v>1</v>
      </c>
      <c r="DC18" s="40"/>
      <c r="DD18" s="40"/>
      <c r="DE18" s="8">
        <v>1</v>
      </c>
      <c r="DF18" s="8">
        <v>1</v>
      </c>
      <c r="DG18" s="8">
        <v>1</v>
      </c>
      <c r="DH18" s="8">
        <v>1</v>
      </c>
      <c r="DI18" s="8">
        <v>1</v>
      </c>
      <c r="DJ18" s="40"/>
      <c r="DK18" s="40"/>
      <c r="DL18" s="8">
        <v>1</v>
      </c>
      <c r="DM18" s="8">
        <v>1</v>
      </c>
      <c r="DN18" s="8">
        <v>1</v>
      </c>
      <c r="DO18" s="8">
        <v>1</v>
      </c>
      <c r="DP18" s="8">
        <v>1</v>
      </c>
      <c r="DQ18" s="41"/>
      <c r="DR18" s="41"/>
      <c r="DS18" s="8">
        <v>1</v>
      </c>
      <c r="DT18" s="8">
        <v>1</v>
      </c>
      <c r="DU18" s="8">
        <v>1</v>
      </c>
      <c r="DV18" s="8">
        <v>1</v>
      </c>
      <c r="DW18" s="8">
        <v>1</v>
      </c>
      <c r="DX18" s="41"/>
      <c r="DY18" s="41"/>
      <c r="DZ18" s="8">
        <v>1</v>
      </c>
      <c r="EA18" s="8">
        <v>1</v>
      </c>
      <c r="EB18" s="8">
        <v>1</v>
      </c>
      <c r="EC18" s="8">
        <v>1</v>
      </c>
      <c r="ED18" s="8">
        <v>1</v>
      </c>
      <c r="EE18" s="41"/>
      <c r="EF18" s="41"/>
      <c r="EG18" s="8">
        <v>1</v>
      </c>
      <c r="EH18" s="8">
        <v>1</v>
      </c>
      <c r="EI18" s="8">
        <v>1</v>
      </c>
      <c r="EJ18" s="8">
        <v>1</v>
      </c>
      <c r="EK18" s="8">
        <v>1</v>
      </c>
      <c r="EL18" s="41"/>
      <c r="EM18" s="41"/>
      <c r="EN18" s="38"/>
      <c r="EO18" s="8">
        <v>1</v>
      </c>
      <c r="EP18" s="8">
        <v>1</v>
      </c>
      <c r="EQ18" s="8">
        <v>1</v>
      </c>
      <c r="ER18" s="8">
        <v>1</v>
      </c>
      <c r="ES18" s="41"/>
      <c r="ET18" s="41"/>
      <c r="EU18" s="8">
        <v>1</v>
      </c>
      <c r="EV18" s="8">
        <v>1</v>
      </c>
      <c r="EW18" s="8">
        <v>1</v>
      </c>
      <c r="EX18" s="38"/>
      <c r="EY18" s="8">
        <v>1</v>
      </c>
      <c r="EZ18" s="41"/>
      <c r="FA18" s="41"/>
      <c r="FB18" s="8">
        <v>1</v>
      </c>
      <c r="FC18" s="8">
        <v>1</v>
      </c>
      <c r="FD18" s="8">
        <v>1</v>
      </c>
      <c r="FE18" s="38"/>
      <c r="FF18" s="8">
        <v>1</v>
      </c>
      <c r="FG18" s="41"/>
      <c r="FH18" s="41"/>
      <c r="FI18" s="8">
        <v>1</v>
      </c>
      <c r="FJ18" s="8">
        <v>1</v>
      </c>
      <c r="FK18" s="8">
        <v>1</v>
      </c>
      <c r="FL18" s="8">
        <v>1</v>
      </c>
      <c r="FM18" s="40">
        <v>1</v>
      </c>
      <c r="FN18" s="41"/>
      <c r="FO18" s="41"/>
      <c r="FP18" s="8">
        <v>1</v>
      </c>
      <c r="FQ18" s="8">
        <v>1</v>
      </c>
      <c r="FR18" s="8">
        <v>1</v>
      </c>
      <c r="FS18" s="8">
        <v>1</v>
      </c>
      <c r="FT18" s="8">
        <v>1</v>
      </c>
      <c r="FU18" s="41"/>
      <c r="FV18" s="41"/>
      <c r="FW18" s="8">
        <v>1</v>
      </c>
      <c r="FX18" s="8">
        <v>1</v>
      </c>
      <c r="FY18" s="8">
        <v>1</v>
      </c>
      <c r="FZ18" s="38"/>
      <c r="GA18" s="40">
        <v>1</v>
      </c>
      <c r="GB18" s="41"/>
      <c r="GC18" s="41"/>
      <c r="GD18" s="8">
        <v>1</v>
      </c>
      <c r="GE18" s="8">
        <v>1</v>
      </c>
      <c r="GF18" s="8">
        <v>1</v>
      </c>
      <c r="GG18" s="8">
        <v>1</v>
      </c>
      <c r="GH18" s="8">
        <v>1</v>
      </c>
      <c r="GI18" s="41"/>
      <c r="GJ18" s="41"/>
      <c r="GK18" s="38"/>
      <c r="GL18" s="8">
        <v>1</v>
      </c>
      <c r="GM18" s="8">
        <v>1</v>
      </c>
      <c r="GN18" s="8">
        <v>1</v>
      </c>
      <c r="GO18" s="8">
        <v>1</v>
      </c>
      <c r="GP18" s="41"/>
      <c r="GQ18" s="41"/>
      <c r="GR18" s="8">
        <v>1</v>
      </c>
      <c r="GS18" s="8">
        <v>1</v>
      </c>
      <c r="GT18" s="8">
        <v>1</v>
      </c>
      <c r="GU18" s="8">
        <v>1</v>
      </c>
      <c r="GV18" s="8">
        <v>1</v>
      </c>
      <c r="GW18" s="41"/>
      <c r="GX18" s="41"/>
      <c r="GY18" s="8">
        <v>1</v>
      </c>
      <c r="GZ18" s="8">
        <v>1</v>
      </c>
      <c r="HA18" s="8">
        <v>1</v>
      </c>
      <c r="HB18" s="8">
        <v>1</v>
      </c>
      <c r="HC18" s="8">
        <v>1</v>
      </c>
      <c r="HD18" s="41"/>
      <c r="HE18" s="41"/>
      <c r="HF18" s="8">
        <v>1</v>
      </c>
      <c r="HG18" s="8">
        <v>1</v>
      </c>
      <c r="HH18" s="8">
        <v>1</v>
      </c>
      <c r="HI18" s="8">
        <v>1</v>
      </c>
      <c r="HJ18" s="8">
        <v>1</v>
      </c>
      <c r="HK18" s="41"/>
      <c r="HL18" s="41"/>
      <c r="HM18" s="8">
        <v>1</v>
      </c>
      <c r="HN18" s="8">
        <v>1</v>
      </c>
      <c r="HO18" s="8">
        <v>1</v>
      </c>
      <c r="HP18" s="8">
        <v>1</v>
      </c>
      <c r="HQ18" s="8">
        <v>1</v>
      </c>
      <c r="HR18" s="41"/>
      <c r="HS18" s="41"/>
      <c r="HT18" s="38"/>
      <c r="HU18" s="8">
        <v>1</v>
      </c>
      <c r="HV18" s="8">
        <v>1</v>
      </c>
      <c r="HW18" s="8">
        <v>1</v>
      </c>
      <c r="HX18" s="8">
        <v>1</v>
      </c>
      <c r="HY18" s="41"/>
      <c r="HZ18" s="41"/>
      <c r="IA18" s="8">
        <v>1</v>
      </c>
      <c r="IB18" s="8">
        <v>1</v>
      </c>
      <c r="IC18" s="8">
        <v>1</v>
      </c>
      <c r="ID18" s="8">
        <v>1</v>
      </c>
      <c r="IE18" s="8">
        <v>1</v>
      </c>
      <c r="IF18" s="41"/>
      <c r="IG18" s="41"/>
      <c r="IH18" s="8">
        <v>1</v>
      </c>
      <c r="II18" s="8">
        <v>1</v>
      </c>
      <c r="IJ18" s="8">
        <v>1</v>
      </c>
      <c r="IK18" s="8">
        <v>1</v>
      </c>
      <c r="IL18" s="8">
        <v>1</v>
      </c>
      <c r="IM18" s="41"/>
      <c r="IN18" s="41"/>
      <c r="IO18" s="8">
        <v>1</v>
      </c>
      <c r="IP18" s="8">
        <v>1</v>
      </c>
      <c r="IQ18" s="8">
        <v>1</v>
      </c>
      <c r="IR18" s="8">
        <v>1</v>
      </c>
      <c r="IS18" s="8">
        <v>1</v>
      </c>
      <c r="IT18" s="41"/>
      <c r="IU18" s="41"/>
      <c r="IV18" s="8">
        <v>1</v>
      </c>
      <c r="IW18" s="8">
        <v>1</v>
      </c>
      <c r="IX18" s="8">
        <v>1</v>
      </c>
      <c r="IY18" s="8">
        <v>1</v>
      </c>
      <c r="IZ18" s="38"/>
      <c r="JA18" s="41"/>
      <c r="JB18" s="41"/>
      <c r="JC18" s="8">
        <v>1</v>
      </c>
      <c r="JD18" s="8">
        <v>1</v>
      </c>
      <c r="JE18" s="8">
        <v>1</v>
      </c>
      <c r="JF18" s="8">
        <v>1</v>
      </c>
      <c r="JG18" s="8">
        <v>1</v>
      </c>
      <c r="JH18" s="41"/>
      <c r="JI18" s="41"/>
      <c r="JJ18" s="8">
        <v>1</v>
      </c>
      <c r="JK18" s="8">
        <v>1</v>
      </c>
      <c r="JL18" s="8">
        <v>1</v>
      </c>
      <c r="JM18" s="8">
        <v>1</v>
      </c>
      <c r="JN18" s="8">
        <v>1</v>
      </c>
      <c r="JO18" s="41"/>
      <c r="JP18" s="41"/>
      <c r="JQ18" s="8">
        <v>1</v>
      </c>
      <c r="JR18" s="8">
        <v>1</v>
      </c>
      <c r="JS18" s="8">
        <v>1</v>
      </c>
      <c r="JT18" s="8">
        <v>1</v>
      </c>
      <c r="JU18" s="8">
        <v>1</v>
      </c>
      <c r="JV18" s="41"/>
      <c r="JW18" s="41"/>
      <c r="JX18" s="8">
        <v>1</v>
      </c>
      <c r="JY18" s="8">
        <v>1</v>
      </c>
      <c r="JZ18" s="8">
        <v>1</v>
      </c>
      <c r="KA18" s="8">
        <v>1</v>
      </c>
      <c r="KB18" s="8">
        <v>1</v>
      </c>
      <c r="KC18" s="41"/>
      <c r="KD18" s="41"/>
      <c r="KE18" s="8">
        <v>1</v>
      </c>
      <c r="KF18" s="8">
        <v>1</v>
      </c>
      <c r="KG18" s="8">
        <v>1</v>
      </c>
      <c r="KH18" s="8">
        <v>1</v>
      </c>
      <c r="KI18" s="8">
        <v>1</v>
      </c>
      <c r="KJ18" s="41"/>
      <c r="KK18" s="41"/>
      <c r="KL18" s="8">
        <v>1</v>
      </c>
      <c r="KM18" s="8">
        <v>1</v>
      </c>
      <c r="KN18" s="8">
        <v>1</v>
      </c>
      <c r="KO18" s="8">
        <v>1</v>
      </c>
      <c r="KP18" s="8">
        <v>1</v>
      </c>
      <c r="KQ18" s="41"/>
      <c r="KR18" s="41"/>
      <c r="KS18" s="8">
        <v>1</v>
      </c>
      <c r="KT18" s="8">
        <v>1</v>
      </c>
      <c r="KU18" s="8">
        <v>1</v>
      </c>
      <c r="KV18" s="8">
        <v>1</v>
      </c>
      <c r="KW18" s="8">
        <v>1</v>
      </c>
      <c r="KX18" s="41"/>
      <c r="KY18" s="41"/>
      <c r="KZ18" s="8">
        <v>1</v>
      </c>
      <c r="LA18" s="8">
        <v>1</v>
      </c>
      <c r="LB18" s="8">
        <v>1</v>
      </c>
      <c r="LC18" s="8">
        <v>1</v>
      </c>
      <c r="LD18" s="8">
        <v>1</v>
      </c>
      <c r="LE18" s="41"/>
      <c r="LF18" s="41"/>
      <c r="LG18" s="8">
        <v>1</v>
      </c>
      <c r="LH18" s="8">
        <v>1</v>
      </c>
      <c r="LI18" s="8">
        <v>1</v>
      </c>
      <c r="LJ18" s="8">
        <v>1</v>
      </c>
      <c r="LK18" s="8">
        <v>1</v>
      </c>
      <c r="LL18" s="41"/>
      <c r="LM18" s="41"/>
      <c r="LN18" s="8">
        <v>1</v>
      </c>
      <c r="LO18" s="8">
        <v>1</v>
      </c>
      <c r="LP18" s="8">
        <v>1</v>
      </c>
      <c r="LQ18" s="8">
        <v>1</v>
      </c>
      <c r="LR18" s="8">
        <v>1</v>
      </c>
      <c r="LS18" s="41"/>
      <c r="LT18" s="41"/>
      <c r="LU18" s="8">
        <v>1</v>
      </c>
      <c r="LV18" s="8">
        <v>1</v>
      </c>
      <c r="LW18" s="8">
        <v>1</v>
      </c>
      <c r="LX18" s="8">
        <v>1</v>
      </c>
      <c r="LY18" s="8">
        <v>1</v>
      </c>
      <c r="LZ18" s="41"/>
      <c r="MA18" s="41"/>
      <c r="MB18" s="8">
        <v>1</v>
      </c>
      <c r="MC18" s="8">
        <v>1</v>
      </c>
      <c r="MD18" s="8">
        <v>1</v>
      </c>
      <c r="ME18" s="8">
        <v>1</v>
      </c>
      <c r="MF18" s="8">
        <v>1</v>
      </c>
      <c r="MG18" s="41"/>
      <c r="MH18" s="41"/>
      <c r="MI18" s="8">
        <v>1</v>
      </c>
      <c r="MJ18" s="8">
        <v>1</v>
      </c>
      <c r="MK18" s="8">
        <v>1</v>
      </c>
      <c r="ML18" s="8">
        <v>1</v>
      </c>
      <c r="MM18" s="8">
        <v>1</v>
      </c>
      <c r="MN18" s="41"/>
      <c r="MO18" s="41"/>
      <c r="MP18" s="8">
        <v>1</v>
      </c>
      <c r="MQ18" s="8">
        <v>1</v>
      </c>
      <c r="MR18" s="8">
        <v>1</v>
      </c>
      <c r="MS18" s="8">
        <v>1</v>
      </c>
      <c r="MT18" s="8">
        <v>1</v>
      </c>
      <c r="MU18" s="41"/>
      <c r="MV18" s="41"/>
      <c r="MW18" s="8">
        <v>1</v>
      </c>
      <c r="MX18" s="8">
        <v>1</v>
      </c>
      <c r="MY18" s="8">
        <v>1</v>
      </c>
      <c r="MZ18" s="8">
        <v>1</v>
      </c>
      <c r="NA18" s="8">
        <v>1</v>
      </c>
      <c r="NB18" s="41"/>
      <c r="NC18" s="41"/>
      <c r="ND18" s="8">
        <v>1</v>
      </c>
      <c r="NE18" s="8">
        <v>1</v>
      </c>
      <c r="NF18" s="8">
        <v>1</v>
      </c>
      <c r="NG18" s="8">
        <v>1</v>
      </c>
      <c r="NH18" s="8">
        <v>1</v>
      </c>
      <c r="NI18" s="41"/>
      <c r="NJ18" s="41"/>
      <c r="NK18" s="8">
        <v>1</v>
      </c>
      <c r="NL18" s="8">
        <v>1</v>
      </c>
      <c r="NM18" s="8">
        <v>1</v>
      </c>
      <c r="NN18" s="8">
        <v>1</v>
      </c>
      <c r="NO18" s="8">
        <v>1</v>
      </c>
      <c r="NP18" s="40"/>
      <c r="NQ18" s="40"/>
      <c r="NR18" s="8">
        <v>1</v>
      </c>
      <c r="NS18" s="8">
        <v>1</v>
      </c>
      <c r="NT18" s="8">
        <v>1</v>
      </c>
      <c r="NU18" s="8">
        <v>1</v>
      </c>
      <c r="NV18" s="8">
        <v>1</v>
      </c>
      <c r="NW18" s="40"/>
      <c r="NX18" s="40"/>
      <c r="NY18" s="8">
        <v>1</v>
      </c>
      <c r="NZ18" s="8">
        <v>1</v>
      </c>
      <c r="OA18" s="8">
        <v>1</v>
      </c>
      <c r="OB18" s="8"/>
      <c r="OC18" s="8">
        <v>1</v>
      </c>
      <c r="OD18" s="41"/>
      <c r="OE18" s="41"/>
      <c r="OF18" s="8">
        <v>1</v>
      </c>
      <c r="OG18" s="8">
        <v>1</v>
      </c>
      <c r="OH18" s="8">
        <v>1</v>
      </c>
      <c r="OI18" s="32"/>
      <c r="OJ18" s="33"/>
      <c r="OK18" s="33"/>
      <c r="OL18" s="33"/>
      <c r="OM18" s="33"/>
      <c r="ON18" s="33"/>
      <c r="OO18" s="33"/>
      <c r="OP18" s="33"/>
      <c r="OQ18" s="33"/>
      <c r="OR18" s="33"/>
      <c r="OS18" s="33"/>
      <c r="OT18" s="33"/>
      <c r="OU18" s="33"/>
      <c r="OV18" s="33"/>
      <c r="OW18" s="33"/>
      <c r="OX18" s="33"/>
      <c r="OY18" s="33"/>
      <c r="OZ18" s="33"/>
      <c r="PA18" s="33"/>
      <c r="PB18" s="33"/>
      <c r="PC18" s="33"/>
      <c r="PD18" s="33"/>
      <c r="PE18" s="33"/>
      <c r="PF18" s="33"/>
      <c r="PG18" s="33"/>
      <c r="PH18" s="33"/>
      <c r="PI18" s="33"/>
      <c r="PJ18" s="33"/>
      <c r="PK18" s="33"/>
      <c r="PL18" s="33"/>
      <c r="PM18" s="33"/>
      <c r="PN18" s="33"/>
      <c r="PO18" s="33"/>
      <c r="PP18" s="33"/>
      <c r="PQ18" s="33"/>
      <c r="PR18" s="33"/>
      <c r="PS18" s="33"/>
      <c r="PT18" s="33"/>
      <c r="PU18" s="42"/>
      <c r="PV18" s="42"/>
      <c r="PW18" s="42"/>
      <c r="PX18" s="42"/>
      <c r="PY18" s="42"/>
      <c r="PZ18" s="42"/>
      <c r="QA18" s="42"/>
      <c r="QB18" s="42"/>
      <c r="QC18" s="42"/>
      <c r="QD18" s="42"/>
      <c r="QE18" s="42"/>
      <c r="QF18" s="42"/>
      <c r="QG18" s="42"/>
      <c r="QH18" s="42"/>
      <c r="QI18" s="42"/>
    </row>
    <row r="19" spans="1:451" s="43" customFormat="1" ht="21" x14ac:dyDescent="0.3">
      <c r="A19" s="61" t="s">
        <v>512</v>
      </c>
      <c r="B19" s="62" t="s">
        <v>431</v>
      </c>
      <c r="C19" s="45"/>
      <c r="D19" s="8">
        <v>1</v>
      </c>
      <c r="E19" s="8">
        <v>1</v>
      </c>
      <c r="F19" s="8">
        <v>1</v>
      </c>
      <c r="G19" s="8">
        <v>1</v>
      </c>
      <c r="H19" s="8">
        <v>1</v>
      </c>
      <c r="I19" s="46"/>
      <c r="J19" s="46"/>
      <c r="K19" s="8">
        <v>1</v>
      </c>
      <c r="L19" s="8">
        <v>1</v>
      </c>
      <c r="M19" s="8">
        <v>1</v>
      </c>
      <c r="N19" s="8">
        <v>1</v>
      </c>
      <c r="O19" s="8">
        <v>1</v>
      </c>
      <c r="P19" s="46"/>
      <c r="Q19" s="46"/>
      <c r="R19" s="8">
        <v>1</v>
      </c>
      <c r="S19" s="8">
        <v>1</v>
      </c>
      <c r="T19" s="8">
        <v>1</v>
      </c>
      <c r="U19" s="8">
        <v>1</v>
      </c>
      <c r="V19" s="8">
        <v>1</v>
      </c>
      <c r="W19" s="46"/>
      <c r="X19" s="46"/>
      <c r="Y19" s="8">
        <v>1</v>
      </c>
      <c r="Z19" s="8">
        <v>1</v>
      </c>
      <c r="AA19" s="8"/>
      <c r="AB19" s="8">
        <v>1</v>
      </c>
      <c r="AC19" s="8">
        <v>1</v>
      </c>
      <c r="AD19" s="46"/>
      <c r="AE19" s="46"/>
      <c r="AF19" s="8">
        <v>0</v>
      </c>
      <c r="AG19" s="8">
        <v>0</v>
      </c>
      <c r="AH19" s="38"/>
      <c r="AI19" s="8">
        <v>0</v>
      </c>
      <c r="AJ19" s="8">
        <v>0</v>
      </c>
      <c r="AK19" s="8"/>
      <c r="AL19" s="8"/>
      <c r="AM19" s="109">
        <v>1</v>
      </c>
      <c r="AN19" s="109">
        <v>1</v>
      </c>
      <c r="AO19" s="8">
        <v>1</v>
      </c>
      <c r="AP19" s="8">
        <v>1</v>
      </c>
      <c r="AQ19" s="8">
        <v>1</v>
      </c>
      <c r="AR19" s="39"/>
      <c r="AS19" s="39"/>
      <c r="AT19" s="8">
        <v>1</v>
      </c>
      <c r="AU19" s="8">
        <v>1</v>
      </c>
      <c r="AV19" s="8">
        <v>1</v>
      </c>
      <c r="AW19" s="8">
        <v>1</v>
      </c>
      <c r="AX19" s="8">
        <v>1</v>
      </c>
      <c r="AY19" s="39"/>
      <c r="AZ19" s="39"/>
      <c r="BA19" s="39">
        <v>1</v>
      </c>
      <c r="BB19" s="39">
        <v>1</v>
      </c>
      <c r="BC19" s="39">
        <v>1</v>
      </c>
      <c r="BD19" s="39">
        <v>1</v>
      </c>
      <c r="BE19" s="39">
        <v>1</v>
      </c>
      <c r="BF19" s="39"/>
      <c r="BG19" s="39"/>
      <c r="BH19" s="39">
        <v>1</v>
      </c>
      <c r="BI19" s="39">
        <v>1</v>
      </c>
      <c r="BJ19" s="39">
        <v>1</v>
      </c>
      <c r="BK19" s="39">
        <v>1</v>
      </c>
      <c r="BL19" s="39">
        <v>1</v>
      </c>
      <c r="BM19" s="40"/>
      <c r="BN19" s="40"/>
      <c r="BO19" s="8">
        <v>1</v>
      </c>
      <c r="BP19" s="8">
        <v>1</v>
      </c>
      <c r="BQ19" s="8">
        <v>1</v>
      </c>
      <c r="BR19" s="8">
        <v>1</v>
      </c>
      <c r="BS19" s="8">
        <v>1</v>
      </c>
      <c r="BT19" s="40"/>
      <c r="BU19" s="40"/>
      <c r="BV19" s="8">
        <v>1</v>
      </c>
      <c r="BW19" s="8">
        <v>1</v>
      </c>
      <c r="BX19" s="8">
        <v>1</v>
      </c>
      <c r="BY19" s="8">
        <v>1</v>
      </c>
      <c r="BZ19" s="8">
        <v>1</v>
      </c>
      <c r="CA19" s="40"/>
      <c r="CB19" s="40"/>
      <c r="CC19" s="8">
        <v>1</v>
      </c>
      <c r="CD19" s="8">
        <v>1</v>
      </c>
      <c r="CE19" s="8">
        <v>1</v>
      </c>
      <c r="CF19" s="8">
        <v>1</v>
      </c>
      <c r="CG19" s="8">
        <v>1</v>
      </c>
      <c r="CH19" s="40"/>
      <c r="CI19" s="40"/>
      <c r="CJ19" s="8">
        <v>1</v>
      </c>
      <c r="CK19" s="8">
        <v>1</v>
      </c>
      <c r="CL19" s="8">
        <v>1</v>
      </c>
      <c r="CM19" s="8">
        <v>1</v>
      </c>
      <c r="CN19" s="8">
        <v>1</v>
      </c>
      <c r="CO19" s="40"/>
      <c r="CP19" s="40"/>
      <c r="CQ19" s="8">
        <v>1</v>
      </c>
      <c r="CR19" s="8">
        <v>1</v>
      </c>
      <c r="CS19" s="8">
        <v>1</v>
      </c>
      <c r="CT19" s="8">
        <v>1</v>
      </c>
      <c r="CU19" s="8">
        <v>1</v>
      </c>
      <c r="CV19" s="40"/>
      <c r="CW19" s="40"/>
      <c r="CX19" s="8">
        <v>1</v>
      </c>
      <c r="CY19" s="8">
        <v>1</v>
      </c>
      <c r="CZ19" s="8">
        <v>1</v>
      </c>
      <c r="DA19" s="8">
        <v>1</v>
      </c>
      <c r="DB19" s="8">
        <v>1</v>
      </c>
      <c r="DC19" s="40"/>
      <c r="DD19" s="40"/>
      <c r="DE19" s="8">
        <v>1</v>
      </c>
      <c r="DF19" s="8">
        <v>1</v>
      </c>
      <c r="DG19" s="8">
        <v>1</v>
      </c>
      <c r="DH19" s="8">
        <v>1</v>
      </c>
      <c r="DI19" s="8">
        <v>1</v>
      </c>
      <c r="DJ19" s="40"/>
      <c r="DK19" s="40"/>
      <c r="DL19" s="8">
        <v>1</v>
      </c>
      <c r="DM19" s="8">
        <v>1</v>
      </c>
      <c r="DN19" s="8">
        <v>1</v>
      </c>
      <c r="DO19" s="8">
        <v>1</v>
      </c>
      <c r="DP19" s="8">
        <v>1</v>
      </c>
      <c r="DQ19" s="41"/>
      <c r="DR19" s="41"/>
      <c r="DS19" s="8">
        <v>1</v>
      </c>
      <c r="DT19" s="8">
        <v>1</v>
      </c>
      <c r="DU19" s="8">
        <v>1</v>
      </c>
      <c r="DV19" s="8">
        <v>1</v>
      </c>
      <c r="DW19" s="8">
        <v>1</v>
      </c>
      <c r="DX19" s="41"/>
      <c r="DY19" s="41"/>
      <c r="DZ19" s="8">
        <v>1</v>
      </c>
      <c r="EA19" s="8">
        <v>1</v>
      </c>
      <c r="EB19" s="8">
        <v>1</v>
      </c>
      <c r="EC19" s="8">
        <v>1</v>
      </c>
      <c r="ED19" s="8">
        <v>1</v>
      </c>
      <c r="EE19" s="41"/>
      <c r="EF19" s="41"/>
      <c r="EG19" s="8">
        <v>1</v>
      </c>
      <c r="EH19" s="8">
        <v>1</v>
      </c>
      <c r="EI19" s="8">
        <v>1</v>
      </c>
      <c r="EJ19" s="8">
        <v>1</v>
      </c>
      <c r="EK19" s="8">
        <v>1</v>
      </c>
      <c r="EL19" s="41"/>
      <c r="EM19" s="41"/>
      <c r="EN19" s="38"/>
      <c r="EO19" s="8">
        <v>1</v>
      </c>
      <c r="EP19" s="8">
        <v>1</v>
      </c>
      <c r="EQ19" s="8">
        <v>1</v>
      </c>
      <c r="ER19" s="8">
        <v>1</v>
      </c>
      <c r="ES19" s="41"/>
      <c r="ET19" s="41"/>
      <c r="EU19" s="8">
        <v>1</v>
      </c>
      <c r="EV19" s="8">
        <v>1</v>
      </c>
      <c r="EW19" s="8">
        <v>1</v>
      </c>
      <c r="EX19" s="38"/>
      <c r="EY19" s="8">
        <v>1</v>
      </c>
      <c r="EZ19" s="41"/>
      <c r="FA19" s="41"/>
      <c r="FB19" s="8">
        <v>1</v>
      </c>
      <c r="FC19" s="8">
        <v>1</v>
      </c>
      <c r="FD19" s="8">
        <v>1</v>
      </c>
      <c r="FE19" s="38"/>
      <c r="FF19" s="8">
        <v>1</v>
      </c>
      <c r="FG19" s="41"/>
      <c r="FH19" s="41"/>
      <c r="FI19" s="8">
        <v>1</v>
      </c>
      <c r="FJ19" s="8">
        <v>1</v>
      </c>
      <c r="FK19" s="8">
        <v>1</v>
      </c>
      <c r="FL19" s="8">
        <v>1</v>
      </c>
      <c r="FM19" s="8">
        <v>1</v>
      </c>
      <c r="FN19" s="41"/>
      <c r="FO19" s="41"/>
      <c r="FP19" s="8">
        <v>1</v>
      </c>
      <c r="FQ19" s="8">
        <v>1</v>
      </c>
      <c r="FR19" s="8">
        <v>1</v>
      </c>
      <c r="FS19" s="8">
        <v>1</v>
      </c>
      <c r="FT19" s="8">
        <v>1</v>
      </c>
      <c r="FU19" s="41"/>
      <c r="FV19" s="41"/>
      <c r="FW19" s="8">
        <v>1</v>
      </c>
      <c r="FX19" s="8">
        <v>1</v>
      </c>
      <c r="FY19" s="8">
        <v>1</v>
      </c>
      <c r="FZ19" s="38"/>
      <c r="GA19" s="8">
        <v>1</v>
      </c>
      <c r="GB19" s="41"/>
      <c r="GC19" s="41"/>
      <c r="GD19" s="8">
        <v>1</v>
      </c>
      <c r="GE19" s="8">
        <v>1</v>
      </c>
      <c r="GF19" s="8">
        <v>1</v>
      </c>
      <c r="GG19" s="8">
        <v>1</v>
      </c>
      <c r="GH19" s="8">
        <v>1</v>
      </c>
      <c r="GI19" s="41"/>
      <c r="GJ19" s="41"/>
      <c r="GK19" s="38"/>
      <c r="GL19" s="8">
        <v>1</v>
      </c>
      <c r="GM19" s="8">
        <v>1</v>
      </c>
      <c r="GN19" s="8">
        <v>1</v>
      </c>
      <c r="GO19" s="8">
        <v>1</v>
      </c>
      <c r="GP19" s="41"/>
      <c r="GQ19" s="41"/>
      <c r="GR19" s="8">
        <v>1</v>
      </c>
      <c r="GS19" s="8">
        <v>1</v>
      </c>
      <c r="GT19" s="8">
        <v>1</v>
      </c>
      <c r="GU19" s="8">
        <v>1</v>
      </c>
      <c r="GV19" s="8">
        <v>1</v>
      </c>
      <c r="GW19" s="41"/>
      <c r="GX19" s="41"/>
      <c r="GY19" s="8">
        <v>1</v>
      </c>
      <c r="GZ19" s="8">
        <v>1</v>
      </c>
      <c r="HA19" s="8">
        <v>1</v>
      </c>
      <c r="HB19" s="8">
        <v>1</v>
      </c>
      <c r="HC19" s="8">
        <v>1</v>
      </c>
      <c r="HD19" s="41"/>
      <c r="HE19" s="41"/>
      <c r="HF19" s="8">
        <v>1</v>
      </c>
      <c r="HG19" s="8">
        <v>1</v>
      </c>
      <c r="HH19" s="8">
        <v>1</v>
      </c>
      <c r="HI19" s="8">
        <v>1</v>
      </c>
      <c r="HJ19" s="8">
        <v>1</v>
      </c>
      <c r="HK19" s="41"/>
      <c r="HL19" s="41"/>
      <c r="HM19" s="8">
        <v>1</v>
      </c>
      <c r="HN19" s="8">
        <v>1</v>
      </c>
      <c r="HO19" s="8">
        <v>1</v>
      </c>
      <c r="HP19" s="8">
        <v>1</v>
      </c>
      <c r="HQ19" s="8">
        <v>1</v>
      </c>
      <c r="HR19" s="41"/>
      <c r="HS19" s="41"/>
      <c r="HT19" s="38"/>
      <c r="HU19" s="8">
        <v>1</v>
      </c>
      <c r="HV19" s="8">
        <v>1</v>
      </c>
      <c r="HW19" s="8">
        <v>1</v>
      </c>
      <c r="HX19" s="8">
        <v>1</v>
      </c>
      <c r="HY19" s="41"/>
      <c r="HZ19" s="41"/>
      <c r="IA19" s="8">
        <v>1</v>
      </c>
      <c r="IB19" s="8">
        <v>1</v>
      </c>
      <c r="IC19" s="8">
        <v>1</v>
      </c>
      <c r="ID19" s="8">
        <v>1</v>
      </c>
      <c r="IE19" s="8">
        <v>1</v>
      </c>
      <c r="IF19" s="41"/>
      <c r="IG19" s="41"/>
      <c r="IH19" s="8">
        <v>1</v>
      </c>
      <c r="II19" s="8">
        <v>1</v>
      </c>
      <c r="IJ19" s="8">
        <v>1</v>
      </c>
      <c r="IK19" s="8">
        <v>1</v>
      </c>
      <c r="IL19" s="8">
        <v>1</v>
      </c>
      <c r="IM19" s="41"/>
      <c r="IN19" s="41"/>
      <c r="IO19" s="8">
        <v>1</v>
      </c>
      <c r="IP19" s="8">
        <v>1</v>
      </c>
      <c r="IQ19" s="8">
        <v>1</v>
      </c>
      <c r="IR19" s="8">
        <v>1</v>
      </c>
      <c r="IS19" s="8">
        <v>1</v>
      </c>
      <c r="IT19" s="41"/>
      <c r="IU19" s="41"/>
      <c r="IV19" s="8">
        <v>1</v>
      </c>
      <c r="IW19" s="8">
        <v>1</v>
      </c>
      <c r="IX19" s="8">
        <v>1</v>
      </c>
      <c r="IY19" s="8">
        <v>1</v>
      </c>
      <c r="IZ19" s="38"/>
      <c r="JA19" s="41"/>
      <c r="JB19" s="41"/>
      <c r="JC19" s="8">
        <v>1</v>
      </c>
      <c r="JD19" s="8">
        <v>1</v>
      </c>
      <c r="JE19" s="8">
        <v>1</v>
      </c>
      <c r="JF19" s="8">
        <v>1</v>
      </c>
      <c r="JG19" s="8">
        <v>1</v>
      </c>
      <c r="JH19" s="41"/>
      <c r="JI19" s="41"/>
      <c r="JJ19" s="8">
        <v>1</v>
      </c>
      <c r="JK19" s="8">
        <v>1</v>
      </c>
      <c r="JL19" s="8">
        <v>1</v>
      </c>
      <c r="JM19" s="8">
        <v>1</v>
      </c>
      <c r="JN19" s="8">
        <v>1</v>
      </c>
      <c r="JO19" s="41"/>
      <c r="JP19" s="41"/>
      <c r="JQ19" s="8">
        <v>1</v>
      </c>
      <c r="JR19" s="8">
        <v>1</v>
      </c>
      <c r="JS19" s="8">
        <v>1</v>
      </c>
      <c r="JT19" s="8">
        <v>1</v>
      </c>
      <c r="JU19" s="8">
        <v>1</v>
      </c>
      <c r="JV19" s="41"/>
      <c r="JW19" s="41"/>
      <c r="JX19" s="8">
        <v>1</v>
      </c>
      <c r="JY19" s="8">
        <v>1</v>
      </c>
      <c r="JZ19" s="8">
        <v>1</v>
      </c>
      <c r="KA19" s="8">
        <v>1</v>
      </c>
      <c r="KB19" s="8">
        <v>1</v>
      </c>
      <c r="KC19" s="41"/>
      <c r="KD19" s="41"/>
      <c r="KE19" s="8">
        <v>1</v>
      </c>
      <c r="KF19" s="8">
        <v>1</v>
      </c>
      <c r="KG19" s="8">
        <v>1</v>
      </c>
      <c r="KH19" s="8">
        <v>1</v>
      </c>
      <c r="KI19" s="8">
        <v>1</v>
      </c>
      <c r="KJ19" s="41"/>
      <c r="KK19" s="41"/>
      <c r="KL19" s="8">
        <v>1</v>
      </c>
      <c r="KM19" s="8">
        <v>1</v>
      </c>
      <c r="KN19" s="8">
        <v>1</v>
      </c>
      <c r="KO19" s="8">
        <v>1</v>
      </c>
      <c r="KP19" s="8">
        <v>1</v>
      </c>
      <c r="KQ19" s="41"/>
      <c r="KR19" s="41"/>
      <c r="KS19" s="8">
        <v>1</v>
      </c>
      <c r="KT19" s="8">
        <v>1</v>
      </c>
      <c r="KU19" s="8">
        <v>1</v>
      </c>
      <c r="KV19" s="8">
        <v>1</v>
      </c>
      <c r="KW19" s="8">
        <v>1</v>
      </c>
      <c r="KX19" s="41"/>
      <c r="KY19" s="41"/>
      <c r="KZ19" s="8">
        <v>1</v>
      </c>
      <c r="LA19" s="8">
        <v>1</v>
      </c>
      <c r="LB19" s="8">
        <v>1</v>
      </c>
      <c r="LC19" s="8">
        <v>1</v>
      </c>
      <c r="LD19" s="8">
        <v>1</v>
      </c>
      <c r="LE19" s="41"/>
      <c r="LF19" s="41"/>
      <c r="LG19" s="8">
        <v>1</v>
      </c>
      <c r="LH19" s="8">
        <v>1</v>
      </c>
      <c r="LI19" s="8">
        <v>1</v>
      </c>
      <c r="LJ19" s="8">
        <v>1</v>
      </c>
      <c r="LK19" s="8">
        <v>1</v>
      </c>
      <c r="LL19" s="41"/>
      <c r="LM19" s="41"/>
      <c r="LN19" s="8">
        <v>1</v>
      </c>
      <c r="LO19" s="8">
        <v>1</v>
      </c>
      <c r="LP19" s="8">
        <v>1</v>
      </c>
      <c r="LQ19" s="8">
        <v>1</v>
      </c>
      <c r="LR19" s="8">
        <v>1</v>
      </c>
      <c r="LS19" s="41"/>
      <c r="LT19" s="41"/>
      <c r="LU19" s="8">
        <v>1</v>
      </c>
      <c r="LV19" s="8">
        <v>1</v>
      </c>
      <c r="LW19" s="8">
        <v>1</v>
      </c>
      <c r="LX19" s="8">
        <v>1</v>
      </c>
      <c r="LY19" s="8">
        <v>1</v>
      </c>
      <c r="LZ19" s="41"/>
      <c r="MA19" s="41"/>
      <c r="MB19" s="8">
        <v>1</v>
      </c>
      <c r="MC19" s="8">
        <v>1</v>
      </c>
      <c r="MD19" s="8">
        <v>1</v>
      </c>
      <c r="ME19" s="8">
        <v>1</v>
      </c>
      <c r="MF19" s="8">
        <v>1</v>
      </c>
      <c r="MG19" s="41"/>
      <c r="MH19" s="41"/>
      <c r="MI19" s="8">
        <v>1</v>
      </c>
      <c r="MJ19" s="8">
        <v>1</v>
      </c>
      <c r="MK19" s="8">
        <v>1</v>
      </c>
      <c r="ML19" s="8">
        <v>1</v>
      </c>
      <c r="MM19" s="8">
        <v>1</v>
      </c>
      <c r="MN19" s="41"/>
      <c r="MO19" s="41"/>
      <c r="MP19" s="8">
        <v>1</v>
      </c>
      <c r="MQ19" s="8">
        <v>1</v>
      </c>
      <c r="MR19" s="8">
        <v>1</v>
      </c>
      <c r="MS19" s="8">
        <v>1</v>
      </c>
      <c r="MT19" s="8">
        <v>1</v>
      </c>
      <c r="MU19" s="41"/>
      <c r="MV19" s="41"/>
      <c r="MW19" s="8">
        <v>1</v>
      </c>
      <c r="MX19" s="8">
        <v>1</v>
      </c>
      <c r="MY19" s="8">
        <v>1</v>
      </c>
      <c r="MZ19" s="8">
        <v>1</v>
      </c>
      <c r="NA19" s="8">
        <v>1</v>
      </c>
      <c r="NB19" s="41"/>
      <c r="NC19" s="41"/>
      <c r="ND19" s="8">
        <v>1</v>
      </c>
      <c r="NE19" s="8">
        <v>1</v>
      </c>
      <c r="NF19" s="8">
        <v>1</v>
      </c>
      <c r="NG19" s="8">
        <v>1</v>
      </c>
      <c r="NH19" s="8">
        <v>1</v>
      </c>
      <c r="NI19" s="41"/>
      <c r="NJ19" s="41"/>
      <c r="NK19" s="8">
        <v>1</v>
      </c>
      <c r="NL19" s="8">
        <v>1</v>
      </c>
      <c r="NM19" s="8">
        <v>1</v>
      </c>
      <c r="NN19" s="8">
        <v>1</v>
      </c>
      <c r="NO19" s="8">
        <v>1</v>
      </c>
      <c r="NP19" s="40"/>
      <c r="NQ19" s="40"/>
      <c r="NR19" s="8">
        <v>1</v>
      </c>
      <c r="NS19" s="8">
        <v>1</v>
      </c>
      <c r="NT19" s="8">
        <v>1</v>
      </c>
      <c r="NU19" s="8">
        <v>1</v>
      </c>
      <c r="NV19" s="8">
        <v>1</v>
      </c>
      <c r="NW19" s="40"/>
      <c r="NX19" s="40"/>
      <c r="NY19" s="8">
        <v>1</v>
      </c>
      <c r="NZ19" s="8">
        <v>1</v>
      </c>
      <c r="OA19" s="8">
        <v>1</v>
      </c>
      <c r="OB19" s="8"/>
      <c r="OC19" s="8">
        <v>1</v>
      </c>
      <c r="OD19" s="41"/>
      <c r="OE19" s="41"/>
      <c r="OF19" s="8">
        <v>1</v>
      </c>
      <c r="OG19" s="8">
        <v>1</v>
      </c>
      <c r="OH19" s="8">
        <v>1</v>
      </c>
      <c r="OI19" s="32"/>
      <c r="OJ19" s="33"/>
      <c r="OK19" s="33"/>
      <c r="OL19" s="33"/>
      <c r="OM19" s="33"/>
      <c r="ON19" s="33"/>
      <c r="OO19" s="33"/>
      <c r="OP19" s="33"/>
      <c r="OQ19" s="33"/>
      <c r="OR19" s="33"/>
      <c r="OS19" s="33"/>
      <c r="OT19" s="33"/>
      <c r="OU19" s="33"/>
      <c r="OV19" s="33"/>
      <c r="OW19" s="33"/>
      <c r="OX19" s="33"/>
      <c r="OY19" s="33"/>
      <c r="OZ19" s="33"/>
      <c r="PA19" s="33"/>
      <c r="PB19" s="33"/>
      <c r="PC19" s="33"/>
      <c r="PD19" s="33"/>
      <c r="PE19" s="33"/>
      <c r="PF19" s="33"/>
      <c r="PG19" s="33"/>
      <c r="PH19" s="33"/>
      <c r="PI19" s="33"/>
      <c r="PJ19" s="33"/>
      <c r="PK19" s="33"/>
      <c r="PL19" s="33"/>
      <c r="PM19" s="33"/>
      <c r="PN19" s="33"/>
      <c r="PO19" s="33"/>
      <c r="PP19" s="33"/>
      <c r="PQ19" s="33"/>
      <c r="PR19" s="33"/>
      <c r="PS19" s="33"/>
      <c r="PT19" s="33"/>
      <c r="PU19" s="42"/>
      <c r="PV19" s="42"/>
      <c r="PW19" s="42"/>
      <c r="PX19" s="42"/>
      <c r="PY19" s="42"/>
      <c r="PZ19" s="42"/>
      <c r="QA19" s="42"/>
      <c r="QB19" s="42"/>
      <c r="QC19" s="42"/>
      <c r="QD19" s="42"/>
      <c r="QE19" s="42"/>
      <c r="QF19" s="42"/>
      <c r="QG19" s="42"/>
      <c r="QH19" s="42"/>
      <c r="QI19" s="42"/>
    </row>
    <row r="20" spans="1:451" s="43" customFormat="1" ht="21" x14ac:dyDescent="0.3">
      <c r="A20" s="61" t="s">
        <v>513</v>
      </c>
      <c r="B20" s="62" t="s">
        <v>432</v>
      </c>
      <c r="C20" s="45"/>
      <c r="D20" s="8">
        <v>1</v>
      </c>
      <c r="E20" s="8">
        <v>1</v>
      </c>
      <c r="F20" s="8">
        <v>1</v>
      </c>
      <c r="G20" s="8">
        <v>1</v>
      </c>
      <c r="H20" s="8">
        <v>1</v>
      </c>
      <c r="I20" s="46"/>
      <c r="J20" s="46"/>
      <c r="K20" s="8">
        <v>1</v>
      </c>
      <c r="L20" s="8">
        <v>1</v>
      </c>
      <c r="M20" s="8">
        <v>1</v>
      </c>
      <c r="N20" s="8">
        <v>1</v>
      </c>
      <c r="O20" s="8">
        <v>0</v>
      </c>
      <c r="P20" s="46"/>
      <c r="Q20" s="46"/>
      <c r="R20" s="8">
        <v>1</v>
      </c>
      <c r="S20" s="8">
        <v>1</v>
      </c>
      <c r="T20" s="8">
        <v>1</v>
      </c>
      <c r="U20" s="8">
        <v>1</v>
      </c>
      <c r="V20" s="8">
        <v>1</v>
      </c>
      <c r="W20" s="46"/>
      <c r="X20" s="46"/>
      <c r="Y20" s="8">
        <v>0</v>
      </c>
      <c r="Z20" s="8">
        <v>0</v>
      </c>
      <c r="AA20" s="8"/>
      <c r="AB20" s="8">
        <v>0</v>
      </c>
      <c r="AC20" s="8">
        <v>0</v>
      </c>
      <c r="AD20" s="46"/>
      <c r="AE20" s="46"/>
      <c r="AF20" s="8">
        <v>1</v>
      </c>
      <c r="AG20" s="8">
        <v>1</v>
      </c>
      <c r="AH20" s="38"/>
      <c r="AI20" s="8">
        <v>1</v>
      </c>
      <c r="AJ20" s="8">
        <v>1</v>
      </c>
      <c r="AK20" s="8"/>
      <c r="AL20" s="8"/>
      <c r="AM20" s="109">
        <v>1</v>
      </c>
      <c r="AN20" s="109">
        <v>1</v>
      </c>
      <c r="AO20" s="8">
        <v>1</v>
      </c>
      <c r="AP20" s="8">
        <v>1</v>
      </c>
      <c r="AQ20" s="8">
        <v>0</v>
      </c>
      <c r="AR20" s="39"/>
      <c r="AS20" s="39"/>
      <c r="AT20" s="8">
        <v>1</v>
      </c>
      <c r="AU20" s="8">
        <v>1</v>
      </c>
      <c r="AV20" s="8">
        <v>1</v>
      </c>
      <c r="AW20" s="8">
        <v>1</v>
      </c>
      <c r="AX20" s="8">
        <v>1</v>
      </c>
      <c r="AY20" s="39"/>
      <c r="AZ20" s="39"/>
      <c r="BA20" s="39">
        <v>1</v>
      </c>
      <c r="BB20" s="39">
        <v>1</v>
      </c>
      <c r="BC20" s="39">
        <v>1</v>
      </c>
      <c r="BD20" s="39">
        <v>1</v>
      </c>
      <c r="BE20" s="8">
        <v>0</v>
      </c>
      <c r="BF20" s="39"/>
      <c r="BG20" s="39"/>
      <c r="BH20" s="39">
        <v>1</v>
      </c>
      <c r="BI20" s="39">
        <v>1</v>
      </c>
      <c r="BJ20" s="39">
        <v>1</v>
      </c>
      <c r="BK20" s="39">
        <v>1</v>
      </c>
      <c r="BL20" s="39">
        <v>1</v>
      </c>
      <c r="BM20" s="40"/>
      <c r="BN20" s="40"/>
      <c r="BO20" s="8">
        <v>1</v>
      </c>
      <c r="BP20" s="8">
        <v>1</v>
      </c>
      <c r="BQ20" s="8">
        <v>1</v>
      </c>
      <c r="BR20" s="8">
        <v>1</v>
      </c>
      <c r="BS20" s="8">
        <v>0</v>
      </c>
      <c r="BT20" s="40"/>
      <c r="BU20" s="40"/>
      <c r="BV20" s="8">
        <v>1</v>
      </c>
      <c r="BW20" s="8">
        <v>1</v>
      </c>
      <c r="BX20" s="8">
        <v>1</v>
      </c>
      <c r="BY20" s="8">
        <v>1</v>
      </c>
      <c r="BZ20" s="8">
        <v>1</v>
      </c>
      <c r="CA20" s="40"/>
      <c r="CB20" s="40"/>
      <c r="CC20" s="8">
        <v>0</v>
      </c>
      <c r="CD20" s="8">
        <v>0</v>
      </c>
      <c r="CE20" s="8">
        <v>0</v>
      </c>
      <c r="CF20" s="8">
        <v>0</v>
      </c>
      <c r="CG20" s="8">
        <v>0</v>
      </c>
      <c r="CH20" s="40"/>
      <c r="CI20" s="40"/>
      <c r="CJ20" s="8">
        <v>1</v>
      </c>
      <c r="CK20" s="8">
        <v>1</v>
      </c>
      <c r="CL20" s="8">
        <v>1</v>
      </c>
      <c r="CM20" s="8">
        <v>1</v>
      </c>
      <c r="CN20" s="8">
        <v>1</v>
      </c>
      <c r="CO20" s="40"/>
      <c r="CP20" s="40"/>
      <c r="CQ20" s="8">
        <v>1</v>
      </c>
      <c r="CR20" s="8">
        <v>1</v>
      </c>
      <c r="CS20" s="8">
        <v>1</v>
      </c>
      <c r="CT20" s="8">
        <v>1</v>
      </c>
      <c r="CU20" s="8">
        <v>1</v>
      </c>
      <c r="CV20" s="40"/>
      <c r="CW20" s="40"/>
      <c r="CX20" s="8">
        <v>1</v>
      </c>
      <c r="CY20" s="8">
        <v>1</v>
      </c>
      <c r="CZ20" s="8">
        <v>1</v>
      </c>
      <c r="DA20" s="8">
        <v>1</v>
      </c>
      <c r="DB20" s="8">
        <v>0</v>
      </c>
      <c r="DC20" s="40"/>
      <c r="DD20" s="40"/>
      <c r="DE20" s="8">
        <v>1</v>
      </c>
      <c r="DF20" s="8">
        <v>1</v>
      </c>
      <c r="DG20" s="8">
        <v>1</v>
      </c>
      <c r="DH20" s="8">
        <v>1</v>
      </c>
      <c r="DI20" s="8">
        <v>1</v>
      </c>
      <c r="DJ20" s="40"/>
      <c r="DK20" s="40"/>
      <c r="DL20" s="8">
        <v>1</v>
      </c>
      <c r="DM20" s="8">
        <v>1</v>
      </c>
      <c r="DN20" s="8">
        <v>1</v>
      </c>
      <c r="DO20" s="8">
        <v>1</v>
      </c>
      <c r="DP20" s="8">
        <v>1</v>
      </c>
      <c r="DQ20" s="41"/>
      <c r="DR20" s="41"/>
      <c r="DS20" s="8">
        <v>1</v>
      </c>
      <c r="DT20" s="8">
        <v>1</v>
      </c>
      <c r="DU20" s="8">
        <v>1</v>
      </c>
      <c r="DV20" s="8">
        <v>1</v>
      </c>
      <c r="DW20" s="8">
        <v>1</v>
      </c>
      <c r="DX20" s="41"/>
      <c r="DY20" s="41"/>
      <c r="DZ20" s="8">
        <v>1</v>
      </c>
      <c r="EA20" s="8">
        <v>1</v>
      </c>
      <c r="EB20" s="8">
        <v>1</v>
      </c>
      <c r="EC20" s="8">
        <v>1</v>
      </c>
      <c r="ED20" s="8">
        <v>1</v>
      </c>
      <c r="EE20" s="41"/>
      <c r="EF20" s="41"/>
      <c r="EG20" s="8">
        <v>1</v>
      </c>
      <c r="EH20" s="8">
        <v>1</v>
      </c>
      <c r="EI20" s="8">
        <v>1</v>
      </c>
      <c r="EJ20" s="8">
        <v>1</v>
      </c>
      <c r="EK20" s="8">
        <v>1</v>
      </c>
      <c r="EL20" s="41"/>
      <c r="EM20" s="41"/>
      <c r="EN20" s="38"/>
      <c r="EO20" s="8">
        <v>1</v>
      </c>
      <c r="EP20" s="8">
        <v>1</v>
      </c>
      <c r="EQ20" s="8">
        <v>1</v>
      </c>
      <c r="ER20" s="8">
        <v>1</v>
      </c>
      <c r="ES20" s="41"/>
      <c r="ET20" s="41"/>
      <c r="EU20" s="8">
        <v>1</v>
      </c>
      <c r="EV20" s="8">
        <v>1</v>
      </c>
      <c r="EW20" s="8">
        <v>1</v>
      </c>
      <c r="EX20" s="38"/>
      <c r="EY20" s="8">
        <v>1</v>
      </c>
      <c r="EZ20" s="41"/>
      <c r="FA20" s="41"/>
      <c r="FB20" s="8">
        <v>1</v>
      </c>
      <c r="FC20" s="8">
        <v>1</v>
      </c>
      <c r="FD20" s="8">
        <v>1</v>
      </c>
      <c r="FE20" s="38"/>
      <c r="FF20" s="8">
        <v>1</v>
      </c>
      <c r="FG20" s="41"/>
      <c r="FH20" s="41"/>
      <c r="FI20" s="8">
        <v>1</v>
      </c>
      <c r="FJ20" s="8">
        <v>1</v>
      </c>
      <c r="FK20" s="8">
        <v>1</v>
      </c>
      <c r="FL20" s="8">
        <v>1</v>
      </c>
      <c r="FM20" s="8">
        <v>1</v>
      </c>
      <c r="FN20" s="41"/>
      <c r="FO20" s="41"/>
      <c r="FP20" s="8">
        <v>1</v>
      </c>
      <c r="FQ20" s="8">
        <v>1</v>
      </c>
      <c r="FR20" s="8">
        <v>1</v>
      </c>
      <c r="FS20" s="8">
        <v>1</v>
      </c>
      <c r="FT20" s="8">
        <v>1</v>
      </c>
      <c r="FU20" s="41"/>
      <c r="FV20" s="41"/>
      <c r="FW20" s="8">
        <v>1</v>
      </c>
      <c r="FX20" s="8">
        <v>1</v>
      </c>
      <c r="FY20" s="8">
        <v>1</v>
      </c>
      <c r="FZ20" s="38"/>
      <c r="GA20" s="8">
        <v>1</v>
      </c>
      <c r="GB20" s="41"/>
      <c r="GC20" s="41"/>
      <c r="GD20" s="8">
        <v>1</v>
      </c>
      <c r="GE20" s="8">
        <v>1</v>
      </c>
      <c r="GF20" s="8">
        <v>1</v>
      </c>
      <c r="GG20" s="8">
        <v>1</v>
      </c>
      <c r="GH20" s="8">
        <v>1</v>
      </c>
      <c r="GI20" s="41"/>
      <c r="GJ20" s="41"/>
      <c r="GK20" s="38"/>
      <c r="GL20" s="8">
        <v>1</v>
      </c>
      <c r="GM20" s="8">
        <v>1</v>
      </c>
      <c r="GN20" s="8">
        <v>1</v>
      </c>
      <c r="GO20" s="8">
        <v>1</v>
      </c>
      <c r="GP20" s="41"/>
      <c r="GQ20" s="41"/>
      <c r="GR20" s="8">
        <v>1</v>
      </c>
      <c r="GS20" s="8">
        <v>1</v>
      </c>
      <c r="GT20" s="8">
        <v>1</v>
      </c>
      <c r="GU20" s="8">
        <v>1</v>
      </c>
      <c r="GV20" s="8">
        <v>1</v>
      </c>
      <c r="GW20" s="41"/>
      <c r="GX20" s="41"/>
      <c r="GY20" s="8">
        <v>1</v>
      </c>
      <c r="GZ20" s="8">
        <v>1</v>
      </c>
      <c r="HA20" s="8">
        <v>1</v>
      </c>
      <c r="HB20" s="8">
        <v>1</v>
      </c>
      <c r="HC20" s="8">
        <v>1</v>
      </c>
      <c r="HD20" s="41"/>
      <c r="HE20" s="41"/>
      <c r="HF20" s="8">
        <v>1</v>
      </c>
      <c r="HG20" s="8">
        <v>1</v>
      </c>
      <c r="HH20" s="8">
        <v>1</v>
      </c>
      <c r="HI20" s="8">
        <v>1</v>
      </c>
      <c r="HJ20" s="8">
        <v>1</v>
      </c>
      <c r="HK20" s="41"/>
      <c r="HL20" s="41"/>
      <c r="HM20" s="8">
        <v>1</v>
      </c>
      <c r="HN20" s="8">
        <v>1</v>
      </c>
      <c r="HO20" s="8">
        <v>1</v>
      </c>
      <c r="HP20" s="8">
        <v>1</v>
      </c>
      <c r="HQ20" s="8">
        <v>1</v>
      </c>
      <c r="HR20" s="41"/>
      <c r="HS20" s="41"/>
      <c r="HT20" s="38"/>
      <c r="HU20" s="8">
        <v>1</v>
      </c>
      <c r="HV20" s="8">
        <v>1</v>
      </c>
      <c r="HW20" s="8">
        <v>1</v>
      </c>
      <c r="HX20" s="8">
        <v>1</v>
      </c>
      <c r="HY20" s="41"/>
      <c r="HZ20" s="41"/>
      <c r="IA20" s="8">
        <v>1</v>
      </c>
      <c r="IB20" s="8">
        <v>1</v>
      </c>
      <c r="IC20" s="8">
        <v>1</v>
      </c>
      <c r="ID20" s="8">
        <v>1</v>
      </c>
      <c r="IE20" s="8">
        <v>1</v>
      </c>
      <c r="IF20" s="41"/>
      <c r="IG20" s="41"/>
      <c r="IH20" s="8">
        <v>1</v>
      </c>
      <c r="II20" s="8">
        <v>1</v>
      </c>
      <c r="IJ20" s="8">
        <v>1</v>
      </c>
      <c r="IK20" s="8">
        <v>1</v>
      </c>
      <c r="IL20" s="8">
        <v>1</v>
      </c>
      <c r="IM20" s="41"/>
      <c r="IN20" s="41"/>
      <c r="IO20" s="8">
        <v>1</v>
      </c>
      <c r="IP20" s="8">
        <v>1</v>
      </c>
      <c r="IQ20" s="8">
        <v>1</v>
      </c>
      <c r="IR20" s="8">
        <v>1</v>
      </c>
      <c r="IS20" s="8">
        <v>1</v>
      </c>
      <c r="IT20" s="41"/>
      <c r="IU20" s="41"/>
      <c r="IV20" s="8">
        <v>1</v>
      </c>
      <c r="IW20" s="8">
        <v>1</v>
      </c>
      <c r="IX20" s="8">
        <v>1</v>
      </c>
      <c r="IY20" s="8">
        <v>1</v>
      </c>
      <c r="IZ20" s="38"/>
      <c r="JA20" s="41"/>
      <c r="JB20" s="41"/>
      <c r="JC20" s="8">
        <v>1</v>
      </c>
      <c r="JD20" s="8">
        <v>1</v>
      </c>
      <c r="JE20" s="8">
        <v>1</v>
      </c>
      <c r="JF20" s="8">
        <v>1</v>
      </c>
      <c r="JG20" s="8">
        <v>1</v>
      </c>
      <c r="JH20" s="41"/>
      <c r="JI20" s="41"/>
      <c r="JJ20" s="8">
        <v>1</v>
      </c>
      <c r="JK20" s="8">
        <v>1</v>
      </c>
      <c r="JL20" s="8">
        <v>1</v>
      </c>
      <c r="JM20" s="8">
        <v>1</v>
      </c>
      <c r="JN20" s="8">
        <v>1</v>
      </c>
      <c r="JO20" s="41"/>
      <c r="JP20" s="41"/>
      <c r="JQ20" s="8">
        <v>1</v>
      </c>
      <c r="JR20" s="8">
        <v>1</v>
      </c>
      <c r="JS20" s="8">
        <v>1</v>
      </c>
      <c r="JT20" s="8">
        <v>1</v>
      </c>
      <c r="JU20" s="8">
        <v>1</v>
      </c>
      <c r="JV20" s="41"/>
      <c r="JW20" s="41"/>
      <c r="JX20" s="8">
        <v>1</v>
      </c>
      <c r="JY20" s="8">
        <v>1</v>
      </c>
      <c r="JZ20" s="8">
        <v>1</v>
      </c>
      <c r="KA20" s="8">
        <v>1</v>
      </c>
      <c r="KB20" s="8">
        <v>1</v>
      </c>
      <c r="KC20" s="41"/>
      <c r="KD20" s="41"/>
      <c r="KE20" s="8">
        <v>1</v>
      </c>
      <c r="KF20" s="8">
        <v>1</v>
      </c>
      <c r="KG20" s="8">
        <v>1</v>
      </c>
      <c r="KH20" s="8">
        <v>1</v>
      </c>
      <c r="KI20" s="8">
        <v>1</v>
      </c>
      <c r="KJ20" s="41"/>
      <c r="KK20" s="41"/>
      <c r="KL20" s="8">
        <v>1</v>
      </c>
      <c r="KM20" s="8">
        <v>1</v>
      </c>
      <c r="KN20" s="8">
        <v>1</v>
      </c>
      <c r="KO20" s="8">
        <v>1</v>
      </c>
      <c r="KP20" s="8">
        <v>1</v>
      </c>
      <c r="KQ20" s="41"/>
      <c r="KR20" s="41"/>
      <c r="KS20" s="8">
        <v>1</v>
      </c>
      <c r="KT20" s="8">
        <v>1</v>
      </c>
      <c r="KU20" s="8">
        <v>1</v>
      </c>
      <c r="KV20" s="8">
        <v>1</v>
      </c>
      <c r="KW20" s="8">
        <v>1</v>
      </c>
      <c r="KX20" s="41"/>
      <c r="KY20" s="41"/>
      <c r="KZ20" s="8">
        <v>1</v>
      </c>
      <c r="LA20" s="8">
        <v>1</v>
      </c>
      <c r="LB20" s="8">
        <v>1</v>
      </c>
      <c r="LC20" s="8">
        <v>1</v>
      </c>
      <c r="LD20" s="8">
        <v>1</v>
      </c>
      <c r="LE20" s="41"/>
      <c r="LF20" s="41"/>
      <c r="LG20" s="8">
        <v>1</v>
      </c>
      <c r="LH20" s="8">
        <v>1</v>
      </c>
      <c r="LI20" s="8">
        <v>1</v>
      </c>
      <c r="LJ20" s="8">
        <v>1</v>
      </c>
      <c r="LK20" s="8">
        <v>1</v>
      </c>
      <c r="LL20" s="41"/>
      <c r="LM20" s="41"/>
      <c r="LN20" s="8">
        <v>1</v>
      </c>
      <c r="LO20" s="8">
        <v>1</v>
      </c>
      <c r="LP20" s="8">
        <v>1</v>
      </c>
      <c r="LQ20" s="8">
        <v>1</v>
      </c>
      <c r="LR20" s="8">
        <v>1</v>
      </c>
      <c r="LS20" s="41"/>
      <c r="LT20" s="41"/>
      <c r="LU20" s="8">
        <v>1</v>
      </c>
      <c r="LV20" s="8">
        <v>1</v>
      </c>
      <c r="LW20" s="8">
        <v>1</v>
      </c>
      <c r="LX20" s="8">
        <v>1</v>
      </c>
      <c r="LY20" s="8">
        <v>1</v>
      </c>
      <c r="LZ20" s="41"/>
      <c r="MA20" s="41"/>
      <c r="MB20" s="8">
        <v>1</v>
      </c>
      <c r="MC20" s="8">
        <v>1</v>
      </c>
      <c r="MD20" s="8">
        <v>1</v>
      </c>
      <c r="ME20" s="8">
        <v>1</v>
      </c>
      <c r="MF20" s="8">
        <v>1</v>
      </c>
      <c r="MG20" s="41"/>
      <c r="MH20" s="41"/>
      <c r="MI20" s="8">
        <v>1</v>
      </c>
      <c r="MJ20" s="8">
        <v>1</v>
      </c>
      <c r="MK20" s="8">
        <v>1</v>
      </c>
      <c r="ML20" s="8">
        <v>1</v>
      </c>
      <c r="MM20" s="8">
        <v>1</v>
      </c>
      <c r="MN20" s="41"/>
      <c r="MO20" s="41"/>
      <c r="MP20" s="8">
        <v>1</v>
      </c>
      <c r="MQ20" s="8">
        <v>1</v>
      </c>
      <c r="MR20" s="8">
        <v>1</v>
      </c>
      <c r="MS20" s="8">
        <v>1</v>
      </c>
      <c r="MT20" s="8">
        <v>1</v>
      </c>
      <c r="MU20" s="41"/>
      <c r="MV20" s="41"/>
      <c r="MW20" s="8">
        <v>1</v>
      </c>
      <c r="MX20" s="8">
        <v>1</v>
      </c>
      <c r="MY20" s="8">
        <v>1</v>
      </c>
      <c r="MZ20" s="8">
        <v>1</v>
      </c>
      <c r="NA20" s="8">
        <v>1</v>
      </c>
      <c r="NB20" s="41"/>
      <c r="NC20" s="41"/>
      <c r="ND20" s="8">
        <v>1</v>
      </c>
      <c r="NE20" s="8">
        <v>1</v>
      </c>
      <c r="NF20" s="8">
        <v>1</v>
      </c>
      <c r="NG20" s="8">
        <v>1</v>
      </c>
      <c r="NH20" s="8">
        <v>1</v>
      </c>
      <c r="NI20" s="41"/>
      <c r="NJ20" s="41"/>
      <c r="NK20" s="8">
        <v>1</v>
      </c>
      <c r="NL20" s="8">
        <v>1</v>
      </c>
      <c r="NM20" s="8">
        <v>1</v>
      </c>
      <c r="NN20" s="8">
        <v>1</v>
      </c>
      <c r="NO20" s="8">
        <v>1</v>
      </c>
      <c r="NP20" s="40"/>
      <c r="NQ20" s="40"/>
      <c r="NR20" s="8">
        <v>1</v>
      </c>
      <c r="NS20" s="8">
        <v>1</v>
      </c>
      <c r="NT20" s="8">
        <v>1</v>
      </c>
      <c r="NU20" s="8">
        <v>1</v>
      </c>
      <c r="NV20" s="8">
        <v>1</v>
      </c>
      <c r="NW20" s="40"/>
      <c r="NX20" s="40"/>
      <c r="NY20" s="8">
        <v>1</v>
      </c>
      <c r="NZ20" s="8">
        <v>1</v>
      </c>
      <c r="OA20" s="8">
        <v>1</v>
      </c>
      <c r="OB20" s="8"/>
      <c r="OC20" s="8">
        <v>1</v>
      </c>
      <c r="OD20" s="41"/>
      <c r="OE20" s="41"/>
      <c r="OF20" s="8">
        <v>1</v>
      </c>
      <c r="OG20" s="8">
        <v>1</v>
      </c>
      <c r="OH20" s="8">
        <v>1</v>
      </c>
      <c r="OI20" s="32"/>
      <c r="OJ20" s="33"/>
      <c r="OK20" s="33"/>
      <c r="OL20" s="33"/>
      <c r="OM20" s="33"/>
      <c r="ON20" s="33"/>
      <c r="OO20" s="33"/>
      <c r="OP20" s="33"/>
      <c r="OQ20" s="33"/>
      <c r="OR20" s="33"/>
      <c r="OS20" s="33"/>
      <c r="OT20" s="33"/>
      <c r="OU20" s="33"/>
      <c r="OV20" s="33"/>
      <c r="OW20" s="33"/>
      <c r="OX20" s="33"/>
      <c r="OY20" s="33"/>
      <c r="OZ20" s="33"/>
      <c r="PA20" s="33"/>
      <c r="PB20" s="33"/>
      <c r="PC20" s="33"/>
      <c r="PD20" s="33"/>
      <c r="PE20" s="33"/>
      <c r="PF20" s="33"/>
      <c r="PG20" s="33"/>
      <c r="PH20" s="33"/>
      <c r="PI20" s="33"/>
      <c r="PJ20" s="33"/>
      <c r="PK20" s="33"/>
      <c r="PL20" s="33"/>
      <c r="PM20" s="33"/>
      <c r="PN20" s="33"/>
      <c r="PO20" s="33"/>
      <c r="PP20" s="33"/>
      <c r="PQ20" s="33"/>
      <c r="PR20" s="33"/>
      <c r="PS20" s="33"/>
      <c r="PT20" s="33"/>
      <c r="PU20" s="42"/>
      <c r="PV20" s="42"/>
      <c r="PW20" s="42"/>
      <c r="PX20" s="42"/>
      <c r="PY20" s="42"/>
      <c r="PZ20" s="42"/>
      <c r="QA20" s="42"/>
      <c r="QB20" s="42"/>
      <c r="QC20" s="42"/>
      <c r="QD20" s="42"/>
      <c r="QE20" s="42"/>
      <c r="QF20" s="42"/>
      <c r="QG20" s="42"/>
      <c r="QH20" s="42"/>
      <c r="QI20" s="42"/>
    </row>
    <row r="21" spans="1:451" s="43" customFormat="1" ht="21" x14ac:dyDescent="0.3">
      <c r="A21" s="61" t="s">
        <v>514</v>
      </c>
      <c r="B21" s="62" t="s">
        <v>432</v>
      </c>
      <c r="C21" s="45"/>
      <c r="D21" s="8">
        <v>1</v>
      </c>
      <c r="E21" s="8">
        <v>1</v>
      </c>
      <c r="F21" s="8">
        <v>1</v>
      </c>
      <c r="G21" s="8">
        <v>1</v>
      </c>
      <c r="H21" s="8">
        <v>1</v>
      </c>
      <c r="I21" s="46"/>
      <c r="J21" s="46"/>
      <c r="K21" s="8">
        <v>1</v>
      </c>
      <c r="L21" s="8">
        <v>1</v>
      </c>
      <c r="M21" s="8">
        <v>1</v>
      </c>
      <c r="N21" s="8">
        <v>1</v>
      </c>
      <c r="O21" s="8">
        <v>1</v>
      </c>
      <c r="P21" s="46"/>
      <c r="Q21" s="46"/>
      <c r="R21" s="8">
        <v>1</v>
      </c>
      <c r="S21" s="8">
        <v>1</v>
      </c>
      <c r="T21" s="8">
        <v>1</v>
      </c>
      <c r="U21" s="8">
        <v>1</v>
      </c>
      <c r="V21" s="8">
        <v>1</v>
      </c>
      <c r="W21" s="46"/>
      <c r="X21" s="46"/>
      <c r="Y21" s="8">
        <v>1</v>
      </c>
      <c r="Z21" s="8">
        <v>1</v>
      </c>
      <c r="AA21" s="8"/>
      <c r="AB21" s="8">
        <v>0.5</v>
      </c>
      <c r="AC21" s="8">
        <v>0</v>
      </c>
      <c r="AD21" s="46"/>
      <c r="AE21" s="46"/>
      <c r="AF21" s="8">
        <v>0</v>
      </c>
      <c r="AG21" s="8">
        <v>0</v>
      </c>
      <c r="AH21" s="38"/>
      <c r="AI21" s="8">
        <v>0</v>
      </c>
      <c r="AJ21" s="8">
        <v>0</v>
      </c>
      <c r="AK21" s="8"/>
      <c r="AL21" s="8"/>
      <c r="AM21" s="109">
        <v>1</v>
      </c>
      <c r="AN21" s="109">
        <v>1</v>
      </c>
      <c r="AO21" s="8">
        <v>1</v>
      </c>
      <c r="AP21" s="8">
        <v>1</v>
      </c>
      <c r="AQ21" s="8">
        <v>1</v>
      </c>
      <c r="AR21" s="39"/>
      <c r="AS21" s="39"/>
      <c r="AT21" s="8">
        <v>1</v>
      </c>
      <c r="AU21" s="8">
        <v>1</v>
      </c>
      <c r="AV21" s="8">
        <v>1</v>
      </c>
      <c r="AW21" s="8">
        <v>1</v>
      </c>
      <c r="AX21" s="8">
        <v>1</v>
      </c>
      <c r="AY21" s="39"/>
      <c r="AZ21" s="39"/>
      <c r="BA21" s="39">
        <v>1</v>
      </c>
      <c r="BB21" s="39">
        <v>1</v>
      </c>
      <c r="BC21" s="39">
        <v>1</v>
      </c>
      <c r="BD21" s="39">
        <v>1</v>
      </c>
      <c r="BE21" s="39">
        <v>1</v>
      </c>
      <c r="BF21" s="39"/>
      <c r="BG21" s="39"/>
      <c r="BH21" s="39">
        <v>1</v>
      </c>
      <c r="BI21" s="39">
        <v>1</v>
      </c>
      <c r="BJ21" s="39">
        <v>1</v>
      </c>
      <c r="BK21" s="39">
        <v>1</v>
      </c>
      <c r="BL21" s="39">
        <v>1</v>
      </c>
      <c r="BM21" s="40"/>
      <c r="BN21" s="40"/>
      <c r="BO21" s="8">
        <v>1</v>
      </c>
      <c r="BP21" s="8">
        <v>1</v>
      </c>
      <c r="BQ21" s="8">
        <v>1</v>
      </c>
      <c r="BR21" s="8">
        <v>1</v>
      </c>
      <c r="BS21" s="8">
        <v>1</v>
      </c>
      <c r="BT21" s="40"/>
      <c r="BU21" s="40"/>
      <c r="BV21" s="8">
        <v>1</v>
      </c>
      <c r="BW21" s="8">
        <v>1</v>
      </c>
      <c r="BX21" s="8">
        <v>1</v>
      </c>
      <c r="BY21" s="8">
        <v>1</v>
      </c>
      <c r="BZ21" s="8">
        <v>1</v>
      </c>
      <c r="CA21" s="40"/>
      <c r="CB21" s="40"/>
      <c r="CC21" s="8">
        <v>1</v>
      </c>
      <c r="CD21" s="8">
        <v>1</v>
      </c>
      <c r="CE21" s="8">
        <v>1</v>
      </c>
      <c r="CF21" s="8">
        <v>1</v>
      </c>
      <c r="CG21" s="8">
        <v>1</v>
      </c>
      <c r="CH21" s="40"/>
      <c r="CI21" s="40"/>
      <c r="CJ21" s="8">
        <v>1</v>
      </c>
      <c r="CK21" s="8">
        <v>1</v>
      </c>
      <c r="CL21" s="8">
        <v>1</v>
      </c>
      <c r="CM21" s="8">
        <v>1</v>
      </c>
      <c r="CN21" s="8">
        <v>1</v>
      </c>
      <c r="CO21" s="40"/>
      <c r="CP21" s="40"/>
      <c r="CQ21" s="8">
        <v>1</v>
      </c>
      <c r="CR21" s="8">
        <v>1</v>
      </c>
      <c r="CS21" s="8">
        <v>1</v>
      </c>
      <c r="CT21" s="8">
        <v>1</v>
      </c>
      <c r="CU21" s="8">
        <v>1</v>
      </c>
      <c r="CV21" s="40"/>
      <c r="CW21" s="40"/>
      <c r="CX21" s="8">
        <v>1</v>
      </c>
      <c r="CY21" s="8">
        <v>1</v>
      </c>
      <c r="CZ21" s="8">
        <v>1</v>
      </c>
      <c r="DA21" s="8">
        <v>1</v>
      </c>
      <c r="DB21" s="8">
        <v>1</v>
      </c>
      <c r="DC21" s="40"/>
      <c r="DD21" s="40"/>
      <c r="DE21" s="8">
        <v>1</v>
      </c>
      <c r="DF21" s="8">
        <v>1</v>
      </c>
      <c r="DG21" s="8">
        <v>1</v>
      </c>
      <c r="DH21" s="8">
        <v>1</v>
      </c>
      <c r="DI21" s="8">
        <v>1</v>
      </c>
      <c r="DJ21" s="40"/>
      <c r="DK21" s="40"/>
      <c r="DL21" s="8">
        <v>1</v>
      </c>
      <c r="DM21" s="8">
        <v>1</v>
      </c>
      <c r="DN21" s="8">
        <v>1</v>
      </c>
      <c r="DO21" s="8">
        <v>1</v>
      </c>
      <c r="DP21" s="8">
        <v>1</v>
      </c>
      <c r="DQ21" s="41"/>
      <c r="DR21" s="41"/>
      <c r="DS21" s="8">
        <v>1</v>
      </c>
      <c r="DT21" s="8">
        <v>1</v>
      </c>
      <c r="DU21" s="8">
        <v>1</v>
      </c>
      <c r="DV21" s="8">
        <v>1</v>
      </c>
      <c r="DW21" s="8">
        <v>1</v>
      </c>
      <c r="DX21" s="41"/>
      <c r="DY21" s="41"/>
      <c r="DZ21" s="8">
        <v>1</v>
      </c>
      <c r="EA21" s="8">
        <v>1</v>
      </c>
      <c r="EB21" s="8">
        <v>1</v>
      </c>
      <c r="EC21" s="8">
        <v>1</v>
      </c>
      <c r="ED21" s="8">
        <v>1</v>
      </c>
      <c r="EE21" s="41"/>
      <c r="EF21" s="41"/>
      <c r="EG21" s="8">
        <v>1</v>
      </c>
      <c r="EH21" s="8">
        <v>1</v>
      </c>
      <c r="EI21" s="8">
        <v>1</v>
      </c>
      <c r="EJ21" s="8">
        <v>1</v>
      </c>
      <c r="EK21" s="8">
        <v>1</v>
      </c>
      <c r="EL21" s="41"/>
      <c r="EM21" s="41"/>
      <c r="EN21" s="38"/>
      <c r="EO21" s="8">
        <v>1</v>
      </c>
      <c r="EP21" s="8">
        <v>1</v>
      </c>
      <c r="EQ21" s="8">
        <v>1</v>
      </c>
      <c r="ER21" s="8">
        <v>1</v>
      </c>
      <c r="ES21" s="41"/>
      <c r="ET21" s="41"/>
      <c r="EU21" s="8">
        <v>1</v>
      </c>
      <c r="EV21" s="8">
        <v>1</v>
      </c>
      <c r="EW21" s="8">
        <v>1</v>
      </c>
      <c r="EX21" s="38"/>
      <c r="EY21" s="8">
        <v>0</v>
      </c>
      <c r="EZ21" s="41"/>
      <c r="FA21" s="41"/>
      <c r="FB21" s="8">
        <v>1</v>
      </c>
      <c r="FC21" s="8">
        <v>1</v>
      </c>
      <c r="FD21" s="8">
        <v>1</v>
      </c>
      <c r="FE21" s="38"/>
      <c r="FF21" s="8">
        <v>0</v>
      </c>
      <c r="FG21" s="41"/>
      <c r="FH21" s="41"/>
      <c r="FI21" s="8">
        <v>1</v>
      </c>
      <c r="FJ21" s="8">
        <v>1</v>
      </c>
      <c r="FK21" s="8">
        <v>1</v>
      </c>
      <c r="FL21" s="8">
        <v>1</v>
      </c>
      <c r="FM21" s="8">
        <v>1</v>
      </c>
      <c r="FN21" s="41"/>
      <c r="FO21" s="41"/>
      <c r="FP21" s="8">
        <v>1</v>
      </c>
      <c r="FQ21" s="8">
        <v>1</v>
      </c>
      <c r="FR21" s="8">
        <v>1</v>
      </c>
      <c r="FS21" s="8">
        <v>1</v>
      </c>
      <c r="FT21" s="8">
        <v>1</v>
      </c>
      <c r="FU21" s="41"/>
      <c r="FV21" s="41"/>
      <c r="FW21" s="8">
        <v>1</v>
      </c>
      <c r="FX21" s="8">
        <v>1</v>
      </c>
      <c r="FY21" s="8">
        <v>1</v>
      </c>
      <c r="FZ21" s="38"/>
      <c r="GA21" s="8">
        <v>0</v>
      </c>
      <c r="GB21" s="41"/>
      <c r="GC21" s="41"/>
      <c r="GD21" s="8">
        <v>1</v>
      </c>
      <c r="GE21" s="8">
        <v>1</v>
      </c>
      <c r="GF21" s="8">
        <v>1</v>
      </c>
      <c r="GG21" s="8">
        <v>1</v>
      </c>
      <c r="GH21" s="8">
        <v>1</v>
      </c>
      <c r="GI21" s="41"/>
      <c r="GJ21" s="41"/>
      <c r="GK21" s="38"/>
      <c r="GL21" s="8">
        <v>1</v>
      </c>
      <c r="GM21" s="8">
        <v>1</v>
      </c>
      <c r="GN21" s="8">
        <v>1</v>
      </c>
      <c r="GO21" s="8">
        <v>1</v>
      </c>
      <c r="GP21" s="41"/>
      <c r="GQ21" s="41"/>
      <c r="GR21" s="8">
        <v>1</v>
      </c>
      <c r="GS21" s="8">
        <v>1</v>
      </c>
      <c r="GT21" s="8">
        <v>1</v>
      </c>
      <c r="GU21" s="8">
        <v>1</v>
      </c>
      <c r="GV21" s="8">
        <v>1</v>
      </c>
      <c r="GW21" s="41"/>
      <c r="GX21" s="41"/>
      <c r="GY21" s="8">
        <v>1</v>
      </c>
      <c r="GZ21" s="8">
        <v>1</v>
      </c>
      <c r="HA21" s="8">
        <v>1</v>
      </c>
      <c r="HB21" s="8">
        <v>1</v>
      </c>
      <c r="HC21" s="8">
        <v>1</v>
      </c>
      <c r="HD21" s="41"/>
      <c r="HE21" s="41"/>
      <c r="HF21" s="8">
        <v>1</v>
      </c>
      <c r="HG21" s="8">
        <v>1</v>
      </c>
      <c r="HH21" s="8">
        <v>1</v>
      </c>
      <c r="HI21" s="8">
        <v>1</v>
      </c>
      <c r="HJ21" s="8">
        <v>1</v>
      </c>
      <c r="HK21" s="41"/>
      <c r="HL21" s="41"/>
      <c r="HM21" s="8">
        <v>1</v>
      </c>
      <c r="HN21" s="8">
        <v>1</v>
      </c>
      <c r="HO21" s="8">
        <v>1</v>
      </c>
      <c r="HP21" s="8">
        <v>1</v>
      </c>
      <c r="HQ21" s="8">
        <v>0</v>
      </c>
      <c r="HR21" s="41"/>
      <c r="HS21" s="41"/>
      <c r="HT21" s="38"/>
      <c r="HU21" s="8">
        <v>0</v>
      </c>
      <c r="HV21" s="8">
        <v>0</v>
      </c>
      <c r="HW21" s="8">
        <v>0</v>
      </c>
      <c r="HX21" s="8">
        <v>0</v>
      </c>
      <c r="HY21" s="41"/>
      <c r="HZ21" s="41"/>
      <c r="IA21" s="8">
        <v>1</v>
      </c>
      <c r="IB21" s="8">
        <v>1</v>
      </c>
      <c r="IC21" s="8">
        <v>1</v>
      </c>
      <c r="ID21" s="8">
        <v>1</v>
      </c>
      <c r="IE21" s="8">
        <v>1</v>
      </c>
      <c r="IF21" s="41"/>
      <c r="IG21" s="41"/>
      <c r="IH21" s="8">
        <v>1</v>
      </c>
      <c r="II21" s="8">
        <v>1</v>
      </c>
      <c r="IJ21" s="8">
        <v>1</v>
      </c>
      <c r="IK21" s="8">
        <v>1</v>
      </c>
      <c r="IL21" s="8">
        <v>1</v>
      </c>
      <c r="IM21" s="41"/>
      <c r="IN21" s="41"/>
      <c r="IO21" s="8">
        <v>0</v>
      </c>
      <c r="IP21" s="8">
        <v>0</v>
      </c>
      <c r="IQ21" s="8">
        <v>0</v>
      </c>
      <c r="IR21" s="8">
        <v>0</v>
      </c>
      <c r="IS21" s="8">
        <v>0</v>
      </c>
      <c r="IT21" s="41"/>
      <c r="IU21" s="41"/>
      <c r="IV21" s="8">
        <v>0</v>
      </c>
      <c r="IW21" s="8">
        <v>0</v>
      </c>
      <c r="IX21" s="8">
        <v>0</v>
      </c>
      <c r="IY21" s="8">
        <v>0</v>
      </c>
      <c r="IZ21" s="38"/>
      <c r="JA21" s="41"/>
      <c r="JB21" s="41"/>
      <c r="JC21" s="8">
        <v>1</v>
      </c>
      <c r="JD21" s="8">
        <v>1</v>
      </c>
      <c r="JE21" s="8">
        <v>1</v>
      </c>
      <c r="JF21" s="8">
        <v>1</v>
      </c>
      <c r="JG21" s="8">
        <v>1</v>
      </c>
      <c r="JH21" s="41"/>
      <c r="JI21" s="41"/>
      <c r="JJ21" s="8">
        <v>1</v>
      </c>
      <c r="JK21" s="8">
        <v>1</v>
      </c>
      <c r="JL21" s="8">
        <v>1</v>
      </c>
      <c r="JM21" s="8">
        <v>1</v>
      </c>
      <c r="JN21" s="8">
        <v>1</v>
      </c>
      <c r="JO21" s="41"/>
      <c r="JP21" s="41"/>
      <c r="JQ21" s="8">
        <v>1</v>
      </c>
      <c r="JR21" s="8">
        <v>1</v>
      </c>
      <c r="JS21" s="8">
        <v>1</v>
      </c>
      <c r="JT21" s="8">
        <v>1</v>
      </c>
      <c r="JU21" s="8">
        <v>1</v>
      </c>
      <c r="JV21" s="41"/>
      <c r="JW21" s="41"/>
      <c r="JX21" s="8">
        <v>1</v>
      </c>
      <c r="JY21" s="8">
        <v>1</v>
      </c>
      <c r="JZ21" s="8">
        <v>1</v>
      </c>
      <c r="KA21" s="8">
        <v>1</v>
      </c>
      <c r="KB21" s="8">
        <v>1</v>
      </c>
      <c r="KC21" s="41"/>
      <c r="KD21" s="41"/>
      <c r="KE21" s="8">
        <v>1</v>
      </c>
      <c r="KF21" s="8">
        <v>1</v>
      </c>
      <c r="KG21" s="8">
        <v>1</v>
      </c>
      <c r="KH21" s="8">
        <v>1</v>
      </c>
      <c r="KI21" s="8">
        <v>1</v>
      </c>
      <c r="KJ21" s="41"/>
      <c r="KK21" s="41"/>
      <c r="KL21" s="8">
        <v>1</v>
      </c>
      <c r="KM21" s="8">
        <v>1</v>
      </c>
      <c r="KN21" s="8">
        <v>1</v>
      </c>
      <c r="KO21" s="8">
        <v>1</v>
      </c>
      <c r="KP21" s="8">
        <v>1</v>
      </c>
      <c r="KQ21" s="41"/>
      <c r="KR21" s="41"/>
      <c r="KS21" s="8">
        <v>1</v>
      </c>
      <c r="KT21" s="8">
        <v>1</v>
      </c>
      <c r="KU21" s="8">
        <v>1</v>
      </c>
      <c r="KV21" s="8">
        <v>1</v>
      </c>
      <c r="KW21" s="8">
        <v>1</v>
      </c>
      <c r="KX21" s="41"/>
      <c r="KY21" s="41"/>
      <c r="KZ21" s="8">
        <v>1</v>
      </c>
      <c r="LA21" s="8">
        <v>1</v>
      </c>
      <c r="LB21" s="8">
        <v>1</v>
      </c>
      <c r="LC21" s="8">
        <v>1</v>
      </c>
      <c r="LD21" s="8">
        <v>1</v>
      </c>
      <c r="LE21" s="41"/>
      <c r="LF21" s="41"/>
      <c r="LG21" s="8">
        <v>1</v>
      </c>
      <c r="LH21" s="8">
        <v>1</v>
      </c>
      <c r="LI21" s="8">
        <v>1</v>
      </c>
      <c r="LJ21" s="8">
        <v>1</v>
      </c>
      <c r="LK21" s="8">
        <v>1</v>
      </c>
      <c r="LL21" s="41"/>
      <c r="LM21" s="41"/>
      <c r="LN21" s="8">
        <v>1</v>
      </c>
      <c r="LO21" s="8">
        <v>1</v>
      </c>
      <c r="LP21" s="8">
        <v>1</v>
      </c>
      <c r="LQ21" s="8">
        <v>1</v>
      </c>
      <c r="LR21" s="8">
        <v>1</v>
      </c>
      <c r="LS21" s="41"/>
      <c r="LT21" s="41"/>
      <c r="LU21" s="8">
        <v>1</v>
      </c>
      <c r="LV21" s="8">
        <v>1</v>
      </c>
      <c r="LW21" s="8">
        <v>1</v>
      </c>
      <c r="LX21" s="8">
        <v>1</v>
      </c>
      <c r="LY21" s="8">
        <v>1</v>
      </c>
      <c r="LZ21" s="41"/>
      <c r="MA21" s="41"/>
      <c r="MB21" s="8">
        <v>1</v>
      </c>
      <c r="MC21" s="8">
        <v>1</v>
      </c>
      <c r="MD21" s="8">
        <v>1</v>
      </c>
      <c r="ME21" s="8">
        <v>1</v>
      </c>
      <c r="MF21" s="8">
        <v>1</v>
      </c>
      <c r="MG21" s="41"/>
      <c r="MH21" s="41"/>
      <c r="MI21" s="8">
        <v>1</v>
      </c>
      <c r="MJ21" s="8">
        <v>1</v>
      </c>
      <c r="MK21" s="8">
        <v>1</v>
      </c>
      <c r="ML21" s="8">
        <v>1</v>
      </c>
      <c r="MM21" s="8">
        <v>1</v>
      </c>
      <c r="MN21" s="41"/>
      <c r="MO21" s="41"/>
      <c r="MP21" s="8">
        <v>1</v>
      </c>
      <c r="MQ21" s="8">
        <v>1</v>
      </c>
      <c r="MR21" s="8">
        <v>1</v>
      </c>
      <c r="MS21" s="8">
        <v>1</v>
      </c>
      <c r="MT21" s="8">
        <v>1</v>
      </c>
      <c r="MU21" s="41"/>
      <c r="MV21" s="41"/>
      <c r="MW21" s="8">
        <v>1</v>
      </c>
      <c r="MX21" s="8">
        <v>1</v>
      </c>
      <c r="MY21" s="8">
        <v>1</v>
      </c>
      <c r="MZ21" s="8">
        <v>1</v>
      </c>
      <c r="NA21" s="8">
        <v>1</v>
      </c>
      <c r="NB21" s="41"/>
      <c r="NC21" s="41"/>
      <c r="ND21" s="8">
        <v>1</v>
      </c>
      <c r="NE21" s="8">
        <v>1</v>
      </c>
      <c r="NF21" s="8">
        <v>1</v>
      </c>
      <c r="NG21" s="8">
        <v>1</v>
      </c>
      <c r="NH21" s="8">
        <v>1</v>
      </c>
      <c r="NI21" s="41"/>
      <c r="NJ21" s="41"/>
      <c r="NK21" s="8">
        <v>1</v>
      </c>
      <c r="NL21" s="8">
        <v>1</v>
      </c>
      <c r="NM21" s="8">
        <v>1</v>
      </c>
      <c r="NN21" s="8">
        <v>1</v>
      </c>
      <c r="NO21" s="8">
        <v>1</v>
      </c>
      <c r="NP21" s="40"/>
      <c r="NQ21" s="40"/>
      <c r="NR21" s="8">
        <v>1</v>
      </c>
      <c r="NS21" s="8">
        <v>1</v>
      </c>
      <c r="NT21" s="8">
        <v>1</v>
      </c>
      <c r="NU21" s="8">
        <v>1</v>
      </c>
      <c r="NV21" s="8">
        <v>1</v>
      </c>
      <c r="NW21" s="40"/>
      <c r="NX21" s="40"/>
      <c r="NY21" s="8">
        <v>1</v>
      </c>
      <c r="NZ21" s="8">
        <v>1</v>
      </c>
      <c r="OA21" s="8">
        <v>1</v>
      </c>
      <c r="OB21" s="8"/>
      <c r="OC21" s="8">
        <v>1</v>
      </c>
      <c r="OD21" s="41"/>
      <c r="OE21" s="41"/>
      <c r="OF21" s="8">
        <v>1</v>
      </c>
      <c r="OG21" s="8">
        <v>1</v>
      </c>
      <c r="OH21" s="8">
        <v>1</v>
      </c>
      <c r="OI21" s="32"/>
      <c r="OJ21" s="33"/>
      <c r="OK21" s="33"/>
      <c r="OL21" s="33"/>
      <c r="OM21" s="33"/>
      <c r="ON21" s="33"/>
      <c r="OO21" s="33"/>
      <c r="OP21" s="33"/>
      <c r="OQ21" s="33"/>
      <c r="OR21" s="33"/>
      <c r="OS21" s="33"/>
      <c r="OT21" s="33"/>
      <c r="OU21" s="33"/>
      <c r="OV21" s="33"/>
      <c r="OW21" s="33"/>
      <c r="OX21" s="33"/>
      <c r="OY21" s="33"/>
      <c r="OZ21" s="33"/>
      <c r="PA21" s="33"/>
      <c r="PB21" s="33"/>
      <c r="PC21" s="33"/>
      <c r="PD21" s="33"/>
      <c r="PE21" s="33"/>
      <c r="PF21" s="33"/>
      <c r="PG21" s="33"/>
      <c r="PH21" s="33"/>
      <c r="PI21" s="33"/>
      <c r="PJ21" s="33"/>
      <c r="PK21" s="33"/>
      <c r="PL21" s="33"/>
      <c r="PM21" s="33"/>
      <c r="PN21" s="33"/>
      <c r="PO21" s="33"/>
      <c r="PP21" s="33"/>
      <c r="PQ21" s="33"/>
      <c r="PR21" s="33"/>
      <c r="PS21" s="33"/>
      <c r="PT21" s="33"/>
      <c r="PU21" s="42"/>
      <c r="PV21" s="42"/>
      <c r="PW21" s="42"/>
      <c r="PX21" s="42"/>
      <c r="PY21" s="42"/>
      <c r="PZ21" s="42"/>
      <c r="QA21" s="42"/>
      <c r="QB21" s="42"/>
      <c r="QC21" s="42"/>
      <c r="QD21" s="42"/>
      <c r="QE21" s="42"/>
      <c r="QF21" s="42"/>
      <c r="QG21" s="42"/>
      <c r="QH21" s="42"/>
      <c r="QI21" s="42"/>
    </row>
    <row r="22" spans="1:451" s="43" customFormat="1" ht="21" x14ac:dyDescent="0.3">
      <c r="A22" s="61" t="s">
        <v>515</v>
      </c>
      <c r="B22" s="62" t="s">
        <v>432</v>
      </c>
      <c r="C22" s="45"/>
      <c r="D22" s="8">
        <v>1</v>
      </c>
      <c r="E22" s="8">
        <v>1</v>
      </c>
      <c r="F22" s="8">
        <v>1</v>
      </c>
      <c r="G22" s="8">
        <v>1</v>
      </c>
      <c r="H22" s="8">
        <v>1</v>
      </c>
      <c r="I22" s="46"/>
      <c r="J22" s="46"/>
      <c r="K22" s="8">
        <v>1</v>
      </c>
      <c r="L22" s="8">
        <v>1</v>
      </c>
      <c r="M22" s="8">
        <v>1</v>
      </c>
      <c r="N22" s="8">
        <v>1</v>
      </c>
      <c r="O22" s="8">
        <v>1</v>
      </c>
      <c r="P22" s="46"/>
      <c r="Q22" s="46"/>
      <c r="R22" s="8">
        <v>1</v>
      </c>
      <c r="S22" s="8">
        <v>1</v>
      </c>
      <c r="T22" s="8">
        <v>1</v>
      </c>
      <c r="U22" s="8">
        <v>1</v>
      </c>
      <c r="V22" s="8">
        <v>1</v>
      </c>
      <c r="W22" s="46"/>
      <c r="X22" s="46"/>
      <c r="Y22" s="8">
        <v>0</v>
      </c>
      <c r="Z22" s="8">
        <v>0</v>
      </c>
      <c r="AA22" s="8"/>
      <c r="AB22" s="8">
        <v>0</v>
      </c>
      <c r="AC22" s="8">
        <v>0</v>
      </c>
      <c r="AD22" s="46"/>
      <c r="AE22" s="46"/>
      <c r="AF22" s="8">
        <v>0</v>
      </c>
      <c r="AG22" s="8">
        <v>0</v>
      </c>
      <c r="AH22" s="38"/>
      <c r="AI22" s="8">
        <v>0</v>
      </c>
      <c r="AJ22" s="8">
        <v>0</v>
      </c>
      <c r="AK22" s="8"/>
      <c r="AL22" s="8"/>
      <c r="AM22" s="109">
        <v>1</v>
      </c>
      <c r="AN22" s="109">
        <v>1</v>
      </c>
      <c r="AO22" s="8">
        <v>1</v>
      </c>
      <c r="AP22" s="8">
        <v>1</v>
      </c>
      <c r="AQ22" s="8">
        <v>1</v>
      </c>
      <c r="AR22" s="39"/>
      <c r="AS22" s="39"/>
      <c r="AT22" s="8">
        <v>1</v>
      </c>
      <c r="AU22" s="8">
        <v>1</v>
      </c>
      <c r="AV22" s="8">
        <v>1</v>
      </c>
      <c r="AW22" s="8">
        <v>1</v>
      </c>
      <c r="AX22" s="8">
        <v>1</v>
      </c>
      <c r="AY22" s="39"/>
      <c r="AZ22" s="39"/>
      <c r="BA22" s="39">
        <v>1</v>
      </c>
      <c r="BB22" s="39">
        <v>1</v>
      </c>
      <c r="BC22" s="39">
        <v>1</v>
      </c>
      <c r="BD22" s="39">
        <v>1</v>
      </c>
      <c r="BE22" s="39">
        <v>1</v>
      </c>
      <c r="BF22" s="39"/>
      <c r="BG22" s="39"/>
      <c r="BH22" s="39">
        <v>1</v>
      </c>
      <c r="BI22" s="39">
        <v>1</v>
      </c>
      <c r="BJ22" s="39">
        <v>1</v>
      </c>
      <c r="BK22" s="39">
        <v>1</v>
      </c>
      <c r="BL22" s="39">
        <v>1</v>
      </c>
      <c r="BM22" s="40"/>
      <c r="BN22" s="40"/>
      <c r="BO22" s="8">
        <v>1</v>
      </c>
      <c r="BP22" s="8">
        <v>1</v>
      </c>
      <c r="BQ22" s="8">
        <v>1</v>
      </c>
      <c r="BR22" s="8">
        <v>1</v>
      </c>
      <c r="BS22" s="8">
        <v>1</v>
      </c>
      <c r="BT22" s="40"/>
      <c r="BU22" s="40"/>
      <c r="BV22" s="8">
        <v>1</v>
      </c>
      <c r="BW22" s="8">
        <v>1</v>
      </c>
      <c r="BX22" s="8">
        <v>1</v>
      </c>
      <c r="BY22" s="8">
        <v>1</v>
      </c>
      <c r="BZ22" s="8">
        <v>1</v>
      </c>
      <c r="CA22" s="40"/>
      <c r="CB22" s="40"/>
      <c r="CC22" s="8">
        <v>1</v>
      </c>
      <c r="CD22" s="8">
        <v>1</v>
      </c>
      <c r="CE22" s="8">
        <v>0</v>
      </c>
      <c r="CF22" s="8">
        <v>1</v>
      </c>
      <c r="CG22" s="8">
        <v>1</v>
      </c>
      <c r="CH22" s="40"/>
      <c r="CI22" s="40"/>
      <c r="CJ22" s="8">
        <v>1</v>
      </c>
      <c r="CK22" s="8">
        <v>1</v>
      </c>
      <c r="CL22" s="8">
        <v>1</v>
      </c>
      <c r="CM22" s="8">
        <v>1</v>
      </c>
      <c r="CN22" s="8">
        <v>1</v>
      </c>
      <c r="CO22" s="40"/>
      <c r="CP22" s="40"/>
      <c r="CQ22" s="8">
        <v>1</v>
      </c>
      <c r="CR22" s="8">
        <v>1</v>
      </c>
      <c r="CS22" s="8">
        <v>1</v>
      </c>
      <c r="CT22" s="8">
        <v>1</v>
      </c>
      <c r="CU22" s="8">
        <v>1</v>
      </c>
      <c r="CV22" s="40"/>
      <c r="CW22" s="40"/>
      <c r="CX22" s="8">
        <v>1</v>
      </c>
      <c r="CY22" s="8">
        <v>1</v>
      </c>
      <c r="CZ22" s="8">
        <v>1</v>
      </c>
      <c r="DA22" s="8">
        <v>1</v>
      </c>
      <c r="DB22" s="8">
        <v>1</v>
      </c>
      <c r="DC22" s="40"/>
      <c r="DD22" s="40"/>
      <c r="DE22" s="8">
        <v>1</v>
      </c>
      <c r="DF22" s="8">
        <v>1</v>
      </c>
      <c r="DG22" s="8">
        <v>1</v>
      </c>
      <c r="DH22" s="8">
        <v>1</v>
      </c>
      <c r="DI22" s="8">
        <v>1</v>
      </c>
      <c r="DJ22" s="40"/>
      <c r="DK22" s="40"/>
      <c r="DL22" s="8">
        <v>1</v>
      </c>
      <c r="DM22" s="8">
        <v>1</v>
      </c>
      <c r="DN22" s="8">
        <v>1</v>
      </c>
      <c r="DO22" s="8">
        <v>1</v>
      </c>
      <c r="DP22" s="8">
        <v>1</v>
      </c>
      <c r="DQ22" s="41"/>
      <c r="DR22" s="41"/>
      <c r="DS22" s="8">
        <v>1</v>
      </c>
      <c r="DT22" s="8">
        <v>1</v>
      </c>
      <c r="DU22" s="8">
        <v>1</v>
      </c>
      <c r="DV22" s="8">
        <v>1</v>
      </c>
      <c r="DW22" s="8">
        <v>1</v>
      </c>
      <c r="DX22" s="41"/>
      <c r="DY22" s="41"/>
      <c r="DZ22" s="8">
        <v>1</v>
      </c>
      <c r="EA22" s="8">
        <v>1</v>
      </c>
      <c r="EB22" s="8">
        <v>1</v>
      </c>
      <c r="EC22" s="8">
        <v>1</v>
      </c>
      <c r="ED22" s="8">
        <v>1</v>
      </c>
      <c r="EE22" s="41"/>
      <c r="EF22" s="41"/>
      <c r="EG22" s="8">
        <v>1</v>
      </c>
      <c r="EH22" s="8">
        <v>1</v>
      </c>
      <c r="EI22" s="8">
        <v>1</v>
      </c>
      <c r="EJ22" s="8">
        <v>1</v>
      </c>
      <c r="EK22" s="8">
        <v>1</v>
      </c>
      <c r="EL22" s="41"/>
      <c r="EM22" s="41"/>
      <c r="EN22" s="38"/>
      <c r="EO22" s="8">
        <v>1</v>
      </c>
      <c r="EP22" s="8">
        <v>1</v>
      </c>
      <c r="EQ22" s="8">
        <v>1</v>
      </c>
      <c r="ER22" s="8">
        <v>1</v>
      </c>
      <c r="ES22" s="41"/>
      <c r="ET22" s="41"/>
      <c r="EU22" s="8">
        <v>1</v>
      </c>
      <c r="EV22" s="8">
        <v>1</v>
      </c>
      <c r="EW22" s="8">
        <v>1</v>
      </c>
      <c r="EX22" s="38"/>
      <c r="EY22" s="8">
        <v>1</v>
      </c>
      <c r="EZ22" s="41"/>
      <c r="FA22" s="41"/>
      <c r="FB22" s="8">
        <v>1</v>
      </c>
      <c r="FC22" s="8">
        <v>1</v>
      </c>
      <c r="FD22" s="8">
        <v>1</v>
      </c>
      <c r="FE22" s="38"/>
      <c r="FF22" s="8">
        <v>1</v>
      </c>
      <c r="FG22" s="41"/>
      <c r="FH22" s="41"/>
      <c r="FI22" s="8">
        <v>1</v>
      </c>
      <c r="FJ22" s="8">
        <v>1</v>
      </c>
      <c r="FK22" s="8">
        <v>1</v>
      </c>
      <c r="FL22" s="8">
        <v>1</v>
      </c>
      <c r="FM22" s="8">
        <v>1</v>
      </c>
      <c r="FN22" s="41"/>
      <c r="FO22" s="41"/>
      <c r="FP22" s="8">
        <v>1</v>
      </c>
      <c r="FQ22" s="8">
        <v>1</v>
      </c>
      <c r="FR22" s="8">
        <v>1</v>
      </c>
      <c r="FS22" s="8">
        <v>1</v>
      </c>
      <c r="FT22" s="8">
        <v>1</v>
      </c>
      <c r="FU22" s="41"/>
      <c r="FV22" s="41"/>
      <c r="FW22" s="8">
        <v>1</v>
      </c>
      <c r="FX22" s="8">
        <v>1</v>
      </c>
      <c r="FY22" s="8">
        <v>1</v>
      </c>
      <c r="FZ22" s="38"/>
      <c r="GA22" s="8">
        <v>1</v>
      </c>
      <c r="GB22" s="41"/>
      <c r="GC22" s="41"/>
      <c r="GD22" s="8">
        <v>1</v>
      </c>
      <c r="GE22" s="8">
        <v>1</v>
      </c>
      <c r="GF22" s="8">
        <v>1</v>
      </c>
      <c r="GG22" s="8">
        <v>1</v>
      </c>
      <c r="GH22" s="8">
        <v>1</v>
      </c>
      <c r="GI22" s="41"/>
      <c r="GJ22" s="41"/>
      <c r="GK22" s="38"/>
      <c r="GL22" s="8">
        <v>1</v>
      </c>
      <c r="GM22" s="8">
        <v>1</v>
      </c>
      <c r="GN22" s="8">
        <v>1</v>
      </c>
      <c r="GO22" s="8">
        <v>1</v>
      </c>
      <c r="GP22" s="41"/>
      <c r="GQ22" s="41"/>
      <c r="GR22" s="8">
        <v>1</v>
      </c>
      <c r="GS22" s="8">
        <v>1</v>
      </c>
      <c r="GT22" s="8">
        <v>1</v>
      </c>
      <c r="GU22" s="8">
        <v>1</v>
      </c>
      <c r="GV22" s="8">
        <v>1</v>
      </c>
      <c r="GW22" s="41"/>
      <c r="GX22" s="41"/>
      <c r="GY22" s="8">
        <v>1</v>
      </c>
      <c r="GZ22" s="8">
        <v>1</v>
      </c>
      <c r="HA22" s="8">
        <v>1</v>
      </c>
      <c r="HB22" s="8">
        <v>1</v>
      </c>
      <c r="HC22" s="8">
        <v>1</v>
      </c>
      <c r="HD22" s="41"/>
      <c r="HE22" s="41"/>
      <c r="HF22" s="8">
        <v>1</v>
      </c>
      <c r="HG22" s="8">
        <v>1</v>
      </c>
      <c r="HH22" s="8">
        <v>1</v>
      </c>
      <c r="HI22" s="8">
        <v>1</v>
      </c>
      <c r="HJ22" s="8">
        <v>1</v>
      </c>
      <c r="HK22" s="41"/>
      <c r="HL22" s="41"/>
      <c r="HM22" s="8">
        <v>1</v>
      </c>
      <c r="HN22" s="8">
        <v>1</v>
      </c>
      <c r="HO22" s="8">
        <v>1</v>
      </c>
      <c r="HP22" s="8">
        <v>1</v>
      </c>
      <c r="HQ22" s="8">
        <v>1</v>
      </c>
      <c r="HR22" s="41"/>
      <c r="HS22" s="41"/>
      <c r="HT22" s="38"/>
      <c r="HU22" s="8">
        <v>1</v>
      </c>
      <c r="HV22" s="8">
        <v>1</v>
      </c>
      <c r="HW22" s="8">
        <v>1</v>
      </c>
      <c r="HX22" s="8">
        <v>1</v>
      </c>
      <c r="HY22" s="41"/>
      <c r="HZ22" s="41"/>
      <c r="IA22" s="8">
        <v>1</v>
      </c>
      <c r="IB22" s="8">
        <v>1</v>
      </c>
      <c r="IC22" s="8">
        <v>1</v>
      </c>
      <c r="ID22" s="8">
        <v>1</v>
      </c>
      <c r="IE22" s="8">
        <v>1</v>
      </c>
      <c r="IF22" s="41"/>
      <c r="IG22" s="41"/>
      <c r="IH22" s="8">
        <v>1</v>
      </c>
      <c r="II22" s="8">
        <v>1</v>
      </c>
      <c r="IJ22" s="8">
        <v>1</v>
      </c>
      <c r="IK22" s="8">
        <v>1</v>
      </c>
      <c r="IL22" s="8">
        <v>1</v>
      </c>
      <c r="IM22" s="41"/>
      <c r="IN22" s="41"/>
      <c r="IO22" s="8">
        <v>1</v>
      </c>
      <c r="IP22" s="8">
        <v>1</v>
      </c>
      <c r="IQ22" s="8">
        <v>1</v>
      </c>
      <c r="IR22" s="8">
        <v>1</v>
      </c>
      <c r="IS22" s="8">
        <v>1</v>
      </c>
      <c r="IT22" s="41"/>
      <c r="IU22" s="41"/>
      <c r="IV22" s="8">
        <v>1</v>
      </c>
      <c r="IW22" s="8">
        <v>1</v>
      </c>
      <c r="IX22" s="8">
        <v>1</v>
      </c>
      <c r="IY22" s="8">
        <v>1</v>
      </c>
      <c r="IZ22" s="38"/>
      <c r="JA22" s="41"/>
      <c r="JB22" s="41"/>
      <c r="JC22" s="8">
        <v>1</v>
      </c>
      <c r="JD22" s="8">
        <v>1</v>
      </c>
      <c r="JE22" s="8">
        <v>1</v>
      </c>
      <c r="JF22" s="8">
        <v>1</v>
      </c>
      <c r="JG22" s="8">
        <v>1</v>
      </c>
      <c r="JH22" s="41"/>
      <c r="JI22" s="41"/>
      <c r="JJ22" s="8">
        <v>1</v>
      </c>
      <c r="JK22" s="8">
        <v>1</v>
      </c>
      <c r="JL22" s="8">
        <v>1</v>
      </c>
      <c r="JM22" s="8">
        <v>1</v>
      </c>
      <c r="JN22" s="8">
        <v>1</v>
      </c>
      <c r="JO22" s="41"/>
      <c r="JP22" s="41"/>
      <c r="JQ22" s="8">
        <v>1</v>
      </c>
      <c r="JR22" s="8">
        <v>1</v>
      </c>
      <c r="JS22" s="8">
        <v>1</v>
      </c>
      <c r="JT22" s="8">
        <v>1</v>
      </c>
      <c r="JU22" s="8">
        <v>1</v>
      </c>
      <c r="JV22" s="41"/>
      <c r="JW22" s="41"/>
      <c r="JX22" s="8">
        <v>1</v>
      </c>
      <c r="JY22" s="8">
        <v>1</v>
      </c>
      <c r="JZ22" s="8">
        <v>1</v>
      </c>
      <c r="KA22" s="8">
        <v>1</v>
      </c>
      <c r="KB22" s="8">
        <v>1</v>
      </c>
      <c r="KC22" s="41"/>
      <c r="KD22" s="41"/>
      <c r="KE22" s="8">
        <v>1</v>
      </c>
      <c r="KF22" s="8">
        <v>1</v>
      </c>
      <c r="KG22" s="8">
        <v>1</v>
      </c>
      <c r="KH22" s="8">
        <v>1</v>
      </c>
      <c r="KI22" s="8">
        <v>1</v>
      </c>
      <c r="KJ22" s="41"/>
      <c r="KK22" s="41"/>
      <c r="KL22" s="8">
        <v>1</v>
      </c>
      <c r="KM22" s="8">
        <v>1</v>
      </c>
      <c r="KN22" s="8">
        <v>1</v>
      </c>
      <c r="KO22" s="8">
        <v>1</v>
      </c>
      <c r="KP22" s="8">
        <v>1</v>
      </c>
      <c r="KQ22" s="41"/>
      <c r="KR22" s="41"/>
      <c r="KS22" s="8">
        <v>1</v>
      </c>
      <c r="KT22" s="8">
        <v>1</v>
      </c>
      <c r="KU22" s="8">
        <v>1</v>
      </c>
      <c r="KV22" s="8">
        <v>1</v>
      </c>
      <c r="KW22" s="8">
        <v>1</v>
      </c>
      <c r="KX22" s="41"/>
      <c r="KY22" s="41"/>
      <c r="KZ22" s="8">
        <v>1</v>
      </c>
      <c r="LA22" s="8">
        <v>1</v>
      </c>
      <c r="LB22" s="8">
        <v>1</v>
      </c>
      <c r="LC22" s="8">
        <v>1</v>
      </c>
      <c r="LD22" s="8">
        <v>1</v>
      </c>
      <c r="LE22" s="41"/>
      <c r="LF22" s="41"/>
      <c r="LG22" s="8">
        <v>1</v>
      </c>
      <c r="LH22" s="8">
        <v>1</v>
      </c>
      <c r="LI22" s="8">
        <v>1</v>
      </c>
      <c r="LJ22" s="8">
        <v>1</v>
      </c>
      <c r="LK22" s="8">
        <v>1</v>
      </c>
      <c r="LL22" s="41"/>
      <c r="LM22" s="41"/>
      <c r="LN22" s="8">
        <v>1</v>
      </c>
      <c r="LO22" s="8">
        <v>1</v>
      </c>
      <c r="LP22" s="8">
        <v>1</v>
      </c>
      <c r="LQ22" s="8">
        <v>1</v>
      </c>
      <c r="LR22" s="8">
        <v>1</v>
      </c>
      <c r="LS22" s="41"/>
      <c r="LT22" s="41"/>
      <c r="LU22" s="8">
        <v>1</v>
      </c>
      <c r="LV22" s="8">
        <v>1</v>
      </c>
      <c r="LW22" s="8">
        <v>1</v>
      </c>
      <c r="LX22" s="8">
        <v>1</v>
      </c>
      <c r="LY22" s="8">
        <v>1</v>
      </c>
      <c r="LZ22" s="41"/>
      <c r="MA22" s="41"/>
      <c r="MB22" s="8">
        <v>1</v>
      </c>
      <c r="MC22" s="8">
        <v>1</v>
      </c>
      <c r="MD22" s="8">
        <v>1</v>
      </c>
      <c r="ME22" s="8">
        <v>1</v>
      </c>
      <c r="MF22" s="8">
        <v>1</v>
      </c>
      <c r="MG22" s="41"/>
      <c r="MH22" s="41"/>
      <c r="MI22" s="8">
        <v>1</v>
      </c>
      <c r="MJ22" s="8">
        <v>1</v>
      </c>
      <c r="MK22" s="8">
        <v>1</v>
      </c>
      <c r="ML22" s="8">
        <v>1</v>
      </c>
      <c r="MM22" s="8">
        <v>1</v>
      </c>
      <c r="MN22" s="41"/>
      <c r="MO22" s="41"/>
      <c r="MP22" s="8">
        <v>1</v>
      </c>
      <c r="MQ22" s="8">
        <v>1</v>
      </c>
      <c r="MR22" s="8">
        <v>1</v>
      </c>
      <c r="MS22" s="8">
        <v>1</v>
      </c>
      <c r="MT22" s="8">
        <v>1</v>
      </c>
      <c r="MU22" s="41"/>
      <c r="MV22" s="41"/>
      <c r="MW22" s="8">
        <v>1</v>
      </c>
      <c r="MX22" s="8">
        <v>1</v>
      </c>
      <c r="MY22" s="8">
        <v>1</v>
      </c>
      <c r="MZ22" s="8">
        <v>1</v>
      </c>
      <c r="NA22" s="8">
        <v>1</v>
      </c>
      <c r="NB22" s="41"/>
      <c r="NC22" s="41"/>
      <c r="ND22" s="8">
        <v>1</v>
      </c>
      <c r="NE22" s="8">
        <v>1</v>
      </c>
      <c r="NF22" s="8">
        <v>1</v>
      </c>
      <c r="NG22" s="8">
        <v>1</v>
      </c>
      <c r="NH22" s="8">
        <v>1</v>
      </c>
      <c r="NI22" s="41"/>
      <c r="NJ22" s="41"/>
      <c r="NK22" s="8">
        <v>1</v>
      </c>
      <c r="NL22" s="8">
        <v>1</v>
      </c>
      <c r="NM22" s="8">
        <v>1</v>
      </c>
      <c r="NN22" s="8">
        <v>1</v>
      </c>
      <c r="NO22" s="8">
        <v>1</v>
      </c>
      <c r="NP22" s="40"/>
      <c r="NQ22" s="40"/>
      <c r="NR22" s="8">
        <v>1</v>
      </c>
      <c r="NS22" s="8">
        <v>1</v>
      </c>
      <c r="NT22" s="8">
        <v>1</v>
      </c>
      <c r="NU22" s="8">
        <v>1</v>
      </c>
      <c r="NV22" s="8">
        <v>1</v>
      </c>
      <c r="NW22" s="40"/>
      <c r="NX22" s="40"/>
      <c r="NY22" s="8">
        <v>1</v>
      </c>
      <c r="NZ22" s="8">
        <v>1</v>
      </c>
      <c r="OA22" s="8">
        <v>1</v>
      </c>
      <c r="OB22" s="8"/>
      <c r="OC22" s="8">
        <v>1</v>
      </c>
      <c r="OD22" s="41"/>
      <c r="OE22" s="41"/>
      <c r="OF22" s="8">
        <v>1</v>
      </c>
      <c r="OG22" s="8">
        <v>1</v>
      </c>
      <c r="OH22" s="8">
        <v>1</v>
      </c>
      <c r="OI22" s="32"/>
      <c r="OJ22" s="33"/>
      <c r="OK22" s="33"/>
      <c r="OL22" s="33"/>
      <c r="OM22" s="33"/>
      <c r="ON22" s="33"/>
      <c r="OO22" s="33"/>
      <c r="OP22" s="33"/>
      <c r="OQ22" s="33"/>
      <c r="OR22" s="33"/>
      <c r="OS22" s="33"/>
      <c r="OT22" s="33"/>
      <c r="OU22" s="33"/>
      <c r="OV22" s="33"/>
      <c r="OW22" s="33"/>
      <c r="OX22" s="33"/>
      <c r="OY22" s="33"/>
      <c r="OZ22" s="33"/>
      <c r="PA22" s="33"/>
      <c r="PB22" s="33"/>
      <c r="PC22" s="33"/>
      <c r="PD22" s="33"/>
      <c r="PE22" s="33"/>
      <c r="PF22" s="33"/>
      <c r="PG22" s="33"/>
      <c r="PH22" s="33"/>
      <c r="PI22" s="33"/>
      <c r="PJ22" s="33"/>
      <c r="PK22" s="33"/>
      <c r="PL22" s="33"/>
      <c r="PM22" s="33"/>
      <c r="PN22" s="33"/>
      <c r="PO22" s="33"/>
      <c r="PP22" s="33"/>
      <c r="PQ22" s="33"/>
      <c r="PR22" s="33"/>
      <c r="PS22" s="33"/>
      <c r="PT22" s="33"/>
      <c r="PU22" s="42"/>
      <c r="PV22" s="42"/>
      <c r="PW22" s="42"/>
      <c r="PX22" s="42"/>
      <c r="PY22" s="42"/>
      <c r="PZ22" s="42"/>
      <c r="QA22" s="42"/>
      <c r="QB22" s="42"/>
      <c r="QC22" s="42"/>
      <c r="QD22" s="42"/>
      <c r="QE22" s="42"/>
      <c r="QF22" s="42"/>
      <c r="QG22" s="42"/>
      <c r="QH22" s="42"/>
      <c r="QI22" s="42"/>
    </row>
    <row r="23" spans="1:451" s="43" customFormat="1" ht="21" x14ac:dyDescent="0.3">
      <c r="A23" s="61" t="s">
        <v>516</v>
      </c>
      <c r="B23" s="62" t="s">
        <v>432</v>
      </c>
      <c r="C23" s="45"/>
      <c r="D23" s="8">
        <v>1</v>
      </c>
      <c r="E23" s="8">
        <v>1</v>
      </c>
      <c r="F23" s="8">
        <v>1</v>
      </c>
      <c r="G23" s="8">
        <v>1</v>
      </c>
      <c r="H23" s="8">
        <v>1</v>
      </c>
      <c r="I23" s="46"/>
      <c r="J23" s="46"/>
      <c r="K23" s="8">
        <v>1</v>
      </c>
      <c r="L23" s="8">
        <v>1</v>
      </c>
      <c r="M23" s="8">
        <v>1</v>
      </c>
      <c r="N23" s="8">
        <v>1</v>
      </c>
      <c r="O23" s="8">
        <v>1</v>
      </c>
      <c r="P23" s="46"/>
      <c r="Q23" s="46"/>
      <c r="R23" s="8">
        <v>1</v>
      </c>
      <c r="S23" s="8">
        <v>1</v>
      </c>
      <c r="T23" s="8">
        <v>1</v>
      </c>
      <c r="U23" s="8">
        <v>1</v>
      </c>
      <c r="V23" s="8">
        <v>1</v>
      </c>
      <c r="W23" s="46"/>
      <c r="X23" s="46"/>
      <c r="Y23" s="8">
        <v>0</v>
      </c>
      <c r="Z23" s="8">
        <v>0</v>
      </c>
      <c r="AA23" s="8"/>
      <c r="AB23" s="8">
        <v>0</v>
      </c>
      <c r="AC23" s="8">
        <v>0</v>
      </c>
      <c r="AD23" s="46"/>
      <c r="AE23" s="46"/>
      <c r="AF23" s="8">
        <v>0</v>
      </c>
      <c r="AG23" s="8">
        <v>0</v>
      </c>
      <c r="AH23" s="38"/>
      <c r="AI23" s="8">
        <v>0</v>
      </c>
      <c r="AJ23" s="8">
        <v>0</v>
      </c>
      <c r="AK23" s="8"/>
      <c r="AL23" s="8"/>
      <c r="AM23" s="109">
        <v>1</v>
      </c>
      <c r="AN23" s="109">
        <v>1</v>
      </c>
      <c r="AO23" s="8">
        <v>1</v>
      </c>
      <c r="AP23" s="8">
        <v>1</v>
      </c>
      <c r="AQ23" s="8">
        <v>1</v>
      </c>
      <c r="AR23" s="39"/>
      <c r="AS23" s="39"/>
      <c r="AT23" s="8">
        <v>1</v>
      </c>
      <c r="AU23" s="8">
        <v>1</v>
      </c>
      <c r="AV23" s="8">
        <v>1</v>
      </c>
      <c r="AW23" s="8">
        <v>1</v>
      </c>
      <c r="AX23" s="8">
        <v>1</v>
      </c>
      <c r="AY23" s="39"/>
      <c r="AZ23" s="39"/>
      <c r="BA23" s="39">
        <v>1</v>
      </c>
      <c r="BB23" s="39">
        <v>1</v>
      </c>
      <c r="BC23" s="39">
        <v>1</v>
      </c>
      <c r="BD23" s="39">
        <v>1</v>
      </c>
      <c r="BE23" s="39">
        <v>1</v>
      </c>
      <c r="BF23" s="39"/>
      <c r="BG23" s="39"/>
      <c r="BH23" s="39">
        <v>1</v>
      </c>
      <c r="BI23" s="39">
        <v>1</v>
      </c>
      <c r="BJ23" s="39">
        <v>1</v>
      </c>
      <c r="BK23" s="39">
        <v>1</v>
      </c>
      <c r="BL23" s="39">
        <v>1</v>
      </c>
      <c r="BM23" s="40"/>
      <c r="BN23" s="40"/>
      <c r="BO23" s="8">
        <v>1</v>
      </c>
      <c r="BP23" s="8">
        <v>1</v>
      </c>
      <c r="BQ23" s="8">
        <v>1</v>
      </c>
      <c r="BR23" s="8">
        <v>1</v>
      </c>
      <c r="BS23" s="8">
        <v>1</v>
      </c>
      <c r="BT23" s="40"/>
      <c r="BU23" s="40"/>
      <c r="BV23" s="8">
        <v>1</v>
      </c>
      <c r="BW23" s="8">
        <v>1</v>
      </c>
      <c r="BX23" s="8">
        <v>1</v>
      </c>
      <c r="BY23" s="8">
        <v>1</v>
      </c>
      <c r="BZ23" s="8">
        <v>1</v>
      </c>
      <c r="CA23" s="40"/>
      <c r="CB23" s="40"/>
      <c r="CC23" s="8">
        <v>1</v>
      </c>
      <c r="CD23" s="8">
        <v>1</v>
      </c>
      <c r="CE23" s="8">
        <v>1</v>
      </c>
      <c r="CF23" s="8">
        <v>1</v>
      </c>
      <c r="CG23" s="8">
        <v>1</v>
      </c>
      <c r="CH23" s="40"/>
      <c r="CI23" s="40"/>
      <c r="CJ23" s="8">
        <v>1</v>
      </c>
      <c r="CK23" s="8">
        <v>1</v>
      </c>
      <c r="CL23" s="8">
        <v>1</v>
      </c>
      <c r="CM23" s="8">
        <v>1</v>
      </c>
      <c r="CN23" s="8">
        <v>1</v>
      </c>
      <c r="CO23" s="40"/>
      <c r="CP23" s="40"/>
      <c r="CQ23" s="8">
        <v>1</v>
      </c>
      <c r="CR23" s="8">
        <v>1</v>
      </c>
      <c r="CS23" s="8">
        <v>1</v>
      </c>
      <c r="CT23" s="8">
        <v>1</v>
      </c>
      <c r="CU23" s="8">
        <v>1</v>
      </c>
      <c r="CV23" s="40"/>
      <c r="CW23" s="40"/>
      <c r="CX23" s="8">
        <v>1</v>
      </c>
      <c r="CY23" s="8">
        <v>1</v>
      </c>
      <c r="CZ23" s="8">
        <v>1</v>
      </c>
      <c r="DA23" s="8">
        <v>1</v>
      </c>
      <c r="DB23" s="8">
        <v>1</v>
      </c>
      <c r="DC23" s="40"/>
      <c r="DD23" s="40"/>
      <c r="DE23" s="8">
        <v>1</v>
      </c>
      <c r="DF23" s="8">
        <v>1</v>
      </c>
      <c r="DG23" s="8">
        <v>1</v>
      </c>
      <c r="DH23" s="8">
        <v>1</v>
      </c>
      <c r="DI23" s="8">
        <v>1</v>
      </c>
      <c r="DJ23" s="40"/>
      <c r="DK23" s="40"/>
      <c r="DL23" s="8">
        <v>1</v>
      </c>
      <c r="DM23" s="8">
        <v>1</v>
      </c>
      <c r="DN23" s="8">
        <v>1</v>
      </c>
      <c r="DO23" s="8">
        <v>1</v>
      </c>
      <c r="DP23" s="8">
        <v>1</v>
      </c>
      <c r="DQ23" s="41"/>
      <c r="DR23" s="41"/>
      <c r="DS23" s="8">
        <v>1</v>
      </c>
      <c r="DT23" s="8">
        <v>1</v>
      </c>
      <c r="DU23" s="8">
        <v>1</v>
      </c>
      <c r="DV23" s="8">
        <v>1</v>
      </c>
      <c r="DW23" s="8">
        <v>1</v>
      </c>
      <c r="DX23" s="41"/>
      <c r="DY23" s="41"/>
      <c r="DZ23" s="8">
        <v>1</v>
      </c>
      <c r="EA23" s="8">
        <v>1</v>
      </c>
      <c r="EB23" s="8">
        <v>1</v>
      </c>
      <c r="EC23" s="8">
        <v>1</v>
      </c>
      <c r="ED23" s="8">
        <v>1</v>
      </c>
      <c r="EE23" s="41"/>
      <c r="EF23" s="41"/>
      <c r="EG23" s="8">
        <v>1</v>
      </c>
      <c r="EH23" s="8">
        <v>1</v>
      </c>
      <c r="EI23" s="8">
        <v>1</v>
      </c>
      <c r="EJ23" s="8">
        <v>1</v>
      </c>
      <c r="EK23" s="8">
        <v>1</v>
      </c>
      <c r="EL23" s="41"/>
      <c r="EM23" s="41"/>
      <c r="EN23" s="38"/>
      <c r="EO23" s="8">
        <v>1</v>
      </c>
      <c r="EP23" s="8">
        <v>1</v>
      </c>
      <c r="EQ23" s="8">
        <v>1</v>
      </c>
      <c r="ER23" s="8">
        <v>1</v>
      </c>
      <c r="ES23" s="41"/>
      <c r="ET23" s="41"/>
      <c r="EU23" s="8">
        <v>1</v>
      </c>
      <c r="EV23" s="8">
        <v>1</v>
      </c>
      <c r="EW23" s="8">
        <v>1</v>
      </c>
      <c r="EX23" s="38"/>
      <c r="EY23" s="8">
        <v>1</v>
      </c>
      <c r="EZ23" s="41"/>
      <c r="FA23" s="41"/>
      <c r="FB23" s="8">
        <v>1</v>
      </c>
      <c r="FC23" s="8">
        <v>1</v>
      </c>
      <c r="FD23" s="8">
        <v>1</v>
      </c>
      <c r="FE23" s="38"/>
      <c r="FF23" s="8">
        <v>1</v>
      </c>
      <c r="FG23" s="41"/>
      <c r="FH23" s="41"/>
      <c r="FI23" s="8">
        <v>1</v>
      </c>
      <c r="FJ23" s="8">
        <v>1</v>
      </c>
      <c r="FK23" s="8">
        <v>1</v>
      </c>
      <c r="FL23" s="8">
        <v>1</v>
      </c>
      <c r="FM23" s="8">
        <v>1</v>
      </c>
      <c r="FN23" s="41"/>
      <c r="FO23" s="41"/>
      <c r="FP23" s="8">
        <v>1</v>
      </c>
      <c r="FQ23" s="8">
        <v>1</v>
      </c>
      <c r="FR23" s="8">
        <v>1</v>
      </c>
      <c r="FS23" s="8">
        <v>1</v>
      </c>
      <c r="FT23" s="8">
        <v>1</v>
      </c>
      <c r="FU23" s="41"/>
      <c r="FV23" s="41"/>
      <c r="FW23" s="8">
        <v>1</v>
      </c>
      <c r="FX23" s="8">
        <v>1</v>
      </c>
      <c r="FY23" s="8">
        <v>1</v>
      </c>
      <c r="FZ23" s="38"/>
      <c r="GA23" s="8">
        <v>1</v>
      </c>
      <c r="GB23" s="41"/>
      <c r="GC23" s="41"/>
      <c r="GD23" s="8">
        <v>1</v>
      </c>
      <c r="GE23" s="8">
        <v>1</v>
      </c>
      <c r="GF23" s="8">
        <v>1</v>
      </c>
      <c r="GG23" s="8">
        <v>1</v>
      </c>
      <c r="GH23" s="8">
        <v>1</v>
      </c>
      <c r="GI23" s="41"/>
      <c r="GJ23" s="41"/>
      <c r="GK23" s="38"/>
      <c r="GL23" s="8">
        <v>1</v>
      </c>
      <c r="GM23" s="8">
        <v>1</v>
      </c>
      <c r="GN23" s="8">
        <v>1</v>
      </c>
      <c r="GO23" s="8">
        <v>1</v>
      </c>
      <c r="GP23" s="41"/>
      <c r="GQ23" s="41"/>
      <c r="GR23" s="8">
        <v>1</v>
      </c>
      <c r="GS23" s="8">
        <v>1</v>
      </c>
      <c r="GT23" s="8">
        <v>1</v>
      </c>
      <c r="GU23" s="8">
        <v>1</v>
      </c>
      <c r="GV23" s="8">
        <v>1</v>
      </c>
      <c r="GW23" s="41"/>
      <c r="GX23" s="41"/>
      <c r="GY23" s="8">
        <v>1</v>
      </c>
      <c r="GZ23" s="8">
        <v>1</v>
      </c>
      <c r="HA23" s="8">
        <v>1</v>
      </c>
      <c r="HB23" s="8">
        <v>1</v>
      </c>
      <c r="HC23" s="8">
        <v>1</v>
      </c>
      <c r="HD23" s="41"/>
      <c r="HE23" s="41"/>
      <c r="HF23" s="8">
        <v>1</v>
      </c>
      <c r="HG23" s="8">
        <v>1</v>
      </c>
      <c r="HH23" s="8">
        <v>1</v>
      </c>
      <c r="HI23" s="8">
        <v>1</v>
      </c>
      <c r="HJ23" s="8">
        <v>1</v>
      </c>
      <c r="HK23" s="41"/>
      <c r="HL23" s="41"/>
      <c r="HM23" s="8">
        <v>1</v>
      </c>
      <c r="HN23" s="8">
        <v>1</v>
      </c>
      <c r="HO23" s="8">
        <v>1</v>
      </c>
      <c r="HP23" s="8">
        <v>1</v>
      </c>
      <c r="HQ23" s="8">
        <v>1</v>
      </c>
      <c r="HR23" s="41"/>
      <c r="HS23" s="41"/>
      <c r="HT23" s="38"/>
      <c r="HU23" s="8">
        <v>1</v>
      </c>
      <c r="HV23" s="8">
        <v>1</v>
      </c>
      <c r="HW23" s="8">
        <v>1</v>
      </c>
      <c r="HX23" s="8">
        <v>1</v>
      </c>
      <c r="HY23" s="41"/>
      <c r="HZ23" s="41"/>
      <c r="IA23" s="8">
        <v>1</v>
      </c>
      <c r="IB23" s="8">
        <v>1</v>
      </c>
      <c r="IC23" s="8">
        <v>1</v>
      </c>
      <c r="ID23" s="8">
        <v>1</v>
      </c>
      <c r="IE23" s="8">
        <v>1</v>
      </c>
      <c r="IF23" s="41"/>
      <c r="IG23" s="41"/>
      <c r="IH23" s="8">
        <v>1</v>
      </c>
      <c r="II23" s="8">
        <v>1</v>
      </c>
      <c r="IJ23" s="8">
        <v>1</v>
      </c>
      <c r="IK23" s="8">
        <v>1</v>
      </c>
      <c r="IL23" s="8">
        <v>1</v>
      </c>
      <c r="IM23" s="41"/>
      <c r="IN23" s="41"/>
      <c r="IO23" s="8">
        <v>1</v>
      </c>
      <c r="IP23" s="8">
        <v>1</v>
      </c>
      <c r="IQ23" s="8">
        <v>1</v>
      </c>
      <c r="IR23" s="8">
        <v>1</v>
      </c>
      <c r="IS23" s="8">
        <v>1</v>
      </c>
      <c r="IT23" s="41"/>
      <c r="IU23" s="41"/>
      <c r="IV23" s="8">
        <v>1</v>
      </c>
      <c r="IW23" s="8">
        <v>1</v>
      </c>
      <c r="IX23" s="8">
        <v>1</v>
      </c>
      <c r="IY23" s="8">
        <v>1</v>
      </c>
      <c r="IZ23" s="38"/>
      <c r="JA23" s="41"/>
      <c r="JB23" s="41"/>
      <c r="JC23" s="8">
        <v>1</v>
      </c>
      <c r="JD23" s="8">
        <v>1</v>
      </c>
      <c r="JE23" s="8">
        <v>1</v>
      </c>
      <c r="JF23" s="8">
        <v>1</v>
      </c>
      <c r="JG23" s="8">
        <v>1</v>
      </c>
      <c r="JH23" s="41"/>
      <c r="JI23" s="41"/>
      <c r="JJ23" s="8">
        <v>1</v>
      </c>
      <c r="JK23" s="8">
        <v>1</v>
      </c>
      <c r="JL23" s="8">
        <v>1</v>
      </c>
      <c r="JM23" s="8">
        <v>1</v>
      </c>
      <c r="JN23" s="8">
        <v>1</v>
      </c>
      <c r="JO23" s="41"/>
      <c r="JP23" s="41"/>
      <c r="JQ23" s="8">
        <v>1</v>
      </c>
      <c r="JR23" s="8">
        <v>1</v>
      </c>
      <c r="JS23" s="8">
        <v>1</v>
      </c>
      <c r="JT23" s="8">
        <v>1</v>
      </c>
      <c r="JU23" s="8">
        <v>1</v>
      </c>
      <c r="JV23" s="41"/>
      <c r="JW23" s="41"/>
      <c r="JX23" s="8">
        <v>1</v>
      </c>
      <c r="JY23" s="8">
        <v>1</v>
      </c>
      <c r="JZ23" s="8">
        <v>1</v>
      </c>
      <c r="KA23" s="8">
        <v>1</v>
      </c>
      <c r="KB23" s="8">
        <v>1</v>
      </c>
      <c r="KC23" s="41"/>
      <c r="KD23" s="41"/>
      <c r="KE23" s="8">
        <v>1</v>
      </c>
      <c r="KF23" s="8">
        <v>1</v>
      </c>
      <c r="KG23" s="8">
        <v>1</v>
      </c>
      <c r="KH23" s="8">
        <v>1</v>
      </c>
      <c r="KI23" s="8">
        <v>1</v>
      </c>
      <c r="KJ23" s="41"/>
      <c r="KK23" s="41"/>
      <c r="KL23" s="8">
        <v>1</v>
      </c>
      <c r="KM23" s="8">
        <v>1</v>
      </c>
      <c r="KN23" s="8">
        <v>1</v>
      </c>
      <c r="KO23" s="8">
        <v>1</v>
      </c>
      <c r="KP23" s="8">
        <v>1</v>
      </c>
      <c r="KQ23" s="41"/>
      <c r="KR23" s="41"/>
      <c r="KS23" s="8">
        <v>1</v>
      </c>
      <c r="KT23" s="8">
        <v>1</v>
      </c>
      <c r="KU23" s="8">
        <v>1</v>
      </c>
      <c r="KV23" s="8">
        <v>1</v>
      </c>
      <c r="KW23" s="8">
        <v>1</v>
      </c>
      <c r="KX23" s="41"/>
      <c r="KY23" s="41"/>
      <c r="KZ23" s="8">
        <v>1</v>
      </c>
      <c r="LA23" s="8">
        <v>1</v>
      </c>
      <c r="LB23" s="8">
        <v>1</v>
      </c>
      <c r="LC23" s="8">
        <v>1</v>
      </c>
      <c r="LD23" s="8">
        <v>1</v>
      </c>
      <c r="LE23" s="41"/>
      <c r="LF23" s="41"/>
      <c r="LG23" s="8">
        <v>1</v>
      </c>
      <c r="LH23" s="8">
        <v>1</v>
      </c>
      <c r="LI23" s="8">
        <v>1</v>
      </c>
      <c r="LJ23" s="8">
        <v>1</v>
      </c>
      <c r="LK23" s="8">
        <v>1</v>
      </c>
      <c r="LL23" s="41"/>
      <c r="LM23" s="41"/>
      <c r="LN23" s="8">
        <v>1</v>
      </c>
      <c r="LO23" s="8">
        <v>1</v>
      </c>
      <c r="LP23" s="8">
        <v>1</v>
      </c>
      <c r="LQ23" s="8">
        <v>1</v>
      </c>
      <c r="LR23" s="8">
        <v>1</v>
      </c>
      <c r="LS23" s="41"/>
      <c r="LT23" s="41"/>
      <c r="LU23" s="8">
        <v>1</v>
      </c>
      <c r="LV23" s="8">
        <v>1</v>
      </c>
      <c r="LW23" s="8">
        <v>1</v>
      </c>
      <c r="LX23" s="8">
        <v>1</v>
      </c>
      <c r="LY23" s="8">
        <v>1</v>
      </c>
      <c r="LZ23" s="41"/>
      <c r="MA23" s="41"/>
      <c r="MB23" s="8">
        <v>1</v>
      </c>
      <c r="MC23" s="8">
        <v>1</v>
      </c>
      <c r="MD23" s="8">
        <v>1</v>
      </c>
      <c r="ME23" s="8">
        <v>1</v>
      </c>
      <c r="MF23" s="8">
        <v>1</v>
      </c>
      <c r="MG23" s="41"/>
      <c r="MH23" s="41"/>
      <c r="MI23" s="8">
        <v>1</v>
      </c>
      <c r="MJ23" s="8">
        <v>1</v>
      </c>
      <c r="MK23" s="8">
        <v>1</v>
      </c>
      <c r="ML23" s="8">
        <v>1</v>
      </c>
      <c r="MM23" s="8">
        <v>1</v>
      </c>
      <c r="MN23" s="41"/>
      <c r="MO23" s="41"/>
      <c r="MP23" s="8">
        <v>1</v>
      </c>
      <c r="MQ23" s="8">
        <v>1</v>
      </c>
      <c r="MR23" s="8">
        <v>1</v>
      </c>
      <c r="MS23" s="8">
        <v>1</v>
      </c>
      <c r="MT23" s="8">
        <v>1</v>
      </c>
      <c r="MU23" s="41"/>
      <c r="MV23" s="41"/>
      <c r="MW23" s="8">
        <v>1</v>
      </c>
      <c r="MX23" s="8">
        <v>1</v>
      </c>
      <c r="MY23" s="8">
        <v>1</v>
      </c>
      <c r="MZ23" s="8">
        <v>1</v>
      </c>
      <c r="NA23" s="8">
        <v>1</v>
      </c>
      <c r="NB23" s="41"/>
      <c r="NC23" s="41"/>
      <c r="ND23" s="8">
        <v>1</v>
      </c>
      <c r="NE23" s="8">
        <v>1</v>
      </c>
      <c r="NF23" s="8">
        <v>1</v>
      </c>
      <c r="NG23" s="8">
        <v>1</v>
      </c>
      <c r="NH23" s="8">
        <v>1</v>
      </c>
      <c r="NI23" s="41"/>
      <c r="NJ23" s="41"/>
      <c r="NK23" s="8">
        <v>1</v>
      </c>
      <c r="NL23" s="8">
        <v>1</v>
      </c>
      <c r="NM23" s="8">
        <v>1</v>
      </c>
      <c r="NN23" s="8">
        <v>1</v>
      </c>
      <c r="NO23" s="8">
        <v>1</v>
      </c>
      <c r="NP23" s="40"/>
      <c r="NQ23" s="40"/>
      <c r="NR23" s="8">
        <v>1</v>
      </c>
      <c r="NS23" s="8">
        <v>1</v>
      </c>
      <c r="NT23" s="8">
        <v>1</v>
      </c>
      <c r="NU23" s="8">
        <v>1</v>
      </c>
      <c r="NV23" s="8">
        <v>1</v>
      </c>
      <c r="NW23" s="40"/>
      <c r="NX23" s="40"/>
      <c r="NY23" s="8">
        <v>1</v>
      </c>
      <c r="NZ23" s="8">
        <v>1</v>
      </c>
      <c r="OA23" s="8">
        <v>1</v>
      </c>
      <c r="OB23" s="8"/>
      <c r="OC23" s="8">
        <v>1</v>
      </c>
      <c r="OD23" s="41"/>
      <c r="OE23" s="41"/>
      <c r="OF23" s="8">
        <v>1</v>
      </c>
      <c r="OG23" s="8">
        <v>1</v>
      </c>
      <c r="OH23" s="8">
        <v>1</v>
      </c>
      <c r="OI23" s="32"/>
      <c r="OJ23" s="33"/>
      <c r="OK23" s="33"/>
      <c r="OL23" s="33"/>
      <c r="OM23" s="33"/>
      <c r="ON23" s="33"/>
      <c r="OO23" s="33"/>
      <c r="OP23" s="33"/>
      <c r="OQ23" s="33"/>
      <c r="OR23" s="33"/>
      <c r="OS23" s="33"/>
      <c r="OT23" s="33"/>
      <c r="OU23" s="33"/>
      <c r="OV23" s="33"/>
      <c r="OW23" s="33"/>
      <c r="OX23" s="33"/>
      <c r="OY23" s="33"/>
      <c r="OZ23" s="33"/>
      <c r="PA23" s="33"/>
      <c r="PB23" s="33"/>
      <c r="PC23" s="33"/>
      <c r="PD23" s="33"/>
      <c r="PE23" s="33"/>
      <c r="PF23" s="33"/>
      <c r="PG23" s="33"/>
      <c r="PH23" s="33"/>
      <c r="PI23" s="33"/>
      <c r="PJ23" s="33"/>
      <c r="PK23" s="33"/>
      <c r="PL23" s="33"/>
      <c r="PM23" s="33"/>
      <c r="PN23" s="33"/>
      <c r="PO23" s="33"/>
      <c r="PP23" s="33"/>
      <c r="PQ23" s="33"/>
      <c r="PR23" s="33"/>
      <c r="PS23" s="33"/>
      <c r="PT23" s="33"/>
      <c r="PU23" s="42"/>
      <c r="PV23" s="42"/>
      <c r="PW23" s="42"/>
      <c r="PX23" s="42"/>
      <c r="PY23" s="42"/>
      <c r="PZ23" s="42"/>
      <c r="QA23" s="42"/>
      <c r="QB23" s="42"/>
      <c r="QC23" s="42"/>
      <c r="QD23" s="42"/>
      <c r="QE23" s="42"/>
      <c r="QF23" s="42"/>
      <c r="QG23" s="42"/>
      <c r="QH23" s="42"/>
      <c r="QI23" s="42"/>
    </row>
    <row r="24" spans="1:451" s="43" customFormat="1" ht="21" x14ac:dyDescent="0.3">
      <c r="A24" s="61" t="s">
        <v>517</v>
      </c>
      <c r="B24" s="62" t="s">
        <v>432</v>
      </c>
      <c r="C24" s="45"/>
      <c r="D24" s="8">
        <v>1</v>
      </c>
      <c r="E24" s="8">
        <v>1</v>
      </c>
      <c r="F24" s="8">
        <v>1</v>
      </c>
      <c r="G24" s="8">
        <v>1</v>
      </c>
      <c r="H24" s="8">
        <v>1</v>
      </c>
      <c r="I24" s="46"/>
      <c r="J24" s="46"/>
      <c r="K24" s="8">
        <v>1</v>
      </c>
      <c r="L24" s="8">
        <v>1</v>
      </c>
      <c r="M24" s="8">
        <v>1</v>
      </c>
      <c r="N24" s="8">
        <v>1</v>
      </c>
      <c r="O24" s="8">
        <v>1</v>
      </c>
      <c r="P24" s="46"/>
      <c r="Q24" s="46"/>
      <c r="R24" s="8">
        <v>1</v>
      </c>
      <c r="S24" s="8">
        <v>1</v>
      </c>
      <c r="T24" s="8">
        <v>1</v>
      </c>
      <c r="U24" s="8">
        <v>1</v>
      </c>
      <c r="V24" s="8">
        <v>1</v>
      </c>
      <c r="W24" s="46"/>
      <c r="X24" s="46"/>
      <c r="Y24" s="8">
        <v>0</v>
      </c>
      <c r="Z24" s="8">
        <v>0</v>
      </c>
      <c r="AA24" s="8"/>
      <c r="AB24" s="8">
        <v>0</v>
      </c>
      <c r="AC24" s="8">
        <v>0</v>
      </c>
      <c r="AD24" s="46"/>
      <c r="AE24" s="46"/>
      <c r="AF24" s="8">
        <v>0</v>
      </c>
      <c r="AG24" s="8">
        <v>0</v>
      </c>
      <c r="AH24" s="38"/>
      <c r="AI24" s="8">
        <v>0</v>
      </c>
      <c r="AJ24" s="8">
        <v>0</v>
      </c>
      <c r="AK24" s="8"/>
      <c r="AL24" s="8"/>
      <c r="AM24" s="109">
        <v>1</v>
      </c>
      <c r="AN24" s="109">
        <v>1</v>
      </c>
      <c r="AO24" s="8">
        <v>1</v>
      </c>
      <c r="AP24" s="8">
        <v>1</v>
      </c>
      <c r="AQ24" s="8">
        <v>1</v>
      </c>
      <c r="AR24" s="39"/>
      <c r="AS24" s="39"/>
      <c r="AT24" s="8">
        <v>1</v>
      </c>
      <c r="AU24" s="8">
        <v>1</v>
      </c>
      <c r="AV24" s="8">
        <v>1</v>
      </c>
      <c r="AW24" s="8">
        <v>1</v>
      </c>
      <c r="AX24" s="8">
        <v>1</v>
      </c>
      <c r="AY24" s="39"/>
      <c r="AZ24" s="39"/>
      <c r="BA24" s="39">
        <v>1</v>
      </c>
      <c r="BB24" s="39">
        <v>1</v>
      </c>
      <c r="BC24" s="39">
        <v>1</v>
      </c>
      <c r="BD24" s="39">
        <v>1</v>
      </c>
      <c r="BE24" s="39">
        <v>1</v>
      </c>
      <c r="BF24" s="39"/>
      <c r="BG24" s="39"/>
      <c r="BH24" s="39">
        <v>1</v>
      </c>
      <c r="BI24" s="39">
        <v>1</v>
      </c>
      <c r="BJ24" s="39">
        <v>1</v>
      </c>
      <c r="BK24" s="39">
        <v>1</v>
      </c>
      <c r="BL24" s="39">
        <v>1</v>
      </c>
      <c r="BM24" s="40"/>
      <c r="BN24" s="40"/>
      <c r="BO24" s="8">
        <v>1</v>
      </c>
      <c r="BP24" s="8">
        <v>1</v>
      </c>
      <c r="BQ24" s="8">
        <v>1</v>
      </c>
      <c r="BR24" s="8">
        <v>1</v>
      </c>
      <c r="BS24" s="8">
        <v>1</v>
      </c>
      <c r="BT24" s="40"/>
      <c r="BU24" s="40"/>
      <c r="BV24" s="8">
        <v>1</v>
      </c>
      <c r="BW24" s="8">
        <v>1</v>
      </c>
      <c r="BX24" s="8">
        <v>1</v>
      </c>
      <c r="BY24" s="8">
        <v>0.5</v>
      </c>
      <c r="BZ24" s="8">
        <v>1</v>
      </c>
      <c r="CA24" s="40"/>
      <c r="CB24" s="40"/>
      <c r="CC24" s="8">
        <v>1</v>
      </c>
      <c r="CD24" s="8">
        <v>1</v>
      </c>
      <c r="CE24" s="8">
        <v>1</v>
      </c>
      <c r="CF24" s="8">
        <v>1</v>
      </c>
      <c r="CG24" s="8">
        <v>1</v>
      </c>
      <c r="CH24" s="40"/>
      <c r="CI24" s="40"/>
      <c r="CJ24" s="8">
        <v>1</v>
      </c>
      <c r="CK24" s="8">
        <v>1</v>
      </c>
      <c r="CL24" s="8">
        <v>1</v>
      </c>
      <c r="CM24" s="8">
        <v>1</v>
      </c>
      <c r="CN24" s="8">
        <v>1</v>
      </c>
      <c r="CO24" s="40"/>
      <c r="CP24" s="40"/>
      <c r="CQ24" s="8">
        <v>1</v>
      </c>
      <c r="CR24" s="8">
        <v>1</v>
      </c>
      <c r="CS24" s="8">
        <v>1</v>
      </c>
      <c r="CT24" s="8">
        <v>1</v>
      </c>
      <c r="CU24" s="8">
        <v>1</v>
      </c>
      <c r="CV24" s="40"/>
      <c r="CW24" s="40"/>
      <c r="CX24" s="8">
        <v>1</v>
      </c>
      <c r="CY24" s="8">
        <v>1</v>
      </c>
      <c r="CZ24" s="8">
        <v>1</v>
      </c>
      <c r="DA24" s="8">
        <v>1</v>
      </c>
      <c r="DB24" s="8">
        <v>1</v>
      </c>
      <c r="DC24" s="40"/>
      <c r="DD24" s="40"/>
      <c r="DE24" s="8">
        <v>1</v>
      </c>
      <c r="DF24" s="8">
        <v>1</v>
      </c>
      <c r="DG24" s="8">
        <v>1</v>
      </c>
      <c r="DH24" s="8">
        <v>1</v>
      </c>
      <c r="DI24" s="8">
        <v>1</v>
      </c>
      <c r="DJ24" s="40"/>
      <c r="DK24" s="40"/>
      <c r="DL24" s="8">
        <v>1</v>
      </c>
      <c r="DM24" s="8">
        <v>1</v>
      </c>
      <c r="DN24" s="8">
        <v>1</v>
      </c>
      <c r="DO24" s="8">
        <v>1</v>
      </c>
      <c r="DP24" s="8">
        <v>1</v>
      </c>
      <c r="DQ24" s="41"/>
      <c r="DR24" s="41"/>
      <c r="DS24" s="8">
        <v>1</v>
      </c>
      <c r="DT24" s="8">
        <v>1</v>
      </c>
      <c r="DU24" s="8">
        <v>1</v>
      </c>
      <c r="DV24" s="8">
        <v>1</v>
      </c>
      <c r="DW24" s="8">
        <v>1</v>
      </c>
      <c r="DX24" s="41"/>
      <c r="DY24" s="41"/>
      <c r="DZ24" s="8">
        <v>1</v>
      </c>
      <c r="EA24" s="8">
        <v>1</v>
      </c>
      <c r="EB24" s="8">
        <v>1</v>
      </c>
      <c r="EC24" s="8">
        <v>1</v>
      </c>
      <c r="ED24" s="8">
        <v>1</v>
      </c>
      <c r="EE24" s="41"/>
      <c r="EF24" s="41"/>
      <c r="EG24" s="8">
        <v>1</v>
      </c>
      <c r="EH24" s="8">
        <v>1</v>
      </c>
      <c r="EI24" s="8">
        <v>1</v>
      </c>
      <c r="EJ24" s="8">
        <v>1</v>
      </c>
      <c r="EK24" s="8">
        <v>1</v>
      </c>
      <c r="EL24" s="41"/>
      <c r="EM24" s="41"/>
      <c r="EN24" s="38"/>
      <c r="EO24" s="8">
        <v>1</v>
      </c>
      <c r="EP24" s="8">
        <v>1</v>
      </c>
      <c r="EQ24" s="8">
        <v>1</v>
      </c>
      <c r="ER24" s="8">
        <v>1</v>
      </c>
      <c r="ES24" s="41"/>
      <c r="ET24" s="41"/>
      <c r="EU24" s="8">
        <v>1</v>
      </c>
      <c r="EV24" s="8">
        <v>1</v>
      </c>
      <c r="EW24" s="8">
        <v>1</v>
      </c>
      <c r="EX24" s="38"/>
      <c r="EY24" s="8">
        <v>1</v>
      </c>
      <c r="EZ24" s="41"/>
      <c r="FA24" s="41"/>
      <c r="FB24" s="8">
        <v>1</v>
      </c>
      <c r="FC24" s="8">
        <v>1</v>
      </c>
      <c r="FD24" s="8">
        <v>1</v>
      </c>
      <c r="FE24" s="38"/>
      <c r="FF24" s="8">
        <v>1</v>
      </c>
      <c r="FG24" s="41"/>
      <c r="FH24" s="41"/>
      <c r="FI24" s="8">
        <v>1</v>
      </c>
      <c r="FJ24" s="8">
        <v>1</v>
      </c>
      <c r="FK24" s="8">
        <v>1</v>
      </c>
      <c r="FL24" s="8">
        <v>1</v>
      </c>
      <c r="FM24" s="8">
        <v>1</v>
      </c>
      <c r="FN24" s="41"/>
      <c r="FO24" s="41"/>
      <c r="FP24" s="8">
        <v>1</v>
      </c>
      <c r="FQ24" s="8">
        <v>1</v>
      </c>
      <c r="FR24" s="8">
        <v>1</v>
      </c>
      <c r="FS24" s="8">
        <v>1</v>
      </c>
      <c r="FT24" s="8">
        <v>1</v>
      </c>
      <c r="FU24" s="41"/>
      <c r="FV24" s="41"/>
      <c r="FW24" s="8">
        <v>1</v>
      </c>
      <c r="FX24" s="8">
        <v>1</v>
      </c>
      <c r="FY24" s="8">
        <v>1</v>
      </c>
      <c r="FZ24" s="38"/>
      <c r="GA24" s="8">
        <v>1</v>
      </c>
      <c r="GB24" s="41"/>
      <c r="GC24" s="41"/>
      <c r="GD24" s="8">
        <v>1</v>
      </c>
      <c r="GE24" s="8">
        <v>1</v>
      </c>
      <c r="GF24" s="8">
        <v>1</v>
      </c>
      <c r="GG24" s="8">
        <v>1</v>
      </c>
      <c r="GH24" s="8">
        <v>1</v>
      </c>
      <c r="GI24" s="41"/>
      <c r="GJ24" s="41"/>
      <c r="GK24" s="38"/>
      <c r="GL24" s="8">
        <v>1</v>
      </c>
      <c r="GM24" s="8">
        <v>1</v>
      </c>
      <c r="GN24" s="8">
        <v>1</v>
      </c>
      <c r="GO24" s="8">
        <v>1</v>
      </c>
      <c r="GP24" s="41"/>
      <c r="GQ24" s="41"/>
      <c r="GR24" s="8">
        <v>1</v>
      </c>
      <c r="GS24" s="8">
        <v>1</v>
      </c>
      <c r="GT24" s="8">
        <v>1</v>
      </c>
      <c r="GU24" s="8">
        <v>1</v>
      </c>
      <c r="GV24" s="8">
        <v>1</v>
      </c>
      <c r="GW24" s="41"/>
      <c r="GX24" s="41"/>
      <c r="GY24" s="8">
        <v>1</v>
      </c>
      <c r="GZ24" s="8">
        <v>1</v>
      </c>
      <c r="HA24" s="8">
        <v>1</v>
      </c>
      <c r="HB24" s="8">
        <v>1</v>
      </c>
      <c r="HC24" s="8">
        <v>1</v>
      </c>
      <c r="HD24" s="41"/>
      <c r="HE24" s="41"/>
      <c r="HF24" s="8">
        <v>1</v>
      </c>
      <c r="HG24" s="8">
        <v>1</v>
      </c>
      <c r="HH24" s="8">
        <v>1</v>
      </c>
      <c r="HI24" s="8">
        <v>1</v>
      </c>
      <c r="HJ24" s="8">
        <v>1</v>
      </c>
      <c r="HK24" s="41"/>
      <c r="HL24" s="41"/>
      <c r="HM24" s="8">
        <v>1</v>
      </c>
      <c r="HN24" s="8">
        <v>1</v>
      </c>
      <c r="HO24" s="8">
        <v>1</v>
      </c>
      <c r="HP24" s="8">
        <v>1</v>
      </c>
      <c r="HQ24" s="8">
        <v>1</v>
      </c>
      <c r="HR24" s="41"/>
      <c r="HS24" s="41"/>
      <c r="HT24" s="38"/>
      <c r="HU24" s="8">
        <v>1</v>
      </c>
      <c r="HV24" s="8">
        <v>1</v>
      </c>
      <c r="HW24" s="8">
        <v>1</v>
      </c>
      <c r="HX24" s="8">
        <v>1</v>
      </c>
      <c r="HY24" s="41"/>
      <c r="HZ24" s="41"/>
      <c r="IA24" s="8">
        <v>1</v>
      </c>
      <c r="IB24" s="8">
        <v>1</v>
      </c>
      <c r="IC24" s="8">
        <v>1</v>
      </c>
      <c r="ID24" s="8">
        <v>1</v>
      </c>
      <c r="IE24" s="8">
        <v>1</v>
      </c>
      <c r="IF24" s="41"/>
      <c r="IG24" s="41"/>
      <c r="IH24" s="8">
        <v>1</v>
      </c>
      <c r="II24" s="8">
        <v>1</v>
      </c>
      <c r="IJ24" s="8">
        <v>1</v>
      </c>
      <c r="IK24" s="8">
        <v>1</v>
      </c>
      <c r="IL24" s="8">
        <v>1</v>
      </c>
      <c r="IM24" s="41"/>
      <c r="IN24" s="41"/>
      <c r="IO24" s="8">
        <v>1</v>
      </c>
      <c r="IP24" s="8">
        <v>1</v>
      </c>
      <c r="IQ24" s="8">
        <v>1</v>
      </c>
      <c r="IR24" s="8">
        <v>1</v>
      </c>
      <c r="IS24" s="8">
        <v>1</v>
      </c>
      <c r="IT24" s="41"/>
      <c r="IU24" s="41"/>
      <c r="IV24" s="8">
        <v>1</v>
      </c>
      <c r="IW24" s="8">
        <v>1</v>
      </c>
      <c r="IX24" s="8">
        <v>1</v>
      </c>
      <c r="IY24" s="8">
        <v>1</v>
      </c>
      <c r="IZ24" s="38"/>
      <c r="JA24" s="41"/>
      <c r="JB24" s="41"/>
      <c r="JC24" s="8">
        <v>1</v>
      </c>
      <c r="JD24" s="8">
        <v>1</v>
      </c>
      <c r="JE24" s="8">
        <v>1</v>
      </c>
      <c r="JF24" s="8">
        <v>1</v>
      </c>
      <c r="JG24" s="8">
        <v>1</v>
      </c>
      <c r="JH24" s="41"/>
      <c r="JI24" s="41"/>
      <c r="JJ24" s="8">
        <v>1</v>
      </c>
      <c r="JK24" s="8">
        <v>1</v>
      </c>
      <c r="JL24" s="8">
        <v>1</v>
      </c>
      <c r="JM24" s="8">
        <v>1</v>
      </c>
      <c r="JN24" s="8">
        <v>1</v>
      </c>
      <c r="JO24" s="41"/>
      <c r="JP24" s="41"/>
      <c r="JQ24" s="8">
        <v>1</v>
      </c>
      <c r="JR24" s="8">
        <v>1</v>
      </c>
      <c r="JS24" s="8">
        <v>1</v>
      </c>
      <c r="JT24" s="8">
        <v>1</v>
      </c>
      <c r="JU24" s="8">
        <v>1</v>
      </c>
      <c r="JV24" s="41"/>
      <c r="JW24" s="41"/>
      <c r="JX24" s="8">
        <v>1</v>
      </c>
      <c r="JY24" s="8">
        <v>1</v>
      </c>
      <c r="JZ24" s="8">
        <v>1</v>
      </c>
      <c r="KA24" s="8">
        <v>1</v>
      </c>
      <c r="KB24" s="8">
        <v>1</v>
      </c>
      <c r="KC24" s="41"/>
      <c r="KD24" s="41"/>
      <c r="KE24" s="8">
        <v>1</v>
      </c>
      <c r="KF24" s="8">
        <v>1</v>
      </c>
      <c r="KG24" s="8">
        <v>1</v>
      </c>
      <c r="KH24" s="8">
        <v>1</v>
      </c>
      <c r="KI24" s="8">
        <v>1</v>
      </c>
      <c r="KJ24" s="41"/>
      <c r="KK24" s="41"/>
      <c r="KL24" s="8">
        <v>1</v>
      </c>
      <c r="KM24" s="8">
        <v>1</v>
      </c>
      <c r="KN24" s="8">
        <v>1</v>
      </c>
      <c r="KO24" s="8">
        <v>1</v>
      </c>
      <c r="KP24" s="8">
        <v>1</v>
      </c>
      <c r="KQ24" s="41"/>
      <c r="KR24" s="41"/>
      <c r="KS24" s="8">
        <v>1</v>
      </c>
      <c r="KT24" s="8">
        <v>1</v>
      </c>
      <c r="KU24" s="8">
        <v>1</v>
      </c>
      <c r="KV24" s="8">
        <v>1</v>
      </c>
      <c r="KW24" s="8">
        <v>1</v>
      </c>
      <c r="KX24" s="41"/>
      <c r="KY24" s="41"/>
      <c r="KZ24" s="8">
        <v>1</v>
      </c>
      <c r="LA24" s="8">
        <v>1</v>
      </c>
      <c r="LB24" s="8">
        <v>1</v>
      </c>
      <c r="LC24" s="8">
        <v>1</v>
      </c>
      <c r="LD24" s="8">
        <v>1</v>
      </c>
      <c r="LE24" s="41"/>
      <c r="LF24" s="41"/>
      <c r="LG24" s="8">
        <v>1</v>
      </c>
      <c r="LH24" s="8">
        <v>1</v>
      </c>
      <c r="LI24" s="8">
        <v>1</v>
      </c>
      <c r="LJ24" s="8">
        <v>1</v>
      </c>
      <c r="LK24" s="8">
        <v>1</v>
      </c>
      <c r="LL24" s="41"/>
      <c r="LM24" s="41"/>
      <c r="LN24" s="8">
        <v>1</v>
      </c>
      <c r="LO24" s="8">
        <v>1</v>
      </c>
      <c r="LP24" s="8">
        <v>1</v>
      </c>
      <c r="LQ24" s="8">
        <v>1</v>
      </c>
      <c r="LR24" s="8">
        <v>1</v>
      </c>
      <c r="LS24" s="41"/>
      <c r="LT24" s="41"/>
      <c r="LU24" s="8">
        <v>1</v>
      </c>
      <c r="LV24" s="8">
        <v>1</v>
      </c>
      <c r="LW24" s="8">
        <v>1</v>
      </c>
      <c r="LX24" s="8">
        <v>1</v>
      </c>
      <c r="LY24" s="8">
        <v>1</v>
      </c>
      <c r="LZ24" s="41"/>
      <c r="MA24" s="41"/>
      <c r="MB24" s="8">
        <v>1</v>
      </c>
      <c r="MC24" s="8">
        <v>1</v>
      </c>
      <c r="MD24" s="8">
        <v>1</v>
      </c>
      <c r="ME24" s="8">
        <v>1</v>
      </c>
      <c r="MF24" s="8">
        <v>1</v>
      </c>
      <c r="MG24" s="41"/>
      <c r="MH24" s="41"/>
      <c r="MI24" s="8">
        <v>1</v>
      </c>
      <c r="MJ24" s="8">
        <v>1</v>
      </c>
      <c r="MK24" s="8">
        <v>1</v>
      </c>
      <c r="ML24" s="8">
        <v>1</v>
      </c>
      <c r="MM24" s="8">
        <v>1</v>
      </c>
      <c r="MN24" s="41"/>
      <c r="MO24" s="41"/>
      <c r="MP24" s="8">
        <v>1</v>
      </c>
      <c r="MQ24" s="8">
        <v>1</v>
      </c>
      <c r="MR24" s="8">
        <v>1</v>
      </c>
      <c r="MS24" s="8">
        <v>1</v>
      </c>
      <c r="MT24" s="8">
        <v>1</v>
      </c>
      <c r="MU24" s="41"/>
      <c r="MV24" s="41"/>
      <c r="MW24" s="8">
        <v>1</v>
      </c>
      <c r="MX24" s="8">
        <v>1</v>
      </c>
      <c r="MY24" s="8">
        <v>1</v>
      </c>
      <c r="MZ24" s="8">
        <v>1</v>
      </c>
      <c r="NA24" s="8">
        <v>1</v>
      </c>
      <c r="NB24" s="41"/>
      <c r="NC24" s="41"/>
      <c r="ND24" s="8">
        <v>1</v>
      </c>
      <c r="NE24" s="8">
        <v>1</v>
      </c>
      <c r="NF24" s="8">
        <v>1</v>
      </c>
      <c r="NG24" s="8">
        <v>1</v>
      </c>
      <c r="NH24" s="8">
        <v>1</v>
      </c>
      <c r="NI24" s="41"/>
      <c r="NJ24" s="41"/>
      <c r="NK24" s="8">
        <v>1</v>
      </c>
      <c r="NL24" s="8">
        <v>1</v>
      </c>
      <c r="NM24" s="8">
        <v>1</v>
      </c>
      <c r="NN24" s="8">
        <v>1</v>
      </c>
      <c r="NO24" s="8">
        <v>1</v>
      </c>
      <c r="NP24" s="40"/>
      <c r="NQ24" s="40"/>
      <c r="NR24" s="8">
        <v>1</v>
      </c>
      <c r="NS24" s="8">
        <v>1</v>
      </c>
      <c r="NT24" s="8">
        <v>1</v>
      </c>
      <c r="NU24" s="8">
        <v>1</v>
      </c>
      <c r="NV24" s="8">
        <v>1</v>
      </c>
      <c r="NW24" s="40"/>
      <c r="NX24" s="40"/>
      <c r="NY24" s="8">
        <v>1</v>
      </c>
      <c r="NZ24" s="8">
        <v>1</v>
      </c>
      <c r="OA24" s="8">
        <v>1</v>
      </c>
      <c r="OB24" s="8"/>
      <c r="OC24" s="8">
        <v>1</v>
      </c>
      <c r="OD24" s="41"/>
      <c r="OE24" s="41"/>
      <c r="OF24" s="8">
        <v>1</v>
      </c>
      <c r="OG24" s="8">
        <v>1</v>
      </c>
      <c r="OH24" s="8">
        <v>1</v>
      </c>
      <c r="OI24" s="32"/>
      <c r="OJ24" s="33"/>
      <c r="OK24" s="33"/>
      <c r="OL24" s="33"/>
      <c r="OM24" s="33"/>
      <c r="ON24" s="33"/>
      <c r="OO24" s="33"/>
      <c r="OP24" s="33"/>
      <c r="OQ24" s="33"/>
      <c r="OR24" s="33"/>
      <c r="OS24" s="33"/>
      <c r="OT24" s="33"/>
      <c r="OU24" s="33"/>
      <c r="OV24" s="33"/>
      <c r="OW24" s="33"/>
      <c r="OX24" s="33"/>
      <c r="OY24" s="33"/>
      <c r="OZ24" s="33"/>
      <c r="PA24" s="33"/>
      <c r="PB24" s="33"/>
      <c r="PC24" s="33"/>
      <c r="PD24" s="33"/>
      <c r="PE24" s="33"/>
      <c r="PF24" s="33"/>
      <c r="PG24" s="33"/>
      <c r="PH24" s="33"/>
      <c r="PI24" s="33"/>
      <c r="PJ24" s="33"/>
      <c r="PK24" s="33"/>
      <c r="PL24" s="33"/>
      <c r="PM24" s="33"/>
      <c r="PN24" s="33"/>
      <c r="PO24" s="33"/>
      <c r="PP24" s="33"/>
      <c r="PQ24" s="33"/>
      <c r="PR24" s="33"/>
      <c r="PS24" s="33"/>
      <c r="PT24" s="33"/>
      <c r="PU24" s="42"/>
      <c r="PV24" s="42"/>
      <c r="PW24" s="42"/>
      <c r="PX24" s="42"/>
      <c r="PY24" s="42"/>
      <c r="PZ24" s="42"/>
      <c r="QA24" s="42"/>
      <c r="QB24" s="42"/>
      <c r="QC24" s="42"/>
      <c r="QD24" s="42"/>
      <c r="QE24" s="42"/>
      <c r="QF24" s="42"/>
      <c r="QG24" s="42"/>
      <c r="QH24" s="42"/>
      <c r="QI24" s="42"/>
    </row>
    <row r="25" spans="1:451" s="43" customFormat="1" ht="21" x14ac:dyDescent="0.3">
      <c r="A25" s="61" t="s">
        <v>518</v>
      </c>
      <c r="B25" s="62" t="s">
        <v>432</v>
      </c>
      <c r="C25" s="45"/>
      <c r="D25" s="8">
        <v>1</v>
      </c>
      <c r="E25" s="8">
        <v>1</v>
      </c>
      <c r="F25" s="8">
        <v>1</v>
      </c>
      <c r="G25" s="8">
        <v>1</v>
      </c>
      <c r="H25" s="8">
        <v>1</v>
      </c>
      <c r="I25" s="46"/>
      <c r="J25" s="46"/>
      <c r="K25" s="8">
        <v>1</v>
      </c>
      <c r="L25" s="8">
        <v>1</v>
      </c>
      <c r="M25" s="8">
        <v>1</v>
      </c>
      <c r="N25" s="8">
        <v>1</v>
      </c>
      <c r="O25" s="8">
        <v>1</v>
      </c>
      <c r="P25" s="46"/>
      <c r="Q25" s="46"/>
      <c r="R25" s="8">
        <v>1</v>
      </c>
      <c r="S25" s="8">
        <v>1</v>
      </c>
      <c r="T25" s="8">
        <v>1</v>
      </c>
      <c r="U25" s="8">
        <v>1</v>
      </c>
      <c r="V25" s="8">
        <v>1</v>
      </c>
      <c r="W25" s="46"/>
      <c r="X25" s="46"/>
      <c r="Y25" s="8">
        <v>0</v>
      </c>
      <c r="Z25" s="8">
        <v>0</v>
      </c>
      <c r="AA25" s="8"/>
      <c r="AB25" s="8">
        <v>0</v>
      </c>
      <c r="AC25" s="8">
        <v>0</v>
      </c>
      <c r="AD25" s="46"/>
      <c r="AE25" s="46"/>
      <c r="AF25" s="8">
        <v>0</v>
      </c>
      <c r="AG25" s="8">
        <v>0</v>
      </c>
      <c r="AH25" s="38"/>
      <c r="AI25" s="8">
        <v>0</v>
      </c>
      <c r="AJ25" s="8">
        <v>0</v>
      </c>
      <c r="AK25" s="8"/>
      <c r="AL25" s="8"/>
      <c r="AM25" s="109">
        <v>1</v>
      </c>
      <c r="AN25" s="109">
        <v>1</v>
      </c>
      <c r="AO25" s="8">
        <v>1</v>
      </c>
      <c r="AP25" s="8">
        <v>1</v>
      </c>
      <c r="AQ25" s="8">
        <v>1</v>
      </c>
      <c r="AR25" s="39"/>
      <c r="AS25" s="39"/>
      <c r="AT25" s="8">
        <v>1</v>
      </c>
      <c r="AU25" s="8">
        <v>1</v>
      </c>
      <c r="AV25" s="8">
        <v>1</v>
      </c>
      <c r="AW25" s="8">
        <v>1</v>
      </c>
      <c r="AX25" s="8">
        <v>1</v>
      </c>
      <c r="AY25" s="39"/>
      <c r="AZ25" s="39"/>
      <c r="BA25" s="39">
        <v>1</v>
      </c>
      <c r="BB25" s="39">
        <v>1</v>
      </c>
      <c r="BC25" s="39">
        <v>1</v>
      </c>
      <c r="BD25" s="39">
        <v>1</v>
      </c>
      <c r="BE25" s="39">
        <v>1</v>
      </c>
      <c r="BF25" s="39"/>
      <c r="BG25" s="39"/>
      <c r="BH25" s="39">
        <v>1</v>
      </c>
      <c r="BI25" s="39">
        <v>1</v>
      </c>
      <c r="BJ25" s="39">
        <v>1</v>
      </c>
      <c r="BK25" s="39">
        <v>1</v>
      </c>
      <c r="BL25" s="39">
        <v>1</v>
      </c>
      <c r="BM25" s="40"/>
      <c r="BN25" s="40"/>
      <c r="BO25" s="8">
        <v>1</v>
      </c>
      <c r="BP25" s="8">
        <v>1</v>
      </c>
      <c r="BQ25" s="8">
        <v>1</v>
      </c>
      <c r="BR25" s="8">
        <v>1</v>
      </c>
      <c r="BS25" s="8">
        <v>1</v>
      </c>
      <c r="BT25" s="40"/>
      <c r="BU25" s="40"/>
      <c r="BV25" s="8">
        <v>1</v>
      </c>
      <c r="BW25" s="8">
        <v>1</v>
      </c>
      <c r="BX25" s="8">
        <v>1</v>
      </c>
      <c r="BY25" s="8">
        <v>1</v>
      </c>
      <c r="BZ25" s="8">
        <v>1</v>
      </c>
      <c r="CA25" s="40"/>
      <c r="CB25" s="40"/>
      <c r="CC25" s="8">
        <v>1</v>
      </c>
      <c r="CD25" s="8">
        <v>1</v>
      </c>
      <c r="CE25" s="8">
        <v>1</v>
      </c>
      <c r="CF25" s="8">
        <v>1</v>
      </c>
      <c r="CG25" s="8">
        <v>1</v>
      </c>
      <c r="CH25" s="40"/>
      <c r="CI25" s="40"/>
      <c r="CJ25" s="8">
        <v>1</v>
      </c>
      <c r="CK25" s="8">
        <v>1</v>
      </c>
      <c r="CL25" s="8">
        <v>1</v>
      </c>
      <c r="CM25" s="8">
        <v>1</v>
      </c>
      <c r="CN25" s="8">
        <v>1</v>
      </c>
      <c r="CO25" s="40"/>
      <c r="CP25" s="40"/>
      <c r="CQ25" s="8">
        <v>1</v>
      </c>
      <c r="CR25" s="8">
        <v>1</v>
      </c>
      <c r="CS25" s="8">
        <v>1</v>
      </c>
      <c r="CT25" s="8">
        <v>1</v>
      </c>
      <c r="CU25" s="8">
        <v>1</v>
      </c>
      <c r="CV25" s="40"/>
      <c r="CW25" s="40"/>
      <c r="CX25" s="8">
        <v>1</v>
      </c>
      <c r="CY25" s="8">
        <v>1</v>
      </c>
      <c r="CZ25" s="8">
        <v>1</v>
      </c>
      <c r="DA25" s="8">
        <v>1</v>
      </c>
      <c r="DB25" s="8">
        <v>1</v>
      </c>
      <c r="DC25" s="40"/>
      <c r="DD25" s="40"/>
      <c r="DE25" s="8">
        <v>1</v>
      </c>
      <c r="DF25" s="8">
        <v>1</v>
      </c>
      <c r="DG25" s="8">
        <v>1</v>
      </c>
      <c r="DH25" s="8">
        <v>1</v>
      </c>
      <c r="DI25" s="8">
        <v>1</v>
      </c>
      <c r="DJ25" s="40"/>
      <c r="DK25" s="40"/>
      <c r="DL25" s="8">
        <v>1</v>
      </c>
      <c r="DM25" s="8">
        <v>1</v>
      </c>
      <c r="DN25" s="8">
        <v>1</v>
      </c>
      <c r="DO25" s="8">
        <v>1</v>
      </c>
      <c r="DP25" s="8">
        <v>1</v>
      </c>
      <c r="DQ25" s="41"/>
      <c r="DR25" s="41"/>
      <c r="DS25" s="8">
        <v>1</v>
      </c>
      <c r="DT25" s="8">
        <v>1</v>
      </c>
      <c r="DU25" s="8">
        <v>1</v>
      </c>
      <c r="DV25" s="8">
        <v>1</v>
      </c>
      <c r="DW25" s="8">
        <v>1</v>
      </c>
      <c r="DX25" s="41"/>
      <c r="DY25" s="41"/>
      <c r="DZ25" s="8">
        <v>1</v>
      </c>
      <c r="EA25" s="8">
        <v>1</v>
      </c>
      <c r="EB25" s="8">
        <v>1</v>
      </c>
      <c r="EC25" s="8">
        <v>1</v>
      </c>
      <c r="ED25" s="8">
        <v>1</v>
      </c>
      <c r="EE25" s="41"/>
      <c r="EF25" s="41"/>
      <c r="EG25" s="8">
        <v>1</v>
      </c>
      <c r="EH25" s="8">
        <v>1</v>
      </c>
      <c r="EI25" s="8">
        <v>1</v>
      </c>
      <c r="EJ25" s="8">
        <v>1</v>
      </c>
      <c r="EK25" s="8">
        <v>1</v>
      </c>
      <c r="EL25" s="41"/>
      <c r="EM25" s="41"/>
      <c r="EN25" s="38"/>
      <c r="EO25" s="8">
        <v>1</v>
      </c>
      <c r="EP25" s="8">
        <v>1</v>
      </c>
      <c r="EQ25" s="8">
        <v>1</v>
      </c>
      <c r="ER25" s="8">
        <v>1</v>
      </c>
      <c r="ES25" s="41"/>
      <c r="ET25" s="41"/>
      <c r="EU25" s="8">
        <v>1</v>
      </c>
      <c r="EV25" s="8">
        <v>1</v>
      </c>
      <c r="EW25" s="8">
        <v>1</v>
      </c>
      <c r="EX25" s="38"/>
      <c r="EY25" s="8">
        <v>1</v>
      </c>
      <c r="EZ25" s="41"/>
      <c r="FA25" s="41"/>
      <c r="FB25" s="8">
        <v>1</v>
      </c>
      <c r="FC25" s="8">
        <v>1</v>
      </c>
      <c r="FD25" s="8">
        <v>1</v>
      </c>
      <c r="FE25" s="38"/>
      <c r="FF25" s="8">
        <v>1</v>
      </c>
      <c r="FG25" s="41"/>
      <c r="FH25" s="41"/>
      <c r="FI25" s="8">
        <v>1</v>
      </c>
      <c r="FJ25" s="8">
        <v>1</v>
      </c>
      <c r="FK25" s="8">
        <v>1</v>
      </c>
      <c r="FL25" s="8">
        <v>1</v>
      </c>
      <c r="FM25" s="8">
        <v>1</v>
      </c>
      <c r="FN25" s="41"/>
      <c r="FO25" s="41"/>
      <c r="FP25" s="8">
        <v>1</v>
      </c>
      <c r="FQ25" s="8">
        <v>1</v>
      </c>
      <c r="FR25" s="8">
        <v>1</v>
      </c>
      <c r="FS25" s="8">
        <v>1</v>
      </c>
      <c r="FT25" s="8">
        <v>1</v>
      </c>
      <c r="FU25" s="41"/>
      <c r="FV25" s="41"/>
      <c r="FW25" s="8">
        <v>1</v>
      </c>
      <c r="FX25" s="8">
        <v>1</v>
      </c>
      <c r="FY25" s="8">
        <v>1</v>
      </c>
      <c r="FZ25" s="38"/>
      <c r="GA25" s="8">
        <v>1</v>
      </c>
      <c r="GB25" s="41"/>
      <c r="GC25" s="41"/>
      <c r="GD25" s="8">
        <v>1</v>
      </c>
      <c r="GE25" s="8">
        <v>1</v>
      </c>
      <c r="GF25" s="8">
        <v>1</v>
      </c>
      <c r="GG25" s="8">
        <v>1</v>
      </c>
      <c r="GH25" s="8">
        <v>1</v>
      </c>
      <c r="GI25" s="41"/>
      <c r="GJ25" s="41"/>
      <c r="GK25" s="38"/>
      <c r="GL25" s="8">
        <v>1</v>
      </c>
      <c r="GM25" s="8">
        <v>1</v>
      </c>
      <c r="GN25" s="8">
        <v>1</v>
      </c>
      <c r="GO25" s="8">
        <v>1</v>
      </c>
      <c r="GP25" s="41"/>
      <c r="GQ25" s="41"/>
      <c r="GR25" s="8">
        <v>1</v>
      </c>
      <c r="GS25" s="8">
        <v>1</v>
      </c>
      <c r="GT25" s="8">
        <v>1</v>
      </c>
      <c r="GU25" s="8">
        <v>1</v>
      </c>
      <c r="GV25" s="8">
        <v>1</v>
      </c>
      <c r="GW25" s="41"/>
      <c r="GX25" s="41"/>
      <c r="GY25" s="8">
        <v>1</v>
      </c>
      <c r="GZ25" s="8">
        <v>1</v>
      </c>
      <c r="HA25" s="8">
        <v>1</v>
      </c>
      <c r="HB25" s="8">
        <v>1</v>
      </c>
      <c r="HC25" s="8">
        <v>1</v>
      </c>
      <c r="HD25" s="41"/>
      <c r="HE25" s="41"/>
      <c r="HF25" s="8">
        <v>1</v>
      </c>
      <c r="HG25" s="8">
        <v>1</v>
      </c>
      <c r="HH25" s="8">
        <v>1</v>
      </c>
      <c r="HI25" s="8">
        <v>1</v>
      </c>
      <c r="HJ25" s="8">
        <v>1</v>
      </c>
      <c r="HK25" s="41"/>
      <c r="HL25" s="41"/>
      <c r="HM25" s="8">
        <v>1</v>
      </c>
      <c r="HN25" s="8">
        <v>1</v>
      </c>
      <c r="HO25" s="8">
        <v>1</v>
      </c>
      <c r="HP25" s="8">
        <v>1</v>
      </c>
      <c r="HQ25" s="8">
        <v>1</v>
      </c>
      <c r="HR25" s="41"/>
      <c r="HS25" s="41"/>
      <c r="HT25" s="38"/>
      <c r="HU25" s="8">
        <v>1</v>
      </c>
      <c r="HV25" s="8">
        <v>1</v>
      </c>
      <c r="HW25" s="8">
        <v>1</v>
      </c>
      <c r="HX25" s="8">
        <v>1</v>
      </c>
      <c r="HY25" s="41"/>
      <c r="HZ25" s="41"/>
      <c r="IA25" s="8">
        <v>1</v>
      </c>
      <c r="IB25" s="8">
        <v>1</v>
      </c>
      <c r="IC25" s="8">
        <v>1</v>
      </c>
      <c r="ID25" s="8">
        <v>1</v>
      </c>
      <c r="IE25" s="8">
        <v>1</v>
      </c>
      <c r="IF25" s="41"/>
      <c r="IG25" s="41"/>
      <c r="IH25" s="8">
        <v>1</v>
      </c>
      <c r="II25" s="8">
        <v>1</v>
      </c>
      <c r="IJ25" s="8">
        <v>1</v>
      </c>
      <c r="IK25" s="8">
        <v>1</v>
      </c>
      <c r="IL25" s="8">
        <v>1</v>
      </c>
      <c r="IM25" s="41"/>
      <c r="IN25" s="41"/>
      <c r="IO25" s="8">
        <v>1</v>
      </c>
      <c r="IP25" s="8">
        <v>1</v>
      </c>
      <c r="IQ25" s="8">
        <v>1</v>
      </c>
      <c r="IR25" s="8">
        <v>1</v>
      </c>
      <c r="IS25" s="8">
        <v>1</v>
      </c>
      <c r="IT25" s="41"/>
      <c r="IU25" s="41"/>
      <c r="IV25" s="8">
        <v>1</v>
      </c>
      <c r="IW25" s="8">
        <v>1</v>
      </c>
      <c r="IX25" s="8">
        <v>1</v>
      </c>
      <c r="IY25" s="8">
        <v>1</v>
      </c>
      <c r="IZ25" s="38"/>
      <c r="JA25" s="41"/>
      <c r="JB25" s="41"/>
      <c r="JC25" s="8">
        <v>1</v>
      </c>
      <c r="JD25" s="8">
        <v>1</v>
      </c>
      <c r="JE25" s="8">
        <v>1</v>
      </c>
      <c r="JF25" s="8">
        <v>1</v>
      </c>
      <c r="JG25" s="8">
        <v>1</v>
      </c>
      <c r="JH25" s="41"/>
      <c r="JI25" s="41"/>
      <c r="JJ25" s="8">
        <v>1</v>
      </c>
      <c r="JK25" s="8">
        <v>1</v>
      </c>
      <c r="JL25" s="8">
        <v>1</v>
      </c>
      <c r="JM25" s="8">
        <v>1</v>
      </c>
      <c r="JN25" s="8">
        <v>1</v>
      </c>
      <c r="JO25" s="41"/>
      <c r="JP25" s="41"/>
      <c r="JQ25" s="8">
        <v>1</v>
      </c>
      <c r="JR25" s="8">
        <v>1</v>
      </c>
      <c r="JS25" s="8">
        <v>1</v>
      </c>
      <c r="JT25" s="8">
        <v>1</v>
      </c>
      <c r="JU25" s="8">
        <v>1</v>
      </c>
      <c r="JV25" s="41"/>
      <c r="JW25" s="41"/>
      <c r="JX25" s="8">
        <v>1</v>
      </c>
      <c r="JY25" s="8">
        <v>1</v>
      </c>
      <c r="JZ25" s="8">
        <v>1</v>
      </c>
      <c r="KA25" s="8">
        <v>1</v>
      </c>
      <c r="KB25" s="8">
        <v>1</v>
      </c>
      <c r="KC25" s="41"/>
      <c r="KD25" s="41"/>
      <c r="KE25" s="8">
        <v>1</v>
      </c>
      <c r="KF25" s="8">
        <v>1</v>
      </c>
      <c r="KG25" s="8">
        <v>1</v>
      </c>
      <c r="KH25" s="8">
        <v>1</v>
      </c>
      <c r="KI25" s="8">
        <v>1</v>
      </c>
      <c r="KJ25" s="41"/>
      <c r="KK25" s="41"/>
      <c r="KL25" s="8">
        <v>1</v>
      </c>
      <c r="KM25" s="8">
        <v>1</v>
      </c>
      <c r="KN25" s="8">
        <v>1</v>
      </c>
      <c r="KO25" s="8">
        <v>1</v>
      </c>
      <c r="KP25" s="8">
        <v>1</v>
      </c>
      <c r="KQ25" s="41"/>
      <c r="KR25" s="41"/>
      <c r="KS25" s="8">
        <v>1</v>
      </c>
      <c r="KT25" s="8">
        <v>1</v>
      </c>
      <c r="KU25" s="8">
        <v>1</v>
      </c>
      <c r="KV25" s="8">
        <v>1</v>
      </c>
      <c r="KW25" s="8">
        <v>1</v>
      </c>
      <c r="KX25" s="41"/>
      <c r="KY25" s="41"/>
      <c r="KZ25" s="8">
        <v>1</v>
      </c>
      <c r="LA25" s="8">
        <v>1</v>
      </c>
      <c r="LB25" s="8">
        <v>1</v>
      </c>
      <c r="LC25" s="8">
        <v>1</v>
      </c>
      <c r="LD25" s="8">
        <v>1</v>
      </c>
      <c r="LE25" s="41"/>
      <c r="LF25" s="41"/>
      <c r="LG25" s="8">
        <v>1</v>
      </c>
      <c r="LH25" s="8">
        <v>1</v>
      </c>
      <c r="LI25" s="8">
        <v>1</v>
      </c>
      <c r="LJ25" s="8">
        <v>1</v>
      </c>
      <c r="LK25" s="8">
        <v>1</v>
      </c>
      <c r="LL25" s="41"/>
      <c r="LM25" s="41"/>
      <c r="LN25" s="8">
        <v>1</v>
      </c>
      <c r="LO25" s="8">
        <v>1</v>
      </c>
      <c r="LP25" s="8">
        <v>1</v>
      </c>
      <c r="LQ25" s="8">
        <v>1</v>
      </c>
      <c r="LR25" s="8">
        <v>1</v>
      </c>
      <c r="LS25" s="41"/>
      <c r="LT25" s="41"/>
      <c r="LU25" s="8">
        <v>1</v>
      </c>
      <c r="LV25" s="8">
        <v>1</v>
      </c>
      <c r="LW25" s="8">
        <v>1</v>
      </c>
      <c r="LX25" s="8">
        <v>1</v>
      </c>
      <c r="LY25" s="8">
        <v>1</v>
      </c>
      <c r="LZ25" s="41"/>
      <c r="MA25" s="41"/>
      <c r="MB25" s="8">
        <v>1</v>
      </c>
      <c r="MC25" s="8">
        <v>1</v>
      </c>
      <c r="MD25" s="8">
        <v>1</v>
      </c>
      <c r="ME25" s="8">
        <v>1</v>
      </c>
      <c r="MF25" s="8">
        <v>1</v>
      </c>
      <c r="MG25" s="41"/>
      <c r="MH25" s="41"/>
      <c r="MI25" s="8">
        <v>1</v>
      </c>
      <c r="MJ25" s="8">
        <v>1</v>
      </c>
      <c r="MK25" s="8">
        <v>1</v>
      </c>
      <c r="ML25" s="8">
        <v>1</v>
      </c>
      <c r="MM25" s="8">
        <v>1</v>
      </c>
      <c r="MN25" s="41"/>
      <c r="MO25" s="41"/>
      <c r="MP25" s="8">
        <v>1</v>
      </c>
      <c r="MQ25" s="8">
        <v>1</v>
      </c>
      <c r="MR25" s="8">
        <v>1</v>
      </c>
      <c r="MS25" s="8">
        <v>1</v>
      </c>
      <c r="MT25" s="8">
        <v>1</v>
      </c>
      <c r="MU25" s="41"/>
      <c r="MV25" s="41"/>
      <c r="MW25" s="8">
        <v>1</v>
      </c>
      <c r="MX25" s="8">
        <v>1</v>
      </c>
      <c r="MY25" s="8">
        <v>1</v>
      </c>
      <c r="MZ25" s="8">
        <v>1</v>
      </c>
      <c r="NA25" s="8">
        <v>1</v>
      </c>
      <c r="NB25" s="41"/>
      <c r="NC25" s="41"/>
      <c r="ND25" s="8">
        <v>1</v>
      </c>
      <c r="NE25" s="8">
        <v>1</v>
      </c>
      <c r="NF25" s="8">
        <v>1</v>
      </c>
      <c r="NG25" s="8">
        <v>1</v>
      </c>
      <c r="NH25" s="8">
        <v>1</v>
      </c>
      <c r="NI25" s="41"/>
      <c r="NJ25" s="41"/>
      <c r="NK25" s="8">
        <v>1</v>
      </c>
      <c r="NL25" s="8">
        <v>1</v>
      </c>
      <c r="NM25" s="8">
        <v>1</v>
      </c>
      <c r="NN25" s="8">
        <v>1</v>
      </c>
      <c r="NO25" s="8">
        <v>1</v>
      </c>
      <c r="NP25" s="40"/>
      <c r="NQ25" s="40"/>
      <c r="NR25" s="8">
        <v>1</v>
      </c>
      <c r="NS25" s="8">
        <v>1</v>
      </c>
      <c r="NT25" s="8">
        <v>1</v>
      </c>
      <c r="NU25" s="8">
        <v>1</v>
      </c>
      <c r="NV25" s="8">
        <v>1</v>
      </c>
      <c r="NW25" s="40"/>
      <c r="NX25" s="40"/>
      <c r="NY25" s="8">
        <v>1</v>
      </c>
      <c r="NZ25" s="8">
        <v>1</v>
      </c>
      <c r="OA25" s="8">
        <v>1</v>
      </c>
      <c r="OB25" s="8"/>
      <c r="OC25" s="8">
        <v>1</v>
      </c>
      <c r="OD25" s="41"/>
      <c r="OE25" s="41"/>
      <c r="OF25" s="8">
        <v>1</v>
      </c>
      <c r="OG25" s="8">
        <v>1</v>
      </c>
      <c r="OH25" s="8">
        <v>1</v>
      </c>
      <c r="OI25" s="32"/>
      <c r="OJ25" s="33"/>
      <c r="OK25" s="33"/>
      <c r="OL25" s="33"/>
      <c r="OM25" s="33"/>
      <c r="ON25" s="33"/>
      <c r="OO25" s="33"/>
      <c r="OP25" s="33"/>
      <c r="OQ25" s="33"/>
      <c r="OR25" s="33"/>
      <c r="OS25" s="33"/>
      <c r="OT25" s="33"/>
      <c r="OU25" s="33"/>
      <c r="OV25" s="33"/>
      <c r="OW25" s="33"/>
      <c r="OX25" s="33"/>
      <c r="OY25" s="33"/>
      <c r="OZ25" s="33"/>
      <c r="PA25" s="33"/>
      <c r="PB25" s="33"/>
      <c r="PC25" s="33"/>
      <c r="PD25" s="33"/>
      <c r="PE25" s="33"/>
      <c r="PF25" s="33"/>
      <c r="PG25" s="33"/>
      <c r="PH25" s="33"/>
      <c r="PI25" s="33"/>
      <c r="PJ25" s="33"/>
      <c r="PK25" s="33"/>
      <c r="PL25" s="33"/>
      <c r="PM25" s="33"/>
      <c r="PN25" s="33"/>
      <c r="PO25" s="33"/>
      <c r="PP25" s="33"/>
      <c r="PQ25" s="33"/>
      <c r="PR25" s="33"/>
      <c r="PS25" s="33"/>
      <c r="PT25" s="33"/>
      <c r="PU25" s="42"/>
      <c r="PV25" s="42"/>
      <c r="PW25" s="42"/>
      <c r="PX25" s="42"/>
      <c r="PY25" s="42"/>
      <c r="PZ25" s="42"/>
      <c r="QA25" s="42"/>
      <c r="QB25" s="42"/>
      <c r="QC25" s="42"/>
      <c r="QD25" s="42"/>
      <c r="QE25" s="42"/>
      <c r="QF25" s="42"/>
      <c r="QG25" s="42"/>
      <c r="QH25" s="42"/>
      <c r="QI25" s="42"/>
    </row>
    <row r="26" spans="1:451" s="43" customFormat="1" ht="21" x14ac:dyDescent="0.3">
      <c r="A26" s="61" t="s">
        <v>519</v>
      </c>
      <c r="B26" s="62" t="s">
        <v>432</v>
      </c>
      <c r="C26" s="45"/>
      <c r="D26" s="8">
        <v>1</v>
      </c>
      <c r="E26" s="8">
        <v>1</v>
      </c>
      <c r="F26" s="8">
        <v>1</v>
      </c>
      <c r="G26" s="8">
        <v>0</v>
      </c>
      <c r="H26" s="8">
        <v>0</v>
      </c>
      <c r="I26" s="46"/>
      <c r="J26" s="46"/>
      <c r="K26" s="8">
        <v>1</v>
      </c>
      <c r="L26" s="8">
        <v>1</v>
      </c>
      <c r="M26" s="8">
        <v>1</v>
      </c>
      <c r="N26" s="8">
        <v>1</v>
      </c>
      <c r="O26" s="8">
        <v>1</v>
      </c>
      <c r="P26" s="46"/>
      <c r="Q26" s="46"/>
      <c r="R26" s="8">
        <v>1</v>
      </c>
      <c r="S26" s="8">
        <v>1</v>
      </c>
      <c r="T26" s="8">
        <v>1</v>
      </c>
      <c r="U26" s="8">
        <v>1</v>
      </c>
      <c r="V26" s="8">
        <v>1</v>
      </c>
      <c r="W26" s="46"/>
      <c r="X26" s="46"/>
      <c r="Y26" s="8">
        <v>1</v>
      </c>
      <c r="Z26" s="8">
        <v>0</v>
      </c>
      <c r="AA26" s="8"/>
      <c r="AB26" s="8">
        <v>0</v>
      </c>
      <c r="AC26" s="8">
        <v>1</v>
      </c>
      <c r="AD26" s="46"/>
      <c r="AE26" s="46"/>
      <c r="AF26" s="8">
        <v>1</v>
      </c>
      <c r="AG26" s="8">
        <v>0</v>
      </c>
      <c r="AH26" s="38"/>
      <c r="AI26" s="8">
        <v>0</v>
      </c>
      <c r="AJ26" s="8">
        <v>1</v>
      </c>
      <c r="AK26" s="8"/>
      <c r="AL26" s="8"/>
      <c r="AM26" s="109">
        <v>1</v>
      </c>
      <c r="AN26" s="109">
        <v>1</v>
      </c>
      <c r="AO26" s="8">
        <v>1</v>
      </c>
      <c r="AP26" s="8">
        <v>1</v>
      </c>
      <c r="AQ26" s="8">
        <v>1</v>
      </c>
      <c r="AR26" s="39"/>
      <c r="AS26" s="39"/>
      <c r="AT26" s="8">
        <v>1</v>
      </c>
      <c r="AU26" s="8">
        <v>1</v>
      </c>
      <c r="AV26" s="8">
        <v>1</v>
      </c>
      <c r="AW26" s="8">
        <v>1</v>
      </c>
      <c r="AX26" s="8">
        <v>1</v>
      </c>
      <c r="AY26" s="39"/>
      <c r="AZ26" s="39"/>
      <c r="BA26" s="39">
        <v>1</v>
      </c>
      <c r="BB26" s="39">
        <v>1</v>
      </c>
      <c r="BC26" s="39">
        <v>1</v>
      </c>
      <c r="BD26" s="39">
        <v>1</v>
      </c>
      <c r="BE26" s="39">
        <v>1</v>
      </c>
      <c r="BF26" s="39"/>
      <c r="BG26" s="39"/>
      <c r="BH26" s="39">
        <v>1</v>
      </c>
      <c r="BI26" s="39">
        <v>1</v>
      </c>
      <c r="BJ26" s="39">
        <v>1</v>
      </c>
      <c r="BK26" s="39">
        <v>1</v>
      </c>
      <c r="BL26" s="39">
        <v>1</v>
      </c>
      <c r="BM26" s="40"/>
      <c r="BN26" s="40"/>
      <c r="BO26" s="8">
        <v>1</v>
      </c>
      <c r="BP26" s="8">
        <v>1</v>
      </c>
      <c r="BQ26" s="8">
        <v>1</v>
      </c>
      <c r="BR26" s="8">
        <v>1</v>
      </c>
      <c r="BS26" s="8">
        <v>1</v>
      </c>
      <c r="BT26" s="40"/>
      <c r="BU26" s="40"/>
      <c r="BV26" s="8">
        <v>1</v>
      </c>
      <c r="BW26" s="8">
        <v>1</v>
      </c>
      <c r="BX26" s="8">
        <v>1</v>
      </c>
      <c r="BY26" s="8">
        <v>1</v>
      </c>
      <c r="BZ26" s="8">
        <v>1</v>
      </c>
      <c r="CA26" s="40"/>
      <c r="CB26" s="40"/>
      <c r="CC26" s="8">
        <v>1</v>
      </c>
      <c r="CD26" s="8">
        <v>1</v>
      </c>
      <c r="CE26" s="8">
        <v>1</v>
      </c>
      <c r="CF26" s="8">
        <v>1</v>
      </c>
      <c r="CG26" s="8">
        <v>1</v>
      </c>
      <c r="CH26" s="40"/>
      <c r="CI26" s="40"/>
      <c r="CJ26" s="8">
        <v>1</v>
      </c>
      <c r="CK26" s="8">
        <v>1</v>
      </c>
      <c r="CL26" s="8">
        <v>1</v>
      </c>
      <c r="CM26" s="8">
        <v>1</v>
      </c>
      <c r="CN26" s="8">
        <v>1</v>
      </c>
      <c r="CO26" s="40"/>
      <c r="CP26" s="40"/>
      <c r="CQ26" s="8">
        <v>1</v>
      </c>
      <c r="CR26" s="8">
        <v>1</v>
      </c>
      <c r="CS26" s="8">
        <v>1</v>
      </c>
      <c r="CT26" s="8">
        <v>1</v>
      </c>
      <c r="CU26" s="8">
        <v>1</v>
      </c>
      <c r="CV26" s="40"/>
      <c r="CW26" s="40"/>
      <c r="CX26" s="8">
        <v>1</v>
      </c>
      <c r="CY26" s="8">
        <v>1</v>
      </c>
      <c r="CZ26" s="8">
        <v>1</v>
      </c>
      <c r="DA26" s="8">
        <v>1</v>
      </c>
      <c r="DB26" s="8">
        <v>1</v>
      </c>
      <c r="DC26" s="40"/>
      <c r="DD26" s="40"/>
      <c r="DE26" s="8">
        <v>1</v>
      </c>
      <c r="DF26" s="8">
        <v>1</v>
      </c>
      <c r="DG26" s="8">
        <v>1</v>
      </c>
      <c r="DH26" s="8">
        <v>1</v>
      </c>
      <c r="DI26" s="8">
        <v>1</v>
      </c>
      <c r="DJ26" s="40"/>
      <c r="DK26" s="40"/>
      <c r="DL26" s="8">
        <v>1</v>
      </c>
      <c r="DM26" s="8">
        <v>1</v>
      </c>
      <c r="DN26" s="8">
        <v>1</v>
      </c>
      <c r="DO26" s="8">
        <v>1</v>
      </c>
      <c r="DP26" s="8">
        <v>1</v>
      </c>
      <c r="DQ26" s="41"/>
      <c r="DR26" s="41"/>
      <c r="DS26" s="8">
        <v>1</v>
      </c>
      <c r="DT26" s="8">
        <v>1</v>
      </c>
      <c r="DU26" s="8">
        <v>1</v>
      </c>
      <c r="DV26" s="8">
        <v>1</v>
      </c>
      <c r="DW26" s="8">
        <v>1</v>
      </c>
      <c r="DX26" s="41"/>
      <c r="DY26" s="41"/>
      <c r="DZ26" s="8">
        <v>1</v>
      </c>
      <c r="EA26" s="8">
        <v>1</v>
      </c>
      <c r="EB26" s="8">
        <v>1</v>
      </c>
      <c r="EC26" s="8">
        <v>1</v>
      </c>
      <c r="ED26" s="8">
        <v>1</v>
      </c>
      <c r="EE26" s="41"/>
      <c r="EF26" s="41"/>
      <c r="EG26" s="8">
        <v>1</v>
      </c>
      <c r="EH26" s="8">
        <v>1</v>
      </c>
      <c r="EI26" s="8">
        <v>1</v>
      </c>
      <c r="EJ26" s="8">
        <v>1</v>
      </c>
      <c r="EK26" s="8">
        <v>1</v>
      </c>
      <c r="EL26" s="41"/>
      <c r="EM26" s="41"/>
      <c r="EN26" s="38"/>
      <c r="EO26" s="8">
        <v>1</v>
      </c>
      <c r="EP26" s="8">
        <v>1</v>
      </c>
      <c r="EQ26" s="8">
        <v>1</v>
      </c>
      <c r="ER26" s="8">
        <v>1</v>
      </c>
      <c r="ES26" s="41"/>
      <c r="ET26" s="41"/>
      <c r="EU26" s="8">
        <v>1</v>
      </c>
      <c r="EV26" s="8">
        <v>1</v>
      </c>
      <c r="EW26" s="8">
        <v>1</v>
      </c>
      <c r="EX26" s="38"/>
      <c r="EY26" s="8">
        <v>1</v>
      </c>
      <c r="EZ26" s="41"/>
      <c r="FA26" s="41"/>
      <c r="FB26" s="8">
        <v>1</v>
      </c>
      <c r="FC26" s="8">
        <v>1</v>
      </c>
      <c r="FD26" s="8">
        <v>1</v>
      </c>
      <c r="FE26" s="38"/>
      <c r="FF26" s="8">
        <v>1</v>
      </c>
      <c r="FG26" s="41"/>
      <c r="FH26" s="41"/>
      <c r="FI26" s="8">
        <v>1</v>
      </c>
      <c r="FJ26" s="8">
        <v>1</v>
      </c>
      <c r="FK26" s="8">
        <v>1</v>
      </c>
      <c r="FL26" s="8">
        <v>1</v>
      </c>
      <c r="FM26" s="8">
        <v>1</v>
      </c>
      <c r="FN26" s="41"/>
      <c r="FO26" s="41"/>
      <c r="FP26" s="8">
        <v>1</v>
      </c>
      <c r="FQ26" s="8">
        <v>1</v>
      </c>
      <c r="FR26" s="8">
        <v>1</v>
      </c>
      <c r="FS26" s="8">
        <v>1</v>
      </c>
      <c r="FT26" s="8">
        <v>1</v>
      </c>
      <c r="FU26" s="41"/>
      <c r="FV26" s="41"/>
      <c r="FW26" s="8">
        <v>1</v>
      </c>
      <c r="FX26" s="8">
        <v>1</v>
      </c>
      <c r="FY26" s="8">
        <v>1</v>
      </c>
      <c r="FZ26" s="38"/>
      <c r="GA26" s="8">
        <v>1</v>
      </c>
      <c r="GB26" s="41"/>
      <c r="GC26" s="41"/>
      <c r="GD26" s="8">
        <v>1</v>
      </c>
      <c r="GE26" s="8">
        <v>1</v>
      </c>
      <c r="GF26" s="8">
        <v>1</v>
      </c>
      <c r="GG26" s="8">
        <v>1</v>
      </c>
      <c r="GH26" s="8">
        <v>1</v>
      </c>
      <c r="GI26" s="41"/>
      <c r="GJ26" s="41"/>
      <c r="GK26" s="38"/>
      <c r="GL26" s="8">
        <v>1</v>
      </c>
      <c r="GM26" s="8">
        <v>1</v>
      </c>
      <c r="GN26" s="8">
        <v>1</v>
      </c>
      <c r="GO26" s="8">
        <v>1</v>
      </c>
      <c r="GP26" s="41"/>
      <c r="GQ26" s="41"/>
      <c r="GR26" s="8">
        <v>1</v>
      </c>
      <c r="GS26" s="8">
        <v>1</v>
      </c>
      <c r="GT26" s="8">
        <v>1</v>
      </c>
      <c r="GU26" s="8">
        <v>1</v>
      </c>
      <c r="GV26" s="8">
        <v>1</v>
      </c>
      <c r="GW26" s="41"/>
      <c r="GX26" s="41"/>
      <c r="GY26" s="8">
        <v>1</v>
      </c>
      <c r="GZ26" s="8">
        <v>1</v>
      </c>
      <c r="HA26" s="8">
        <v>1</v>
      </c>
      <c r="HB26" s="8">
        <v>1</v>
      </c>
      <c r="HC26" s="8">
        <v>1</v>
      </c>
      <c r="HD26" s="41"/>
      <c r="HE26" s="41"/>
      <c r="HF26" s="8">
        <v>1</v>
      </c>
      <c r="HG26" s="8">
        <v>1</v>
      </c>
      <c r="HH26" s="8">
        <v>1</v>
      </c>
      <c r="HI26" s="8">
        <v>1</v>
      </c>
      <c r="HJ26" s="8">
        <v>1</v>
      </c>
      <c r="HK26" s="41"/>
      <c r="HL26" s="41"/>
      <c r="HM26" s="8">
        <v>1</v>
      </c>
      <c r="HN26" s="8">
        <v>1</v>
      </c>
      <c r="HO26" s="8">
        <v>1</v>
      </c>
      <c r="HP26" s="8">
        <v>1</v>
      </c>
      <c r="HQ26" s="8">
        <v>1</v>
      </c>
      <c r="HR26" s="41"/>
      <c r="HS26" s="41"/>
      <c r="HT26" s="38"/>
      <c r="HU26" s="8">
        <v>1</v>
      </c>
      <c r="HV26" s="8">
        <v>1</v>
      </c>
      <c r="HW26" s="8">
        <v>1</v>
      </c>
      <c r="HX26" s="8">
        <v>1</v>
      </c>
      <c r="HY26" s="41"/>
      <c r="HZ26" s="41"/>
      <c r="IA26" s="8">
        <v>1</v>
      </c>
      <c r="IB26" s="8">
        <v>1</v>
      </c>
      <c r="IC26" s="8">
        <v>1</v>
      </c>
      <c r="ID26" s="8">
        <v>1</v>
      </c>
      <c r="IE26" s="8">
        <v>1</v>
      </c>
      <c r="IF26" s="41"/>
      <c r="IG26" s="41"/>
      <c r="IH26" s="8">
        <v>1</v>
      </c>
      <c r="II26" s="8">
        <v>1</v>
      </c>
      <c r="IJ26" s="8">
        <v>1</v>
      </c>
      <c r="IK26" s="8">
        <v>1</v>
      </c>
      <c r="IL26" s="8">
        <v>1</v>
      </c>
      <c r="IM26" s="41"/>
      <c r="IN26" s="41"/>
      <c r="IO26" s="8">
        <v>1</v>
      </c>
      <c r="IP26" s="8">
        <v>1</v>
      </c>
      <c r="IQ26" s="8">
        <v>1</v>
      </c>
      <c r="IR26" s="8">
        <v>1</v>
      </c>
      <c r="IS26" s="8">
        <v>1</v>
      </c>
      <c r="IT26" s="41"/>
      <c r="IU26" s="41"/>
      <c r="IV26" s="8">
        <v>1</v>
      </c>
      <c r="IW26" s="8">
        <v>1</v>
      </c>
      <c r="IX26" s="8">
        <v>1</v>
      </c>
      <c r="IY26" s="8">
        <v>1</v>
      </c>
      <c r="IZ26" s="38"/>
      <c r="JA26" s="41"/>
      <c r="JB26" s="41"/>
      <c r="JC26" s="8">
        <v>1</v>
      </c>
      <c r="JD26" s="8">
        <v>1</v>
      </c>
      <c r="JE26" s="8">
        <v>1</v>
      </c>
      <c r="JF26" s="8">
        <v>1</v>
      </c>
      <c r="JG26" s="8">
        <v>1</v>
      </c>
      <c r="JH26" s="41"/>
      <c r="JI26" s="41"/>
      <c r="JJ26" s="8">
        <v>1</v>
      </c>
      <c r="JK26" s="8">
        <v>1</v>
      </c>
      <c r="JL26" s="8">
        <v>1</v>
      </c>
      <c r="JM26" s="8">
        <v>1</v>
      </c>
      <c r="JN26" s="8">
        <v>1</v>
      </c>
      <c r="JO26" s="41"/>
      <c r="JP26" s="41"/>
      <c r="JQ26" s="8">
        <v>1</v>
      </c>
      <c r="JR26" s="8">
        <v>1</v>
      </c>
      <c r="JS26" s="8">
        <v>1</v>
      </c>
      <c r="JT26" s="8">
        <v>1</v>
      </c>
      <c r="JU26" s="8">
        <v>1</v>
      </c>
      <c r="JV26" s="41"/>
      <c r="JW26" s="41"/>
      <c r="JX26" s="8">
        <v>1</v>
      </c>
      <c r="JY26" s="8">
        <v>1</v>
      </c>
      <c r="JZ26" s="8">
        <v>1</v>
      </c>
      <c r="KA26" s="8">
        <v>1</v>
      </c>
      <c r="KB26" s="8">
        <v>1</v>
      </c>
      <c r="KC26" s="41"/>
      <c r="KD26" s="41"/>
      <c r="KE26" s="8">
        <v>1</v>
      </c>
      <c r="KF26" s="8">
        <v>1</v>
      </c>
      <c r="KG26" s="8">
        <v>1</v>
      </c>
      <c r="KH26" s="8">
        <v>1</v>
      </c>
      <c r="KI26" s="8">
        <v>1</v>
      </c>
      <c r="KJ26" s="41"/>
      <c r="KK26" s="41"/>
      <c r="KL26" s="8">
        <v>1</v>
      </c>
      <c r="KM26" s="8">
        <v>1</v>
      </c>
      <c r="KN26" s="8">
        <v>1</v>
      </c>
      <c r="KO26" s="8">
        <v>1</v>
      </c>
      <c r="KP26" s="8">
        <v>1</v>
      </c>
      <c r="KQ26" s="41"/>
      <c r="KR26" s="41"/>
      <c r="KS26" s="8">
        <v>1</v>
      </c>
      <c r="KT26" s="8">
        <v>1</v>
      </c>
      <c r="KU26" s="8">
        <v>1</v>
      </c>
      <c r="KV26" s="8">
        <v>1</v>
      </c>
      <c r="KW26" s="8">
        <v>1</v>
      </c>
      <c r="KX26" s="41"/>
      <c r="KY26" s="41"/>
      <c r="KZ26" s="8">
        <v>1</v>
      </c>
      <c r="LA26" s="8">
        <v>1</v>
      </c>
      <c r="LB26" s="8">
        <v>1</v>
      </c>
      <c r="LC26" s="8">
        <v>1</v>
      </c>
      <c r="LD26" s="8">
        <v>1</v>
      </c>
      <c r="LE26" s="41"/>
      <c r="LF26" s="41"/>
      <c r="LG26" s="8">
        <v>1</v>
      </c>
      <c r="LH26" s="8">
        <v>1</v>
      </c>
      <c r="LI26" s="8">
        <v>1</v>
      </c>
      <c r="LJ26" s="8">
        <v>1</v>
      </c>
      <c r="LK26" s="8">
        <v>1</v>
      </c>
      <c r="LL26" s="41"/>
      <c r="LM26" s="41"/>
      <c r="LN26" s="8">
        <v>1</v>
      </c>
      <c r="LO26" s="8">
        <v>1</v>
      </c>
      <c r="LP26" s="8">
        <v>1</v>
      </c>
      <c r="LQ26" s="8">
        <v>1</v>
      </c>
      <c r="LR26" s="8">
        <v>1</v>
      </c>
      <c r="LS26" s="41"/>
      <c r="LT26" s="41"/>
      <c r="LU26" s="8">
        <v>1</v>
      </c>
      <c r="LV26" s="8">
        <v>1</v>
      </c>
      <c r="LW26" s="8">
        <v>1</v>
      </c>
      <c r="LX26" s="8">
        <v>1</v>
      </c>
      <c r="LY26" s="8">
        <v>1</v>
      </c>
      <c r="LZ26" s="41"/>
      <c r="MA26" s="41"/>
      <c r="MB26" s="8">
        <v>1</v>
      </c>
      <c r="MC26" s="8">
        <v>1</v>
      </c>
      <c r="MD26" s="8">
        <v>1</v>
      </c>
      <c r="ME26" s="8">
        <v>1</v>
      </c>
      <c r="MF26" s="8">
        <v>1</v>
      </c>
      <c r="MG26" s="41"/>
      <c r="MH26" s="41"/>
      <c r="MI26" s="8">
        <v>1</v>
      </c>
      <c r="MJ26" s="8">
        <v>1</v>
      </c>
      <c r="MK26" s="8">
        <v>1</v>
      </c>
      <c r="ML26" s="8">
        <v>1</v>
      </c>
      <c r="MM26" s="8">
        <v>1</v>
      </c>
      <c r="MN26" s="41"/>
      <c r="MO26" s="41"/>
      <c r="MP26" s="8">
        <v>1</v>
      </c>
      <c r="MQ26" s="8">
        <v>1</v>
      </c>
      <c r="MR26" s="8">
        <v>1</v>
      </c>
      <c r="MS26" s="8">
        <v>1</v>
      </c>
      <c r="MT26" s="8">
        <v>1</v>
      </c>
      <c r="MU26" s="41"/>
      <c r="MV26" s="41"/>
      <c r="MW26" s="8">
        <v>1</v>
      </c>
      <c r="MX26" s="8">
        <v>1</v>
      </c>
      <c r="MY26" s="8">
        <v>1</v>
      </c>
      <c r="MZ26" s="8">
        <v>1</v>
      </c>
      <c r="NA26" s="8">
        <v>1</v>
      </c>
      <c r="NB26" s="41"/>
      <c r="NC26" s="41"/>
      <c r="ND26" s="8">
        <v>1</v>
      </c>
      <c r="NE26" s="8">
        <v>1</v>
      </c>
      <c r="NF26" s="8">
        <v>1</v>
      </c>
      <c r="NG26" s="8">
        <v>1</v>
      </c>
      <c r="NH26" s="8">
        <v>1</v>
      </c>
      <c r="NI26" s="41"/>
      <c r="NJ26" s="41"/>
      <c r="NK26" s="8">
        <v>1</v>
      </c>
      <c r="NL26" s="8">
        <v>1</v>
      </c>
      <c r="NM26" s="8">
        <v>1</v>
      </c>
      <c r="NN26" s="8">
        <v>1</v>
      </c>
      <c r="NO26" s="8">
        <v>1</v>
      </c>
      <c r="NP26" s="40"/>
      <c r="NQ26" s="40"/>
      <c r="NR26" s="8">
        <v>1</v>
      </c>
      <c r="NS26" s="8">
        <v>1</v>
      </c>
      <c r="NT26" s="8">
        <v>1</v>
      </c>
      <c r="NU26" s="8">
        <v>1</v>
      </c>
      <c r="NV26" s="8">
        <v>1</v>
      </c>
      <c r="NW26" s="40"/>
      <c r="NX26" s="40"/>
      <c r="NY26" s="8">
        <v>1</v>
      </c>
      <c r="NZ26" s="8">
        <v>1</v>
      </c>
      <c r="OA26" s="8">
        <v>1</v>
      </c>
      <c r="OB26" s="8"/>
      <c r="OC26" s="8">
        <v>1</v>
      </c>
      <c r="OD26" s="41"/>
      <c r="OE26" s="41"/>
      <c r="OF26" s="8">
        <v>1</v>
      </c>
      <c r="OG26" s="8">
        <v>1</v>
      </c>
      <c r="OH26" s="8">
        <v>1</v>
      </c>
      <c r="OI26" s="32"/>
      <c r="OJ26" s="33"/>
      <c r="OK26" s="33"/>
      <c r="OL26" s="33"/>
      <c r="OM26" s="33"/>
      <c r="ON26" s="33"/>
      <c r="OO26" s="33"/>
      <c r="OP26" s="33"/>
      <c r="OQ26" s="33"/>
      <c r="OR26" s="33"/>
      <c r="OS26" s="33"/>
      <c r="OT26" s="33"/>
      <c r="OU26" s="33"/>
      <c r="OV26" s="33"/>
      <c r="OW26" s="33"/>
      <c r="OX26" s="33"/>
      <c r="OY26" s="33"/>
      <c r="OZ26" s="33"/>
      <c r="PA26" s="33"/>
      <c r="PB26" s="33"/>
      <c r="PC26" s="33"/>
      <c r="PD26" s="33"/>
      <c r="PE26" s="33"/>
      <c r="PF26" s="33"/>
      <c r="PG26" s="33"/>
      <c r="PH26" s="33"/>
      <c r="PI26" s="33"/>
      <c r="PJ26" s="33"/>
      <c r="PK26" s="33"/>
      <c r="PL26" s="33"/>
      <c r="PM26" s="33"/>
      <c r="PN26" s="33"/>
      <c r="PO26" s="33"/>
      <c r="PP26" s="33"/>
      <c r="PQ26" s="33"/>
      <c r="PR26" s="33"/>
      <c r="PS26" s="33"/>
      <c r="PT26" s="33"/>
      <c r="PU26" s="42"/>
      <c r="PV26" s="42"/>
      <c r="PW26" s="42"/>
      <c r="PX26" s="42"/>
      <c r="PY26" s="42"/>
      <c r="PZ26" s="42"/>
      <c r="QA26" s="42"/>
      <c r="QB26" s="42"/>
      <c r="QC26" s="42"/>
      <c r="QD26" s="42"/>
      <c r="QE26" s="42"/>
      <c r="QF26" s="42"/>
      <c r="QG26" s="42"/>
      <c r="QH26" s="42"/>
      <c r="QI26" s="42"/>
    </row>
    <row r="27" spans="1:451" s="43" customFormat="1" ht="21" x14ac:dyDescent="0.3">
      <c r="A27" s="61" t="s">
        <v>520</v>
      </c>
      <c r="B27" s="62" t="s">
        <v>433</v>
      </c>
      <c r="C27" s="45"/>
      <c r="D27" s="8">
        <v>1</v>
      </c>
      <c r="E27" s="8">
        <v>1</v>
      </c>
      <c r="F27" s="8">
        <v>1</v>
      </c>
      <c r="G27" s="8">
        <v>1</v>
      </c>
      <c r="H27" s="8">
        <v>0</v>
      </c>
      <c r="I27" s="46"/>
      <c r="J27" s="46"/>
      <c r="K27" s="8">
        <v>1</v>
      </c>
      <c r="L27" s="8">
        <v>0</v>
      </c>
      <c r="M27" s="8">
        <v>1</v>
      </c>
      <c r="N27" s="8">
        <v>1</v>
      </c>
      <c r="O27" s="8">
        <v>1</v>
      </c>
      <c r="P27" s="46"/>
      <c r="Q27" s="46"/>
      <c r="R27" s="8">
        <v>1</v>
      </c>
      <c r="S27" s="8">
        <v>1</v>
      </c>
      <c r="T27" s="8">
        <v>1</v>
      </c>
      <c r="U27" s="8">
        <v>1</v>
      </c>
      <c r="V27" s="8">
        <v>1</v>
      </c>
      <c r="W27" s="46"/>
      <c r="X27" s="46"/>
      <c r="Y27" s="8">
        <v>1</v>
      </c>
      <c r="Z27" s="8">
        <v>1</v>
      </c>
      <c r="AA27" s="8"/>
      <c r="AB27" s="8">
        <v>0</v>
      </c>
      <c r="AC27" s="8">
        <v>0</v>
      </c>
      <c r="AD27" s="46"/>
      <c r="AE27" s="46"/>
      <c r="AF27" s="8">
        <v>0</v>
      </c>
      <c r="AG27" s="8">
        <v>0</v>
      </c>
      <c r="AH27" s="38"/>
      <c r="AI27" s="8">
        <v>1</v>
      </c>
      <c r="AJ27" s="8">
        <v>1</v>
      </c>
      <c r="AK27" s="8"/>
      <c r="AL27" s="8"/>
      <c r="AM27" s="109">
        <v>1</v>
      </c>
      <c r="AN27" s="109">
        <v>1</v>
      </c>
      <c r="AO27" s="8">
        <v>1</v>
      </c>
      <c r="AP27" s="8">
        <v>1</v>
      </c>
      <c r="AQ27" s="8">
        <v>1</v>
      </c>
      <c r="AR27" s="39"/>
      <c r="AS27" s="39"/>
      <c r="AT27" s="8">
        <v>1</v>
      </c>
      <c r="AU27" s="8">
        <v>1</v>
      </c>
      <c r="AV27" s="8">
        <v>1</v>
      </c>
      <c r="AW27" s="8">
        <v>1</v>
      </c>
      <c r="AX27" s="8">
        <v>1</v>
      </c>
      <c r="AY27" s="39"/>
      <c r="AZ27" s="39"/>
      <c r="BA27" s="39">
        <v>0</v>
      </c>
      <c r="BB27" s="39">
        <v>1</v>
      </c>
      <c r="BC27" s="39">
        <v>1</v>
      </c>
      <c r="BD27" s="39">
        <v>1</v>
      </c>
      <c r="BE27" s="39">
        <v>1</v>
      </c>
      <c r="BF27" s="39"/>
      <c r="BG27" s="39"/>
      <c r="BH27" s="39">
        <v>1</v>
      </c>
      <c r="BI27" s="39">
        <v>1</v>
      </c>
      <c r="BJ27" s="39">
        <v>1</v>
      </c>
      <c r="BK27" s="39">
        <v>1</v>
      </c>
      <c r="BL27" s="39">
        <v>1</v>
      </c>
      <c r="BM27" s="40"/>
      <c r="BN27" s="40"/>
      <c r="BO27" s="8">
        <v>0</v>
      </c>
      <c r="BP27" s="8">
        <v>0</v>
      </c>
      <c r="BQ27" s="8">
        <v>0</v>
      </c>
      <c r="BR27" s="8">
        <v>0</v>
      </c>
      <c r="BS27" s="8">
        <v>0</v>
      </c>
      <c r="BT27" s="40"/>
      <c r="BU27" s="40"/>
      <c r="BV27" s="8">
        <v>1</v>
      </c>
      <c r="BW27" s="8">
        <v>1</v>
      </c>
      <c r="BX27" s="8">
        <v>1</v>
      </c>
      <c r="BY27" s="8">
        <v>1</v>
      </c>
      <c r="BZ27" s="8">
        <v>1</v>
      </c>
      <c r="CA27" s="40"/>
      <c r="CB27" s="40"/>
      <c r="CC27" s="8">
        <v>1</v>
      </c>
      <c r="CD27" s="8">
        <v>1</v>
      </c>
      <c r="CE27" s="8">
        <v>1</v>
      </c>
      <c r="CF27" s="8">
        <v>1</v>
      </c>
      <c r="CG27" s="8">
        <v>1</v>
      </c>
      <c r="CH27" s="40"/>
      <c r="CI27" s="40"/>
      <c r="CJ27" s="8">
        <v>1</v>
      </c>
      <c r="CK27" s="8">
        <v>1</v>
      </c>
      <c r="CL27" s="8">
        <v>1</v>
      </c>
      <c r="CM27" s="8">
        <v>1</v>
      </c>
      <c r="CN27" s="8">
        <v>1</v>
      </c>
      <c r="CO27" s="40"/>
      <c r="CP27" s="40"/>
      <c r="CQ27" s="8">
        <v>1</v>
      </c>
      <c r="CR27" s="8">
        <v>1</v>
      </c>
      <c r="CS27" s="8">
        <v>1</v>
      </c>
      <c r="CT27" s="8">
        <v>1</v>
      </c>
      <c r="CU27" s="8">
        <v>1</v>
      </c>
      <c r="CV27" s="40"/>
      <c r="CW27" s="40"/>
      <c r="CX27" s="8">
        <v>1</v>
      </c>
      <c r="CY27" s="8">
        <v>1</v>
      </c>
      <c r="CZ27" s="8">
        <v>1</v>
      </c>
      <c r="DA27" s="8">
        <v>1</v>
      </c>
      <c r="DB27" s="8">
        <v>1</v>
      </c>
      <c r="DC27" s="40"/>
      <c r="DD27" s="40"/>
      <c r="DE27" s="8">
        <v>1</v>
      </c>
      <c r="DF27" s="8">
        <v>1</v>
      </c>
      <c r="DG27" s="8">
        <v>1</v>
      </c>
      <c r="DH27" s="8">
        <v>1</v>
      </c>
      <c r="DI27" s="8">
        <v>1</v>
      </c>
      <c r="DJ27" s="40"/>
      <c r="DK27" s="40"/>
      <c r="DL27" s="8">
        <v>1</v>
      </c>
      <c r="DM27" s="8">
        <v>1</v>
      </c>
      <c r="DN27" s="8">
        <v>1</v>
      </c>
      <c r="DO27" s="8">
        <v>1</v>
      </c>
      <c r="DP27" s="8">
        <v>1</v>
      </c>
      <c r="DQ27" s="41"/>
      <c r="DR27" s="41"/>
      <c r="DS27" s="8">
        <v>1</v>
      </c>
      <c r="DT27" s="8">
        <v>1</v>
      </c>
      <c r="DU27" s="8">
        <v>1</v>
      </c>
      <c r="DV27" s="8">
        <v>1</v>
      </c>
      <c r="DW27" s="8">
        <v>1</v>
      </c>
      <c r="DX27" s="41"/>
      <c r="DY27" s="41"/>
      <c r="DZ27" s="8">
        <v>1</v>
      </c>
      <c r="EA27" s="8">
        <v>1</v>
      </c>
      <c r="EB27" s="8">
        <v>1</v>
      </c>
      <c r="EC27" s="8">
        <v>1</v>
      </c>
      <c r="ED27" s="8">
        <v>1</v>
      </c>
      <c r="EE27" s="41"/>
      <c r="EF27" s="41"/>
      <c r="EG27" s="8">
        <v>1</v>
      </c>
      <c r="EH27" s="8">
        <v>1</v>
      </c>
      <c r="EI27" s="8">
        <v>1</v>
      </c>
      <c r="EJ27" s="8">
        <v>1</v>
      </c>
      <c r="EK27" s="8">
        <v>1</v>
      </c>
      <c r="EL27" s="41"/>
      <c r="EM27" s="41"/>
      <c r="EN27" s="38"/>
      <c r="EO27" s="8">
        <v>1</v>
      </c>
      <c r="EP27" s="8">
        <v>1</v>
      </c>
      <c r="EQ27" s="8">
        <v>1</v>
      </c>
      <c r="ER27" s="8">
        <v>1</v>
      </c>
      <c r="ES27" s="41"/>
      <c r="ET27" s="41"/>
      <c r="EU27" s="8">
        <v>1</v>
      </c>
      <c r="EV27" s="8">
        <v>1</v>
      </c>
      <c r="EW27" s="8">
        <v>1</v>
      </c>
      <c r="EX27" s="38"/>
      <c r="EY27" s="8">
        <v>1</v>
      </c>
      <c r="EZ27" s="41"/>
      <c r="FA27" s="41"/>
      <c r="FB27" s="8">
        <v>1</v>
      </c>
      <c r="FC27" s="8">
        <v>1</v>
      </c>
      <c r="FD27" s="8">
        <v>1</v>
      </c>
      <c r="FE27" s="38"/>
      <c r="FF27" s="8">
        <v>1</v>
      </c>
      <c r="FG27" s="41"/>
      <c r="FH27" s="41"/>
      <c r="FI27" s="8">
        <v>1</v>
      </c>
      <c r="FJ27" s="8">
        <v>1</v>
      </c>
      <c r="FK27" s="8">
        <v>1</v>
      </c>
      <c r="FL27" s="8">
        <v>1</v>
      </c>
      <c r="FM27" s="8">
        <v>1</v>
      </c>
      <c r="FN27" s="41"/>
      <c r="FO27" s="41"/>
      <c r="FP27" s="8">
        <v>1</v>
      </c>
      <c r="FQ27" s="8">
        <v>1</v>
      </c>
      <c r="FR27" s="8">
        <v>1</v>
      </c>
      <c r="FS27" s="8">
        <v>1</v>
      </c>
      <c r="FT27" s="8">
        <v>1</v>
      </c>
      <c r="FU27" s="41"/>
      <c r="FV27" s="41"/>
      <c r="FW27" s="8">
        <v>1</v>
      </c>
      <c r="FX27" s="8">
        <v>1</v>
      </c>
      <c r="FY27" s="8">
        <v>1</v>
      </c>
      <c r="FZ27" s="38"/>
      <c r="GA27" s="8">
        <v>1</v>
      </c>
      <c r="GB27" s="41"/>
      <c r="GC27" s="41"/>
      <c r="GD27" s="8">
        <v>1</v>
      </c>
      <c r="GE27" s="8">
        <v>1</v>
      </c>
      <c r="GF27" s="8">
        <v>1</v>
      </c>
      <c r="GG27" s="8">
        <v>1</v>
      </c>
      <c r="GH27" s="8">
        <v>1</v>
      </c>
      <c r="GI27" s="41"/>
      <c r="GJ27" s="41"/>
      <c r="GK27" s="38"/>
      <c r="GL27" s="8">
        <v>1</v>
      </c>
      <c r="GM27" s="8">
        <v>1</v>
      </c>
      <c r="GN27" s="8">
        <v>1</v>
      </c>
      <c r="GO27" s="8">
        <v>1</v>
      </c>
      <c r="GP27" s="41"/>
      <c r="GQ27" s="41"/>
      <c r="GR27" s="8">
        <v>1</v>
      </c>
      <c r="GS27" s="8">
        <v>1</v>
      </c>
      <c r="GT27" s="8">
        <v>1</v>
      </c>
      <c r="GU27" s="8">
        <v>1</v>
      </c>
      <c r="GV27" s="8">
        <v>1</v>
      </c>
      <c r="GW27" s="41"/>
      <c r="GX27" s="41"/>
      <c r="GY27" s="8">
        <v>1</v>
      </c>
      <c r="GZ27" s="8">
        <v>1</v>
      </c>
      <c r="HA27" s="8">
        <v>1</v>
      </c>
      <c r="HB27" s="8">
        <v>1</v>
      </c>
      <c r="HC27" s="8">
        <v>1</v>
      </c>
      <c r="HD27" s="41"/>
      <c r="HE27" s="41"/>
      <c r="HF27" s="8">
        <v>1</v>
      </c>
      <c r="HG27" s="8">
        <v>1</v>
      </c>
      <c r="HH27" s="8">
        <v>1</v>
      </c>
      <c r="HI27" s="8">
        <v>1</v>
      </c>
      <c r="HJ27" s="8">
        <v>1</v>
      </c>
      <c r="HK27" s="41"/>
      <c r="HL27" s="41"/>
      <c r="HM27" s="8">
        <v>1</v>
      </c>
      <c r="HN27" s="8">
        <v>1</v>
      </c>
      <c r="HO27" s="8">
        <v>1</v>
      </c>
      <c r="HP27" s="8">
        <v>1</v>
      </c>
      <c r="HQ27" s="8">
        <v>1</v>
      </c>
      <c r="HR27" s="41"/>
      <c r="HS27" s="41"/>
      <c r="HT27" s="38"/>
      <c r="HU27" s="8">
        <v>1</v>
      </c>
      <c r="HV27" s="8">
        <v>1</v>
      </c>
      <c r="HW27" s="8">
        <v>1</v>
      </c>
      <c r="HX27" s="8">
        <v>1</v>
      </c>
      <c r="HY27" s="41"/>
      <c r="HZ27" s="41"/>
      <c r="IA27" s="8">
        <v>1</v>
      </c>
      <c r="IB27" s="8">
        <v>1</v>
      </c>
      <c r="IC27" s="8">
        <v>1</v>
      </c>
      <c r="ID27" s="8">
        <v>1</v>
      </c>
      <c r="IE27" s="8">
        <v>1</v>
      </c>
      <c r="IF27" s="41"/>
      <c r="IG27" s="41"/>
      <c r="IH27" s="8">
        <v>1</v>
      </c>
      <c r="II27" s="8">
        <v>1</v>
      </c>
      <c r="IJ27" s="8">
        <v>1</v>
      </c>
      <c r="IK27" s="8">
        <v>1</v>
      </c>
      <c r="IL27" s="8">
        <v>1</v>
      </c>
      <c r="IM27" s="41"/>
      <c r="IN27" s="41"/>
      <c r="IO27" s="8">
        <v>1</v>
      </c>
      <c r="IP27" s="8">
        <v>1</v>
      </c>
      <c r="IQ27" s="8">
        <v>1</v>
      </c>
      <c r="IR27" s="8">
        <v>1</v>
      </c>
      <c r="IS27" s="8">
        <v>1</v>
      </c>
      <c r="IT27" s="41"/>
      <c r="IU27" s="41"/>
      <c r="IV27" s="8">
        <v>1</v>
      </c>
      <c r="IW27" s="8">
        <v>1</v>
      </c>
      <c r="IX27" s="8">
        <v>1</v>
      </c>
      <c r="IY27" s="8">
        <v>1</v>
      </c>
      <c r="IZ27" s="38"/>
      <c r="JA27" s="41"/>
      <c r="JB27" s="41"/>
      <c r="JC27" s="8">
        <v>1</v>
      </c>
      <c r="JD27" s="8">
        <v>1</v>
      </c>
      <c r="JE27" s="8">
        <v>1</v>
      </c>
      <c r="JF27" s="8">
        <v>1</v>
      </c>
      <c r="JG27" s="8">
        <v>1</v>
      </c>
      <c r="JH27" s="41"/>
      <c r="JI27" s="41"/>
      <c r="JJ27" s="8">
        <v>1</v>
      </c>
      <c r="JK27" s="8">
        <v>1</v>
      </c>
      <c r="JL27" s="8">
        <v>1</v>
      </c>
      <c r="JM27" s="8">
        <v>1</v>
      </c>
      <c r="JN27" s="8">
        <v>1</v>
      </c>
      <c r="JO27" s="41"/>
      <c r="JP27" s="41"/>
      <c r="JQ27" s="8">
        <v>1</v>
      </c>
      <c r="JR27" s="8">
        <v>1</v>
      </c>
      <c r="JS27" s="8">
        <v>1</v>
      </c>
      <c r="JT27" s="8">
        <v>1</v>
      </c>
      <c r="JU27" s="8">
        <v>1</v>
      </c>
      <c r="JV27" s="41"/>
      <c r="JW27" s="41"/>
      <c r="JX27" s="8">
        <v>1</v>
      </c>
      <c r="JY27" s="8">
        <v>1</v>
      </c>
      <c r="JZ27" s="8">
        <v>1</v>
      </c>
      <c r="KA27" s="8">
        <v>1</v>
      </c>
      <c r="KB27" s="8">
        <v>1</v>
      </c>
      <c r="KC27" s="41"/>
      <c r="KD27" s="41"/>
      <c r="KE27" s="8">
        <v>1</v>
      </c>
      <c r="KF27" s="8">
        <v>1</v>
      </c>
      <c r="KG27" s="8">
        <v>1</v>
      </c>
      <c r="KH27" s="8">
        <v>1</v>
      </c>
      <c r="KI27" s="8">
        <v>1</v>
      </c>
      <c r="KJ27" s="41"/>
      <c r="KK27" s="41"/>
      <c r="KL27" s="8">
        <v>1</v>
      </c>
      <c r="KM27" s="8">
        <v>1</v>
      </c>
      <c r="KN27" s="8">
        <v>1</v>
      </c>
      <c r="KO27" s="8">
        <v>1</v>
      </c>
      <c r="KP27" s="8">
        <v>1</v>
      </c>
      <c r="KQ27" s="41"/>
      <c r="KR27" s="41"/>
      <c r="KS27" s="8">
        <v>1</v>
      </c>
      <c r="KT27" s="8">
        <v>1</v>
      </c>
      <c r="KU27" s="8">
        <v>1</v>
      </c>
      <c r="KV27" s="8">
        <v>1</v>
      </c>
      <c r="KW27" s="8">
        <v>1</v>
      </c>
      <c r="KX27" s="41"/>
      <c r="KY27" s="41"/>
      <c r="KZ27" s="8">
        <v>1</v>
      </c>
      <c r="LA27" s="8">
        <v>1</v>
      </c>
      <c r="LB27" s="8">
        <v>1</v>
      </c>
      <c r="LC27" s="8">
        <v>1</v>
      </c>
      <c r="LD27" s="8">
        <v>1</v>
      </c>
      <c r="LE27" s="41"/>
      <c r="LF27" s="41"/>
      <c r="LG27" s="8">
        <v>1</v>
      </c>
      <c r="LH27" s="8">
        <v>1</v>
      </c>
      <c r="LI27" s="8">
        <v>1</v>
      </c>
      <c r="LJ27" s="8">
        <v>1</v>
      </c>
      <c r="LK27" s="8">
        <v>1</v>
      </c>
      <c r="LL27" s="41"/>
      <c r="LM27" s="41"/>
      <c r="LN27" s="8">
        <v>1</v>
      </c>
      <c r="LO27" s="8">
        <v>1</v>
      </c>
      <c r="LP27" s="8">
        <v>1</v>
      </c>
      <c r="LQ27" s="8">
        <v>1</v>
      </c>
      <c r="LR27" s="8">
        <v>1</v>
      </c>
      <c r="LS27" s="41"/>
      <c r="LT27" s="41"/>
      <c r="LU27" s="8">
        <v>1</v>
      </c>
      <c r="LV27" s="8">
        <v>1</v>
      </c>
      <c r="LW27" s="8">
        <v>1</v>
      </c>
      <c r="LX27" s="8">
        <v>1</v>
      </c>
      <c r="LY27" s="8">
        <v>1</v>
      </c>
      <c r="LZ27" s="41"/>
      <c r="MA27" s="41"/>
      <c r="MB27" s="8">
        <v>1</v>
      </c>
      <c r="MC27" s="8">
        <v>1</v>
      </c>
      <c r="MD27" s="8">
        <v>1</v>
      </c>
      <c r="ME27" s="8">
        <v>1</v>
      </c>
      <c r="MF27" s="8">
        <v>1</v>
      </c>
      <c r="MG27" s="41"/>
      <c r="MH27" s="41"/>
      <c r="MI27" s="8">
        <v>1</v>
      </c>
      <c r="MJ27" s="8">
        <v>1</v>
      </c>
      <c r="MK27" s="8">
        <v>1</v>
      </c>
      <c r="ML27" s="8">
        <v>1</v>
      </c>
      <c r="MM27" s="8">
        <v>1</v>
      </c>
      <c r="MN27" s="41"/>
      <c r="MO27" s="41"/>
      <c r="MP27" s="8">
        <v>1</v>
      </c>
      <c r="MQ27" s="8">
        <v>1</v>
      </c>
      <c r="MR27" s="8">
        <v>1</v>
      </c>
      <c r="MS27" s="8">
        <v>1</v>
      </c>
      <c r="MT27" s="8">
        <v>1</v>
      </c>
      <c r="MU27" s="41"/>
      <c r="MV27" s="41"/>
      <c r="MW27" s="8">
        <v>1</v>
      </c>
      <c r="MX27" s="8">
        <v>1</v>
      </c>
      <c r="MY27" s="8">
        <v>1</v>
      </c>
      <c r="MZ27" s="8">
        <v>1</v>
      </c>
      <c r="NA27" s="8">
        <v>1</v>
      </c>
      <c r="NB27" s="41"/>
      <c r="NC27" s="41"/>
      <c r="ND27" s="8">
        <v>1</v>
      </c>
      <c r="NE27" s="8">
        <v>1</v>
      </c>
      <c r="NF27" s="8">
        <v>1</v>
      </c>
      <c r="NG27" s="8">
        <v>1</v>
      </c>
      <c r="NH27" s="8">
        <v>1</v>
      </c>
      <c r="NI27" s="41"/>
      <c r="NJ27" s="41"/>
      <c r="NK27" s="8">
        <v>1</v>
      </c>
      <c r="NL27" s="8">
        <v>1</v>
      </c>
      <c r="NM27" s="8">
        <v>1</v>
      </c>
      <c r="NN27" s="8">
        <v>1</v>
      </c>
      <c r="NO27" s="8">
        <v>1</v>
      </c>
      <c r="NP27" s="40"/>
      <c r="NQ27" s="40"/>
      <c r="NR27" s="8">
        <v>1</v>
      </c>
      <c r="NS27" s="8">
        <v>1</v>
      </c>
      <c r="NT27" s="8">
        <v>1</v>
      </c>
      <c r="NU27" s="8">
        <v>1</v>
      </c>
      <c r="NV27" s="8">
        <v>1</v>
      </c>
      <c r="NW27" s="40"/>
      <c r="NX27" s="40"/>
      <c r="NY27" s="8">
        <v>1</v>
      </c>
      <c r="NZ27" s="8">
        <v>1</v>
      </c>
      <c r="OA27" s="8">
        <v>1</v>
      </c>
      <c r="OB27" s="8"/>
      <c r="OC27" s="8">
        <v>1</v>
      </c>
      <c r="OD27" s="41"/>
      <c r="OE27" s="41"/>
      <c r="OF27" s="8">
        <v>1</v>
      </c>
      <c r="OG27" s="8">
        <v>1</v>
      </c>
      <c r="OH27" s="8">
        <v>1</v>
      </c>
      <c r="OI27" s="32"/>
      <c r="OJ27" s="33"/>
      <c r="OK27" s="33"/>
      <c r="OL27" s="33"/>
      <c r="OM27" s="33"/>
      <c r="ON27" s="33"/>
      <c r="OO27" s="33"/>
      <c r="OP27" s="33"/>
      <c r="OQ27" s="33"/>
      <c r="OR27" s="33"/>
      <c r="OS27" s="33"/>
      <c r="OT27" s="33"/>
      <c r="OU27" s="33"/>
      <c r="OV27" s="33"/>
      <c r="OW27" s="33"/>
      <c r="OX27" s="33"/>
      <c r="OY27" s="33"/>
      <c r="OZ27" s="33"/>
      <c r="PA27" s="33"/>
      <c r="PB27" s="33"/>
      <c r="PC27" s="33"/>
      <c r="PD27" s="33"/>
      <c r="PE27" s="33"/>
      <c r="PF27" s="33"/>
      <c r="PG27" s="33"/>
      <c r="PH27" s="33"/>
      <c r="PI27" s="33"/>
      <c r="PJ27" s="33"/>
      <c r="PK27" s="33"/>
      <c r="PL27" s="33"/>
      <c r="PM27" s="33"/>
      <c r="PN27" s="33"/>
      <c r="PO27" s="33"/>
      <c r="PP27" s="33"/>
      <c r="PQ27" s="33"/>
      <c r="PR27" s="33"/>
      <c r="PS27" s="33"/>
      <c r="PT27" s="33"/>
      <c r="PU27" s="42"/>
      <c r="PV27" s="42"/>
      <c r="PW27" s="42"/>
      <c r="PX27" s="42"/>
      <c r="PY27" s="42"/>
      <c r="PZ27" s="42"/>
      <c r="QA27" s="42"/>
      <c r="QB27" s="42"/>
      <c r="QC27" s="42"/>
      <c r="QD27" s="42"/>
      <c r="QE27" s="42"/>
      <c r="QF27" s="42"/>
      <c r="QG27" s="42"/>
      <c r="QH27" s="42"/>
      <c r="QI27" s="42"/>
    </row>
    <row r="28" spans="1:451" s="31" customFormat="1" ht="21" x14ac:dyDescent="0.3">
      <c r="A28" s="61" t="s">
        <v>521</v>
      </c>
      <c r="B28" s="62" t="s">
        <v>433</v>
      </c>
      <c r="C28" s="45"/>
      <c r="D28" s="8">
        <v>1</v>
      </c>
      <c r="E28" s="8">
        <v>1</v>
      </c>
      <c r="F28" s="8">
        <v>1</v>
      </c>
      <c r="G28" s="8">
        <v>1</v>
      </c>
      <c r="H28" s="8">
        <v>1</v>
      </c>
      <c r="I28" s="46"/>
      <c r="J28" s="46"/>
      <c r="K28" s="8">
        <v>1</v>
      </c>
      <c r="L28" s="8">
        <v>1</v>
      </c>
      <c r="M28" s="8">
        <v>1</v>
      </c>
      <c r="N28" s="8">
        <v>1</v>
      </c>
      <c r="O28" s="8">
        <v>1</v>
      </c>
      <c r="P28" s="46"/>
      <c r="Q28" s="46"/>
      <c r="R28" s="8">
        <v>1</v>
      </c>
      <c r="S28" s="8">
        <v>1</v>
      </c>
      <c r="T28" s="8">
        <v>1</v>
      </c>
      <c r="U28" s="8">
        <v>1</v>
      </c>
      <c r="V28" s="8">
        <v>1</v>
      </c>
      <c r="W28" s="46"/>
      <c r="X28" s="46"/>
      <c r="Y28" s="8">
        <v>1</v>
      </c>
      <c r="Z28" s="8">
        <v>1</v>
      </c>
      <c r="AA28" s="8"/>
      <c r="AB28" s="8">
        <v>1</v>
      </c>
      <c r="AC28" s="8">
        <v>1</v>
      </c>
      <c r="AD28" s="46"/>
      <c r="AE28" s="46"/>
      <c r="AF28" s="8">
        <v>1</v>
      </c>
      <c r="AG28" s="8">
        <v>1</v>
      </c>
      <c r="AH28" s="38"/>
      <c r="AI28" s="8">
        <v>1</v>
      </c>
      <c r="AJ28" s="8">
        <v>1</v>
      </c>
      <c r="AK28" s="8"/>
      <c r="AL28" s="8"/>
      <c r="AM28" s="109">
        <v>1</v>
      </c>
      <c r="AN28" s="109">
        <v>1</v>
      </c>
      <c r="AO28" s="8">
        <v>0</v>
      </c>
      <c r="AP28" s="8">
        <v>0</v>
      </c>
      <c r="AQ28" s="8">
        <v>0</v>
      </c>
      <c r="AR28" s="39"/>
      <c r="AS28" s="39"/>
      <c r="AT28" s="39">
        <v>0</v>
      </c>
      <c r="AU28" s="39">
        <v>0</v>
      </c>
      <c r="AV28" s="8">
        <v>1</v>
      </c>
      <c r="AW28" s="8">
        <v>1</v>
      </c>
      <c r="AX28" s="8">
        <v>1</v>
      </c>
      <c r="AY28" s="39"/>
      <c r="AZ28" s="39"/>
      <c r="BA28" s="39">
        <v>1</v>
      </c>
      <c r="BB28" s="39">
        <v>1</v>
      </c>
      <c r="BC28" s="39">
        <v>1</v>
      </c>
      <c r="BD28" s="39">
        <v>1</v>
      </c>
      <c r="BE28" s="39">
        <v>1</v>
      </c>
      <c r="BF28" s="39"/>
      <c r="BG28" s="39"/>
      <c r="BH28" s="39">
        <v>1</v>
      </c>
      <c r="BI28" s="39">
        <v>1</v>
      </c>
      <c r="BJ28" s="39">
        <v>1</v>
      </c>
      <c r="BK28" s="39">
        <v>1</v>
      </c>
      <c r="BL28" s="39">
        <v>1</v>
      </c>
      <c r="BM28" s="40"/>
      <c r="BN28" s="40"/>
      <c r="BO28" s="8">
        <v>1</v>
      </c>
      <c r="BP28" s="8">
        <v>1</v>
      </c>
      <c r="BQ28" s="8">
        <v>1</v>
      </c>
      <c r="BR28" s="8">
        <v>1</v>
      </c>
      <c r="BS28" s="8">
        <v>1</v>
      </c>
      <c r="BT28" s="40"/>
      <c r="BU28" s="40"/>
      <c r="BV28" s="8">
        <v>1</v>
      </c>
      <c r="BW28" s="8">
        <v>1</v>
      </c>
      <c r="BX28" s="8">
        <v>1</v>
      </c>
      <c r="BY28" s="8">
        <v>1</v>
      </c>
      <c r="BZ28" s="8">
        <v>1</v>
      </c>
      <c r="CA28" s="40"/>
      <c r="CB28" s="40"/>
      <c r="CC28" s="8">
        <v>1</v>
      </c>
      <c r="CD28" s="8">
        <v>1</v>
      </c>
      <c r="CE28" s="8">
        <v>1</v>
      </c>
      <c r="CF28" s="8">
        <v>1</v>
      </c>
      <c r="CG28" s="8">
        <v>1</v>
      </c>
      <c r="CH28" s="40"/>
      <c r="CI28" s="40"/>
      <c r="CJ28" s="8">
        <v>1</v>
      </c>
      <c r="CK28" s="8">
        <v>1</v>
      </c>
      <c r="CL28" s="8">
        <v>1</v>
      </c>
      <c r="CM28" s="8">
        <v>1</v>
      </c>
      <c r="CN28" s="8">
        <v>1</v>
      </c>
      <c r="CO28" s="40"/>
      <c r="CP28" s="40"/>
      <c r="CQ28" s="8">
        <v>1</v>
      </c>
      <c r="CR28" s="8">
        <v>1</v>
      </c>
      <c r="CS28" s="8">
        <v>1</v>
      </c>
      <c r="CT28" s="8">
        <v>1</v>
      </c>
      <c r="CU28" s="8">
        <v>1</v>
      </c>
      <c r="CV28" s="40"/>
      <c r="CW28" s="40"/>
      <c r="CX28" s="8">
        <v>1</v>
      </c>
      <c r="CY28" s="8">
        <v>1</v>
      </c>
      <c r="CZ28" s="8">
        <v>1</v>
      </c>
      <c r="DA28" s="8">
        <v>1</v>
      </c>
      <c r="DB28" s="8">
        <v>1</v>
      </c>
      <c r="DC28" s="40"/>
      <c r="DD28" s="40"/>
      <c r="DE28" s="8">
        <v>1</v>
      </c>
      <c r="DF28" s="8">
        <v>1</v>
      </c>
      <c r="DG28" s="8">
        <v>1</v>
      </c>
      <c r="DH28" s="8">
        <v>1</v>
      </c>
      <c r="DI28" s="8">
        <v>1</v>
      </c>
      <c r="DJ28" s="40"/>
      <c r="DK28" s="40"/>
      <c r="DL28" s="8">
        <v>1</v>
      </c>
      <c r="DM28" s="8">
        <v>1</v>
      </c>
      <c r="DN28" s="8">
        <v>1</v>
      </c>
      <c r="DO28" s="8">
        <v>1</v>
      </c>
      <c r="DP28" s="8">
        <v>1</v>
      </c>
      <c r="DQ28" s="41"/>
      <c r="DR28" s="41"/>
      <c r="DS28" s="8">
        <v>1</v>
      </c>
      <c r="DT28" s="8">
        <v>1</v>
      </c>
      <c r="DU28" s="8">
        <v>1</v>
      </c>
      <c r="DV28" s="8">
        <v>1</v>
      </c>
      <c r="DW28" s="8">
        <v>1</v>
      </c>
      <c r="DX28" s="41"/>
      <c r="DY28" s="41"/>
      <c r="DZ28" s="8">
        <v>1</v>
      </c>
      <c r="EA28" s="8">
        <v>1</v>
      </c>
      <c r="EB28" s="8">
        <v>1</v>
      </c>
      <c r="EC28" s="8">
        <v>1</v>
      </c>
      <c r="ED28" s="8">
        <v>1</v>
      </c>
      <c r="EE28" s="41"/>
      <c r="EF28" s="41"/>
      <c r="EG28" s="8">
        <v>1</v>
      </c>
      <c r="EH28" s="8">
        <v>1</v>
      </c>
      <c r="EI28" s="8">
        <v>1</v>
      </c>
      <c r="EJ28" s="8">
        <v>1</v>
      </c>
      <c r="EK28" s="8">
        <v>1</v>
      </c>
      <c r="EL28" s="41"/>
      <c r="EM28" s="41"/>
      <c r="EN28" s="38"/>
      <c r="EO28" s="8">
        <v>1</v>
      </c>
      <c r="EP28" s="8">
        <v>1</v>
      </c>
      <c r="EQ28" s="8">
        <v>1</v>
      </c>
      <c r="ER28" s="8">
        <v>1</v>
      </c>
      <c r="ES28" s="41"/>
      <c r="ET28" s="41"/>
      <c r="EU28" s="8">
        <v>1</v>
      </c>
      <c r="EV28" s="8">
        <v>1</v>
      </c>
      <c r="EW28" s="8">
        <v>1</v>
      </c>
      <c r="EX28" s="38"/>
      <c r="EY28" s="8">
        <v>1</v>
      </c>
      <c r="EZ28" s="41"/>
      <c r="FA28" s="41"/>
      <c r="FB28" s="8">
        <v>1</v>
      </c>
      <c r="FC28" s="8">
        <v>1</v>
      </c>
      <c r="FD28" s="8">
        <v>1</v>
      </c>
      <c r="FE28" s="38"/>
      <c r="FF28" s="8">
        <v>1</v>
      </c>
      <c r="FG28" s="41"/>
      <c r="FH28" s="41"/>
      <c r="FI28" s="8">
        <v>1</v>
      </c>
      <c r="FJ28" s="8">
        <v>1</v>
      </c>
      <c r="FK28" s="8">
        <v>1</v>
      </c>
      <c r="FL28" s="8">
        <v>1</v>
      </c>
      <c r="FM28" s="8">
        <v>1</v>
      </c>
      <c r="FN28" s="41"/>
      <c r="FO28" s="41"/>
      <c r="FP28" s="8">
        <v>1</v>
      </c>
      <c r="FQ28" s="8">
        <v>1</v>
      </c>
      <c r="FR28" s="8">
        <v>1</v>
      </c>
      <c r="FS28" s="8">
        <v>1</v>
      </c>
      <c r="FT28" s="8">
        <v>1</v>
      </c>
      <c r="FU28" s="41"/>
      <c r="FV28" s="41"/>
      <c r="FW28" s="8">
        <v>1</v>
      </c>
      <c r="FX28" s="8">
        <v>1</v>
      </c>
      <c r="FY28" s="8">
        <v>1</v>
      </c>
      <c r="FZ28" s="38"/>
      <c r="GA28" s="8">
        <v>1</v>
      </c>
      <c r="GB28" s="41"/>
      <c r="GC28" s="41"/>
      <c r="GD28" s="8">
        <v>1</v>
      </c>
      <c r="GE28" s="8">
        <v>1</v>
      </c>
      <c r="GF28" s="8">
        <v>1</v>
      </c>
      <c r="GG28" s="8">
        <v>1</v>
      </c>
      <c r="GH28" s="8">
        <v>1</v>
      </c>
      <c r="GI28" s="41"/>
      <c r="GJ28" s="41"/>
      <c r="GK28" s="38"/>
      <c r="GL28" s="8">
        <v>1</v>
      </c>
      <c r="GM28" s="8">
        <v>1</v>
      </c>
      <c r="GN28" s="8">
        <v>1</v>
      </c>
      <c r="GO28" s="8">
        <v>1</v>
      </c>
      <c r="GP28" s="41"/>
      <c r="GQ28" s="41"/>
      <c r="GR28" s="8">
        <v>1</v>
      </c>
      <c r="GS28" s="8">
        <v>1</v>
      </c>
      <c r="GT28" s="8">
        <v>1</v>
      </c>
      <c r="GU28" s="8">
        <v>1</v>
      </c>
      <c r="GV28" s="8">
        <v>1</v>
      </c>
      <c r="GW28" s="41"/>
      <c r="GX28" s="41"/>
      <c r="GY28" s="8">
        <v>1</v>
      </c>
      <c r="GZ28" s="8">
        <v>1</v>
      </c>
      <c r="HA28" s="8">
        <v>1</v>
      </c>
      <c r="HB28" s="8">
        <v>1</v>
      </c>
      <c r="HC28" s="8">
        <v>1</v>
      </c>
      <c r="HD28" s="41"/>
      <c r="HE28" s="41"/>
      <c r="HF28" s="8">
        <v>1</v>
      </c>
      <c r="HG28" s="8">
        <v>1</v>
      </c>
      <c r="HH28" s="8">
        <v>1</v>
      </c>
      <c r="HI28" s="8">
        <v>1</v>
      </c>
      <c r="HJ28" s="8">
        <v>1</v>
      </c>
      <c r="HK28" s="41"/>
      <c r="HL28" s="41"/>
      <c r="HM28" s="8">
        <v>1</v>
      </c>
      <c r="HN28" s="8">
        <v>1</v>
      </c>
      <c r="HO28" s="8">
        <v>1</v>
      </c>
      <c r="HP28" s="8">
        <v>1</v>
      </c>
      <c r="HQ28" s="8">
        <v>1</v>
      </c>
      <c r="HR28" s="41"/>
      <c r="HS28" s="41"/>
      <c r="HT28" s="38"/>
      <c r="HU28" s="8">
        <v>1</v>
      </c>
      <c r="HV28" s="8">
        <v>1</v>
      </c>
      <c r="HW28" s="8">
        <v>1</v>
      </c>
      <c r="HX28" s="8">
        <v>1</v>
      </c>
      <c r="HY28" s="41"/>
      <c r="HZ28" s="41"/>
      <c r="IA28" s="8">
        <v>1</v>
      </c>
      <c r="IB28" s="8">
        <v>1</v>
      </c>
      <c r="IC28" s="8">
        <v>1</v>
      </c>
      <c r="ID28" s="8">
        <v>1</v>
      </c>
      <c r="IE28" s="8">
        <v>1</v>
      </c>
      <c r="IF28" s="41"/>
      <c r="IG28" s="41"/>
      <c r="IH28" s="8">
        <v>1</v>
      </c>
      <c r="II28" s="8">
        <v>1</v>
      </c>
      <c r="IJ28" s="8">
        <v>1</v>
      </c>
      <c r="IK28" s="8">
        <v>1</v>
      </c>
      <c r="IL28" s="8">
        <v>1</v>
      </c>
      <c r="IM28" s="41"/>
      <c r="IN28" s="41"/>
      <c r="IO28" s="8">
        <v>1</v>
      </c>
      <c r="IP28" s="8">
        <v>1</v>
      </c>
      <c r="IQ28" s="8">
        <v>1</v>
      </c>
      <c r="IR28" s="8">
        <v>1</v>
      </c>
      <c r="IS28" s="8">
        <v>1</v>
      </c>
      <c r="IT28" s="41"/>
      <c r="IU28" s="41"/>
      <c r="IV28" s="8">
        <v>1</v>
      </c>
      <c r="IW28" s="8">
        <v>1</v>
      </c>
      <c r="IX28" s="8">
        <v>1</v>
      </c>
      <c r="IY28" s="8">
        <v>1</v>
      </c>
      <c r="IZ28" s="38"/>
      <c r="JA28" s="41"/>
      <c r="JB28" s="41"/>
      <c r="JC28" s="8">
        <v>1</v>
      </c>
      <c r="JD28" s="8">
        <v>1</v>
      </c>
      <c r="JE28" s="8">
        <v>1</v>
      </c>
      <c r="JF28" s="8">
        <v>1</v>
      </c>
      <c r="JG28" s="8">
        <v>1</v>
      </c>
      <c r="JH28" s="41"/>
      <c r="JI28" s="41"/>
      <c r="JJ28" s="8">
        <v>1</v>
      </c>
      <c r="JK28" s="8">
        <v>1</v>
      </c>
      <c r="JL28" s="8">
        <v>1</v>
      </c>
      <c r="JM28" s="8">
        <v>1</v>
      </c>
      <c r="JN28" s="8">
        <v>1</v>
      </c>
      <c r="JO28" s="41"/>
      <c r="JP28" s="41"/>
      <c r="JQ28" s="8">
        <v>1</v>
      </c>
      <c r="JR28" s="8">
        <v>1</v>
      </c>
      <c r="JS28" s="8">
        <v>1</v>
      </c>
      <c r="JT28" s="8">
        <v>1</v>
      </c>
      <c r="JU28" s="8">
        <v>1</v>
      </c>
      <c r="JV28" s="41"/>
      <c r="JW28" s="41"/>
      <c r="JX28" s="8">
        <v>1</v>
      </c>
      <c r="JY28" s="8">
        <v>1</v>
      </c>
      <c r="JZ28" s="8">
        <v>1</v>
      </c>
      <c r="KA28" s="8">
        <v>1</v>
      </c>
      <c r="KB28" s="8">
        <v>1</v>
      </c>
      <c r="KC28" s="41"/>
      <c r="KD28" s="41"/>
      <c r="KE28" s="8">
        <v>1</v>
      </c>
      <c r="KF28" s="8">
        <v>1</v>
      </c>
      <c r="KG28" s="8">
        <v>1</v>
      </c>
      <c r="KH28" s="8">
        <v>1</v>
      </c>
      <c r="KI28" s="8">
        <v>1</v>
      </c>
      <c r="KJ28" s="41"/>
      <c r="KK28" s="41"/>
      <c r="KL28" s="8">
        <v>1</v>
      </c>
      <c r="KM28" s="8">
        <v>1</v>
      </c>
      <c r="KN28" s="8">
        <v>1</v>
      </c>
      <c r="KO28" s="8">
        <v>1</v>
      </c>
      <c r="KP28" s="8">
        <v>1</v>
      </c>
      <c r="KQ28" s="41"/>
      <c r="KR28" s="41"/>
      <c r="KS28" s="8">
        <v>1</v>
      </c>
      <c r="KT28" s="8">
        <v>1</v>
      </c>
      <c r="KU28" s="8">
        <v>1</v>
      </c>
      <c r="KV28" s="8">
        <v>1</v>
      </c>
      <c r="KW28" s="8">
        <v>1</v>
      </c>
      <c r="KX28" s="41"/>
      <c r="KY28" s="41"/>
      <c r="KZ28" s="8">
        <v>1</v>
      </c>
      <c r="LA28" s="8">
        <v>1</v>
      </c>
      <c r="LB28" s="8">
        <v>1</v>
      </c>
      <c r="LC28" s="8">
        <v>1</v>
      </c>
      <c r="LD28" s="8">
        <v>1</v>
      </c>
      <c r="LE28" s="41"/>
      <c r="LF28" s="41"/>
      <c r="LG28" s="8">
        <v>1</v>
      </c>
      <c r="LH28" s="8">
        <v>1</v>
      </c>
      <c r="LI28" s="8">
        <v>1</v>
      </c>
      <c r="LJ28" s="8">
        <v>1</v>
      </c>
      <c r="LK28" s="8">
        <v>1</v>
      </c>
      <c r="LL28" s="41"/>
      <c r="LM28" s="41"/>
      <c r="LN28" s="8">
        <v>1</v>
      </c>
      <c r="LO28" s="8">
        <v>1</v>
      </c>
      <c r="LP28" s="8">
        <v>1</v>
      </c>
      <c r="LQ28" s="8">
        <v>1</v>
      </c>
      <c r="LR28" s="8">
        <v>1</v>
      </c>
      <c r="LS28" s="41"/>
      <c r="LT28" s="41"/>
      <c r="LU28" s="8">
        <v>1</v>
      </c>
      <c r="LV28" s="8">
        <v>1</v>
      </c>
      <c r="LW28" s="8">
        <v>1</v>
      </c>
      <c r="LX28" s="8">
        <v>1</v>
      </c>
      <c r="LY28" s="8">
        <v>1</v>
      </c>
      <c r="LZ28" s="41"/>
      <c r="MA28" s="41"/>
      <c r="MB28" s="8">
        <v>1</v>
      </c>
      <c r="MC28" s="8">
        <v>1</v>
      </c>
      <c r="MD28" s="8">
        <v>1</v>
      </c>
      <c r="ME28" s="8">
        <v>1</v>
      </c>
      <c r="MF28" s="8">
        <v>1</v>
      </c>
      <c r="MG28" s="41"/>
      <c r="MH28" s="41"/>
      <c r="MI28" s="8">
        <v>1</v>
      </c>
      <c r="MJ28" s="8">
        <v>1</v>
      </c>
      <c r="MK28" s="8">
        <v>1</v>
      </c>
      <c r="ML28" s="8">
        <v>1</v>
      </c>
      <c r="MM28" s="8">
        <v>1</v>
      </c>
      <c r="MN28" s="41"/>
      <c r="MO28" s="41"/>
      <c r="MP28" s="8">
        <v>1</v>
      </c>
      <c r="MQ28" s="8">
        <v>1</v>
      </c>
      <c r="MR28" s="8">
        <v>1</v>
      </c>
      <c r="MS28" s="8">
        <v>1</v>
      </c>
      <c r="MT28" s="8">
        <v>1</v>
      </c>
      <c r="MU28" s="41"/>
      <c r="MV28" s="41"/>
      <c r="MW28" s="8">
        <v>1</v>
      </c>
      <c r="MX28" s="8">
        <v>1</v>
      </c>
      <c r="MY28" s="8">
        <v>1</v>
      </c>
      <c r="MZ28" s="8">
        <v>1</v>
      </c>
      <c r="NA28" s="8">
        <v>1</v>
      </c>
      <c r="NB28" s="41"/>
      <c r="NC28" s="41"/>
      <c r="ND28" s="8">
        <v>1</v>
      </c>
      <c r="NE28" s="8">
        <v>1</v>
      </c>
      <c r="NF28" s="8">
        <v>1</v>
      </c>
      <c r="NG28" s="8">
        <v>1</v>
      </c>
      <c r="NH28" s="8">
        <v>1</v>
      </c>
      <c r="NI28" s="41"/>
      <c r="NJ28" s="41"/>
      <c r="NK28" s="8">
        <v>1</v>
      </c>
      <c r="NL28" s="8">
        <v>1</v>
      </c>
      <c r="NM28" s="8">
        <v>1</v>
      </c>
      <c r="NN28" s="8">
        <v>1</v>
      </c>
      <c r="NO28" s="8">
        <v>1</v>
      </c>
      <c r="NP28" s="40"/>
      <c r="NQ28" s="40"/>
      <c r="NR28" s="8">
        <v>1</v>
      </c>
      <c r="NS28" s="8">
        <v>1</v>
      </c>
      <c r="NT28" s="8">
        <v>1</v>
      </c>
      <c r="NU28" s="8">
        <v>1</v>
      </c>
      <c r="NV28" s="8">
        <v>1</v>
      </c>
      <c r="NW28" s="40"/>
      <c r="NX28" s="40"/>
      <c r="NY28" s="8">
        <v>1</v>
      </c>
      <c r="NZ28" s="8">
        <v>1</v>
      </c>
      <c r="OA28" s="8">
        <v>1</v>
      </c>
      <c r="OB28" s="8"/>
      <c r="OC28" s="8">
        <v>1</v>
      </c>
      <c r="OD28" s="41"/>
      <c r="OE28" s="41"/>
      <c r="OF28" s="8">
        <v>1</v>
      </c>
      <c r="OG28" s="8">
        <v>1</v>
      </c>
      <c r="OH28" s="8">
        <v>1</v>
      </c>
      <c r="OI28" s="32"/>
      <c r="OJ28" s="33"/>
      <c r="OK28" s="33"/>
      <c r="OL28" s="33"/>
      <c r="OM28" s="33"/>
      <c r="ON28" s="33"/>
      <c r="OO28" s="33"/>
      <c r="OP28" s="33"/>
      <c r="OQ28" s="33"/>
      <c r="OR28" s="33"/>
      <c r="OS28" s="33"/>
      <c r="OT28" s="33"/>
      <c r="OU28" s="33"/>
      <c r="OV28" s="33"/>
      <c r="OW28" s="33"/>
      <c r="OX28" s="33"/>
      <c r="OY28" s="33"/>
      <c r="OZ28" s="33"/>
      <c r="PA28" s="33"/>
      <c r="PB28" s="33"/>
      <c r="PC28" s="33"/>
      <c r="PD28" s="33"/>
      <c r="PE28" s="33"/>
      <c r="PF28" s="33"/>
      <c r="PG28" s="33"/>
      <c r="PH28" s="33"/>
      <c r="PI28" s="33"/>
      <c r="PJ28" s="33"/>
      <c r="PK28" s="33"/>
      <c r="PL28" s="33"/>
      <c r="PM28" s="33"/>
      <c r="PN28" s="33"/>
      <c r="PO28" s="33"/>
      <c r="PP28" s="33"/>
      <c r="PQ28" s="33"/>
      <c r="PR28" s="33"/>
      <c r="PS28" s="33"/>
      <c r="PT28" s="33"/>
      <c r="PU28" s="33"/>
      <c r="PV28" s="33"/>
      <c r="PW28" s="33"/>
      <c r="PX28" s="33"/>
      <c r="PY28" s="33"/>
      <c r="PZ28" s="33"/>
      <c r="QA28" s="33"/>
      <c r="QB28" s="33"/>
      <c r="QC28" s="33"/>
      <c r="QD28" s="33"/>
      <c r="QE28" s="33"/>
      <c r="QF28" s="33"/>
      <c r="QG28" s="33"/>
      <c r="QH28" s="33"/>
      <c r="QI28" s="33"/>
    </row>
    <row r="29" spans="1:451" s="31" customFormat="1" ht="21" x14ac:dyDescent="0.3">
      <c r="A29" s="61" t="s">
        <v>522</v>
      </c>
      <c r="B29" s="62" t="s">
        <v>433</v>
      </c>
      <c r="C29" s="45"/>
      <c r="D29" s="8">
        <v>1</v>
      </c>
      <c r="E29" s="8">
        <v>1</v>
      </c>
      <c r="F29" s="8">
        <v>1</v>
      </c>
      <c r="G29" s="8">
        <v>1</v>
      </c>
      <c r="H29" s="8">
        <v>1</v>
      </c>
      <c r="I29" s="46"/>
      <c r="J29" s="46"/>
      <c r="K29" s="8">
        <v>1</v>
      </c>
      <c r="L29" s="8">
        <v>1</v>
      </c>
      <c r="M29" s="8">
        <v>1</v>
      </c>
      <c r="N29" s="8">
        <v>1</v>
      </c>
      <c r="O29" s="8">
        <v>1</v>
      </c>
      <c r="P29" s="46"/>
      <c r="Q29" s="46"/>
      <c r="R29" s="8">
        <v>1</v>
      </c>
      <c r="S29" s="8">
        <v>0</v>
      </c>
      <c r="T29" s="8">
        <v>0</v>
      </c>
      <c r="U29" s="8">
        <v>0</v>
      </c>
      <c r="V29" s="8">
        <v>0</v>
      </c>
      <c r="W29" s="46"/>
      <c r="X29" s="46"/>
      <c r="Y29" s="8">
        <v>0</v>
      </c>
      <c r="Z29" s="8">
        <v>0</v>
      </c>
      <c r="AA29" s="8"/>
      <c r="AB29" s="8">
        <v>0</v>
      </c>
      <c r="AC29" s="8">
        <v>0</v>
      </c>
      <c r="AD29" s="46"/>
      <c r="AE29" s="46"/>
      <c r="AF29" s="8">
        <v>0</v>
      </c>
      <c r="AG29" s="8">
        <v>0</v>
      </c>
      <c r="AH29" s="38"/>
      <c r="AI29" s="8">
        <v>1</v>
      </c>
      <c r="AJ29" s="8">
        <v>1</v>
      </c>
      <c r="AK29" s="8"/>
      <c r="AL29" s="8"/>
      <c r="AM29" s="109">
        <v>1</v>
      </c>
      <c r="AN29" s="109">
        <v>1</v>
      </c>
      <c r="AO29" s="8">
        <v>1</v>
      </c>
      <c r="AP29" s="8">
        <v>1</v>
      </c>
      <c r="AQ29" s="8">
        <v>1</v>
      </c>
      <c r="AR29" s="39"/>
      <c r="AS29" s="39"/>
      <c r="AT29" s="8">
        <v>1</v>
      </c>
      <c r="AU29" s="8">
        <v>1</v>
      </c>
      <c r="AV29" s="8">
        <v>1</v>
      </c>
      <c r="AW29" s="8">
        <v>1</v>
      </c>
      <c r="AX29" s="8">
        <v>1</v>
      </c>
      <c r="AY29" s="39"/>
      <c r="AZ29" s="39"/>
      <c r="BA29" s="39">
        <v>1</v>
      </c>
      <c r="BB29" s="39">
        <v>1</v>
      </c>
      <c r="BC29" s="39">
        <v>1</v>
      </c>
      <c r="BD29" s="39">
        <v>1</v>
      </c>
      <c r="BE29" s="39">
        <v>1</v>
      </c>
      <c r="BF29" s="39"/>
      <c r="BG29" s="39"/>
      <c r="BH29" s="39">
        <v>1</v>
      </c>
      <c r="BI29" s="39">
        <v>1</v>
      </c>
      <c r="BJ29" s="39">
        <v>1</v>
      </c>
      <c r="BK29" s="39">
        <v>1</v>
      </c>
      <c r="BL29" s="39">
        <v>1</v>
      </c>
      <c r="BM29" s="40"/>
      <c r="BN29" s="40"/>
      <c r="BO29" s="8">
        <v>1</v>
      </c>
      <c r="BP29" s="8">
        <v>1</v>
      </c>
      <c r="BQ29" s="8">
        <v>1</v>
      </c>
      <c r="BR29" s="8">
        <v>1</v>
      </c>
      <c r="BS29" s="8">
        <v>1</v>
      </c>
      <c r="BT29" s="40"/>
      <c r="BU29" s="40"/>
      <c r="BV29" s="8">
        <v>1</v>
      </c>
      <c r="BW29" s="8">
        <v>1</v>
      </c>
      <c r="BX29" s="8">
        <v>1</v>
      </c>
      <c r="BY29" s="8">
        <v>1</v>
      </c>
      <c r="BZ29" s="8">
        <v>1</v>
      </c>
      <c r="CA29" s="40"/>
      <c r="CB29" s="40"/>
      <c r="CC29" s="8">
        <v>1</v>
      </c>
      <c r="CD29" s="8">
        <v>1</v>
      </c>
      <c r="CE29" s="8">
        <v>1</v>
      </c>
      <c r="CF29" s="8">
        <v>1</v>
      </c>
      <c r="CG29" s="8">
        <v>1</v>
      </c>
      <c r="CH29" s="40"/>
      <c r="CI29" s="40"/>
      <c r="CJ29" s="8">
        <v>1</v>
      </c>
      <c r="CK29" s="8">
        <v>1</v>
      </c>
      <c r="CL29" s="8">
        <v>1</v>
      </c>
      <c r="CM29" s="8">
        <v>1</v>
      </c>
      <c r="CN29" s="8">
        <v>1</v>
      </c>
      <c r="CO29" s="40"/>
      <c r="CP29" s="40"/>
      <c r="CQ29" s="8">
        <v>1</v>
      </c>
      <c r="CR29" s="8">
        <v>1</v>
      </c>
      <c r="CS29" s="8">
        <v>1</v>
      </c>
      <c r="CT29" s="8">
        <v>1</v>
      </c>
      <c r="CU29" s="8">
        <v>1</v>
      </c>
      <c r="CV29" s="40"/>
      <c r="CW29" s="40"/>
      <c r="CX29" s="8">
        <v>1</v>
      </c>
      <c r="CY29" s="8">
        <v>1</v>
      </c>
      <c r="CZ29" s="8">
        <v>1</v>
      </c>
      <c r="DA29" s="8">
        <v>1</v>
      </c>
      <c r="DB29" s="8">
        <v>1</v>
      </c>
      <c r="DC29" s="40"/>
      <c r="DD29" s="40"/>
      <c r="DE29" s="8">
        <v>1</v>
      </c>
      <c r="DF29" s="8">
        <v>1</v>
      </c>
      <c r="DG29" s="8">
        <v>1</v>
      </c>
      <c r="DH29" s="8">
        <v>1</v>
      </c>
      <c r="DI29" s="8">
        <v>1</v>
      </c>
      <c r="DJ29" s="40"/>
      <c r="DK29" s="40"/>
      <c r="DL29" s="8">
        <v>1</v>
      </c>
      <c r="DM29" s="8">
        <v>1</v>
      </c>
      <c r="DN29" s="8">
        <v>1</v>
      </c>
      <c r="DO29" s="8">
        <v>1</v>
      </c>
      <c r="DP29" s="8">
        <v>1</v>
      </c>
      <c r="DQ29" s="41"/>
      <c r="DR29" s="41"/>
      <c r="DS29" s="8">
        <v>1</v>
      </c>
      <c r="DT29" s="8">
        <v>1</v>
      </c>
      <c r="DU29" s="8">
        <v>1</v>
      </c>
      <c r="DV29" s="8">
        <v>1</v>
      </c>
      <c r="DW29" s="8">
        <v>1</v>
      </c>
      <c r="DX29" s="41"/>
      <c r="DY29" s="41"/>
      <c r="DZ29" s="8">
        <v>1</v>
      </c>
      <c r="EA29" s="8">
        <v>1</v>
      </c>
      <c r="EB29" s="8">
        <v>1</v>
      </c>
      <c r="EC29" s="8">
        <v>1</v>
      </c>
      <c r="ED29" s="8">
        <v>1</v>
      </c>
      <c r="EE29" s="41"/>
      <c r="EF29" s="41"/>
      <c r="EG29" s="8">
        <v>1</v>
      </c>
      <c r="EH29" s="8">
        <v>1</v>
      </c>
      <c r="EI29" s="8">
        <v>1</v>
      </c>
      <c r="EJ29" s="8">
        <v>1</v>
      </c>
      <c r="EK29" s="8">
        <v>1</v>
      </c>
      <c r="EL29" s="41"/>
      <c r="EM29" s="41"/>
      <c r="EN29" s="38"/>
      <c r="EO29" s="8">
        <v>1</v>
      </c>
      <c r="EP29" s="8">
        <v>1</v>
      </c>
      <c r="EQ29" s="8">
        <v>1</v>
      </c>
      <c r="ER29" s="8">
        <v>1</v>
      </c>
      <c r="ES29" s="41"/>
      <c r="ET29" s="41"/>
      <c r="EU29" s="8">
        <v>1</v>
      </c>
      <c r="EV29" s="8">
        <v>1</v>
      </c>
      <c r="EW29" s="8">
        <v>1</v>
      </c>
      <c r="EX29" s="38"/>
      <c r="EY29" s="8">
        <v>1</v>
      </c>
      <c r="EZ29" s="41"/>
      <c r="FA29" s="41"/>
      <c r="FB29" s="8">
        <v>1</v>
      </c>
      <c r="FC29" s="8">
        <v>1</v>
      </c>
      <c r="FD29" s="8">
        <v>1</v>
      </c>
      <c r="FE29" s="38"/>
      <c r="FF29" s="8">
        <v>1</v>
      </c>
      <c r="FG29" s="41"/>
      <c r="FH29" s="41"/>
      <c r="FI29" s="8">
        <v>1</v>
      </c>
      <c r="FJ29" s="8">
        <v>1</v>
      </c>
      <c r="FK29" s="8">
        <v>1</v>
      </c>
      <c r="FL29" s="8">
        <v>1</v>
      </c>
      <c r="FM29" s="8">
        <v>1</v>
      </c>
      <c r="FN29" s="41"/>
      <c r="FO29" s="41"/>
      <c r="FP29" s="8">
        <v>1</v>
      </c>
      <c r="FQ29" s="8">
        <v>1</v>
      </c>
      <c r="FR29" s="8">
        <v>1</v>
      </c>
      <c r="FS29" s="8">
        <v>1</v>
      </c>
      <c r="FT29" s="8">
        <v>1</v>
      </c>
      <c r="FU29" s="41"/>
      <c r="FV29" s="41"/>
      <c r="FW29" s="8">
        <v>1</v>
      </c>
      <c r="FX29" s="8">
        <v>1</v>
      </c>
      <c r="FY29" s="8">
        <v>1</v>
      </c>
      <c r="FZ29" s="38"/>
      <c r="GA29" s="8">
        <v>1</v>
      </c>
      <c r="GB29" s="41"/>
      <c r="GC29" s="41"/>
      <c r="GD29" s="8">
        <v>1</v>
      </c>
      <c r="GE29" s="8">
        <v>1</v>
      </c>
      <c r="GF29" s="8">
        <v>1</v>
      </c>
      <c r="GG29" s="8">
        <v>1</v>
      </c>
      <c r="GH29" s="8">
        <v>1</v>
      </c>
      <c r="GI29" s="41"/>
      <c r="GJ29" s="41"/>
      <c r="GK29" s="38"/>
      <c r="GL29" s="8">
        <v>1</v>
      </c>
      <c r="GM29" s="8">
        <v>1</v>
      </c>
      <c r="GN29" s="8">
        <v>1</v>
      </c>
      <c r="GO29" s="8">
        <v>1</v>
      </c>
      <c r="GP29" s="41"/>
      <c r="GQ29" s="41"/>
      <c r="GR29" s="8">
        <v>1</v>
      </c>
      <c r="GS29" s="8">
        <v>1</v>
      </c>
      <c r="GT29" s="8">
        <v>1</v>
      </c>
      <c r="GU29" s="8">
        <v>1</v>
      </c>
      <c r="GV29" s="8">
        <v>1</v>
      </c>
      <c r="GW29" s="41"/>
      <c r="GX29" s="41"/>
      <c r="GY29" s="8">
        <v>1</v>
      </c>
      <c r="GZ29" s="8">
        <v>1</v>
      </c>
      <c r="HA29" s="8">
        <v>1</v>
      </c>
      <c r="HB29" s="8">
        <v>1</v>
      </c>
      <c r="HC29" s="8">
        <v>1</v>
      </c>
      <c r="HD29" s="41"/>
      <c r="HE29" s="41"/>
      <c r="HF29" s="8">
        <v>1</v>
      </c>
      <c r="HG29" s="8">
        <v>1</v>
      </c>
      <c r="HH29" s="8">
        <v>1</v>
      </c>
      <c r="HI29" s="8">
        <v>1</v>
      </c>
      <c r="HJ29" s="8">
        <v>1</v>
      </c>
      <c r="HK29" s="41"/>
      <c r="HL29" s="41"/>
      <c r="HM29" s="8">
        <v>1</v>
      </c>
      <c r="HN29" s="8">
        <v>1</v>
      </c>
      <c r="HO29" s="8">
        <v>1</v>
      </c>
      <c r="HP29" s="8">
        <v>1</v>
      </c>
      <c r="HQ29" s="8">
        <v>1</v>
      </c>
      <c r="HR29" s="41"/>
      <c r="HS29" s="41"/>
      <c r="HT29" s="38"/>
      <c r="HU29" s="8">
        <v>1</v>
      </c>
      <c r="HV29" s="8">
        <v>1</v>
      </c>
      <c r="HW29" s="8">
        <v>1</v>
      </c>
      <c r="HX29" s="8">
        <v>1</v>
      </c>
      <c r="HY29" s="41"/>
      <c r="HZ29" s="41"/>
      <c r="IA29" s="8">
        <v>1</v>
      </c>
      <c r="IB29" s="8">
        <v>1</v>
      </c>
      <c r="IC29" s="8">
        <v>1</v>
      </c>
      <c r="ID29" s="8">
        <v>1</v>
      </c>
      <c r="IE29" s="8">
        <v>1</v>
      </c>
      <c r="IF29" s="41"/>
      <c r="IG29" s="41"/>
      <c r="IH29" s="8">
        <v>1</v>
      </c>
      <c r="II29" s="8">
        <v>1</v>
      </c>
      <c r="IJ29" s="8">
        <v>1</v>
      </c>
      <c r="IK29" s="8">
        <v>1</v>
      </c>
      <c r="IL29" s="8">
        <v>1</v>
      </c>
      <c r="IM29" s="41"/>
      <c r="IN29" s="41"/>
      <c r="IO29" s="8">
        <v>1</v>
      </c>
      <c r="IP29" s="8">
        <v>1</v>
      </c>
      <c r="IQ29" s="8">
        <v>1</v>
      </c>
      <c r="IR29" s="8">
        <v>1</v>
      </c>
      <c r="IS29" s="8">
        <v>1</v>
      </c>
      <c r="IT29" s="41"/>
      <c r="IU29" s="41"/>
      <c r="IV29" s="8">
        <v>1</v>
      </c>
      <c r="IW29" s="8">
        <v>1</v>
      </c>
      <c r="IX29" s="8">
        <v>1</v>
      </c>
      <c r="IY29" s="8">
        <v>1</v>
      </c>
      <c r="IZ29" s="38"/>
      <c r="JA29" s="41"/>
      <c r="JB29" s="41"/>
      <c r="JC29" s="8">
        <v>1</v>
      </c>
      <c r="JD29" s="8">
        <v>1</v>
      </c>
      <c r="JE29" s="8">
        <v>1</v>
      </c>
      <c r="JF29" s="8">
        <v>1</v>
      </c>
      <c r="JG29" s="8">
        <v>1</v>
      </c>
      <c r="JH29" s="41"/>
      <c r="JI29" s="41"/>
      <c r="JJ29" s="8">
        <v>1</v>
      </c>
      <c r="JK29" s="8">
        <v>1</v>
      </c>
      <c r="JL29" s="8">
        <v>1</v>
      </c>
      <c r="JM29" s="8">
        <v>1</v>
      </c>
      <c r="JN29" s="8">
        <v>1</v>
      </c>
      <c r="JO29" s="41"/>
      <c r="JP29" s="41"/>
      <c r="JQ29" s="8">
        <v>1</v>
      </c>
      <c r="JR29" s="8">
        <v>1</v>
      </c>
      <c r="JS29" s="8">
        <v>1</v>
      </c>
      <c r="JT29" s="8">
        <v>1</v>
      </c>
      <c r="JU29" s="8">
        <v>1</v>
      </c>
      <c r="JV29" s="41"/>
      <c r="JW29" s="41"/>
      <c r="JX29" s="8">
        <v>1</v>
      </c>
      <c r="JY29" s="8">
        <v>1</v>
      </c>
      <c r="JZ29" s="8">
        <v>1</v>
      </c>
      <c r="KA29" s="8">
        <v>1</v>
      </c>
      <c r="KB29" s="8">
        <v>1</v>
      </c>
      <c r="KC29" s="41"/>
      <c r="KD29" s="41"/>
      <c r="KE29" s="8">
        <v>1</v>
      </c>
      <c r="KF29" s="8">
        <v>1</v>
      </c>
      <c r="KG29" s="8">
        <v>1</v>
      </c>
      <c r="KH29" s="8">
        <v>1</v>
      </c>
      <c r="KI29" s="8">
        <v>1</v>
      </c>
      <c r="KJ29" s="41"/>
      <c r="KK29" s="41"/>
      <c r="KL29" s="8">
        <v>1</v>
      </c>
      <c r="KM29" s="8">
        <v>1</v>
      </c>
      <c r="KN29" s="8">
        <v>1</v>
      </c>
      <c r="KO29" s="8">
        <v>1</v>
      </c>
      <c r="KP29" s="8">
        <v>1</v>
      </c>
      <c r="KQ29" s="41"/>
      <c r="KR29" s="41"/>
      <c r="KS29" s="8">
        <v>1</v>
      </c>
      <c r="KT29" s="8">
        <v>1</v>
      </c>
      <c r="KU29" s="8">
        <v>1</v>
      </c>
      <c r="KV29" s="8">
        <v>1</v>
      </c>
      <c r="KW29" s="8">
        <v>1</v>
      </c>
      <c r="KX29" s="41"/>
      <c r="KY29" s="41"/>
      <c r="KZ29" s="8">
        <v>1</v>
      </c>
      <c r="LA29" s="8">
        <v>1</v>
      </c>
      <c r="LB29" s="8">
        <v>1</v>
      </c>
      <c r="LC29" s="8">
        <v>1</v>
      </c>
      <c r="LD29" s="8">
        <v>1</v>
      </c>
      <c r="LE29" s="41"/>
      <c r="LF29" s="41"/>
      <c r="LG29" s="8">
        <v>1</v>
      </c>
      <c r="LH29" s="8">
        <v>1</v>
      </c>
      <c r="LI29" s="8">
        <v>1</v>
      </c>
      <c r="LJ29" s="8">
        <v>1</v>
      </c>
      <c r="LK29" s="8">
        <v>1</v>
      </c>
      <c r="LL29" s="41"/>
      <c r="LM29" s="41"/>
      <c r="LN29" s="8">
        <v>1</v>
      </c>
      <c r="LO29" s="8">
        <v>1</v>
      </c>
      <c r="LP29" s="8">
        <v>1</v>
      </c>
      <c r="LQ29" s="8">
        <v>1</v>
      </c>
      <c r="LR29" s="8">
        <v>1</v>
      </c>
      <c r="LS29" s="41"/>
      <c r="LT29" s="41"/>
      <c r="LU29" s="8">
        <v>1</v>
      </c>
      <c r="LV29" s="8">
        <v>1</v>
      </c>
      <c r="LW29" s="8">
        <v>1</v>
      </c>
      <c r="LX29" s="8">
        <v>1</v>
      </c>
      <c r="LY29" s="8">
        <v>1</v>
      </c>
      <c r="LZ29" s="41"/>
      <c r="MA29" s="41"/>
      <c r="MB29" s="8">
        <v>1</v>
      </c>
      <c r="MC29" s="8">
        <v>1</v>
      </c>
      <c r="MD29" s="8">
        <v>1</v>
      </c>
      <c r="ME29" s="8">
        <v>1</v>
      </c>
      <c r="MF29" s="8">
        <v>1</v>
      </c>
      <c r="MG29" s="41"/>
      <c r="MH29" s="41"/>
      <c r="MI29" s="8">
        <v>1</v>
      </c>
      <c r="MJ29" s="8">
        <v>1</v>
      </c>
      <c r="MK29" s="8">
        <v>1</v>
      </c>
      <c r="ML29" s="8">
        <v>1</v>
      </c>
      <c r="MM29" s="8">
        <v>1</v>
      </c>
      <c r="MN29" s="41"/>
      <c r="MO29" s="41"/>
      <c r="MP29" s="8">
        <v>1</v>
      </c>
      <c r="MQ29" s="8">
        <v>1</v>
      </c>
      <c r="MR29" s="8">
        <v>1</v>
      </c>
      <c r="MS29" s="8">
        <v>1</v>
      </c>
      <c r="MT29" s="8">
        <v>1</v>
      </c>
      <c r="MU29" s="41"/>
      <c r="MV29" s="41"/>
      <c r="MW29" s="8">
        <v>1</v>
      </c>
      <c r="MX29" s="8">
        <v>1</v>
      </c>
      <c r="MY29" s="8">
        <v>1</v>
      </c>
      <c r="MZ29" s="8">
        <v>1</v>
      </c>
      <c r="NA29" s="8">
        <v>1</v>
      </c>
      <c r="NB29" s="41"/>
      <c r="NC29" s="41"/>
      <c r="ND29" s="8">
        <v>1</v>
      </c>
      <c r="NE29" s="8">
        <v>1</v>
      </c>
      <c r="NF29" s="8">
        <v>1</v>
      </c>
      <c r="NG29" s="8">
        <v>1</v>
      </c>
      <c r="NH29" s="8">
        <v>1</v>
      </c>
      <c r="NI29" s="41"/>
      <c r="NJ29" s="41"/>
      <c r="NK29" s="8">
        <v>1</v>
      </c>
      <c r="NL29" s="8">
        <v>1</v>
      </c>
      <c r="NM29" s="8">
        <v>1</v>
      </c>
      <c r="NN29" s="8">
        <v>1</v>
      </c>
      <c r="NO29" s="8">
        <v>1</v>
      </c>
      <c r="NP29" s="40"/>
      <c r="NQ29" s="40"/>
      <c r="NR29" s="8">
        <v>1</v>
      </c>
      <c r="NS29" s="8">
        <v>1</v>
      </c>
      <c r="NT29" s="8">
        <v>1</v>
      </c>
      <c r="NU29" s="8">
        <v>1</v>
      </c>
      <c r="NV29" s="8">
        <v>1</v>
      </c>
      <c r="NW29" s="40"/>
      <c r="NX29" s="40"/>
      <c r="NY29" s="8">
        <v>1</v>
      </c>
      <c r="NZ29" s="8">
        <v>1</v>
      </c>
      <c r="OA29" s="8">
        <v>1</v>
      </c>
      <c r="OB29" s="8"/>
      <c r="OC29" s="8">
        <v>1</v>
      </c>
      <c r="OD29" s="41"/>
      <c r="OE29" s="41"/>
      <c r="OF29" s="8">
        <v>1</v>
      </c>
      <c r="OG29" s="8">
        <v>1</v>
      </c>
      <c r="OH29" s="8">
        <v>1</v>
      </c>
      <c r="OI29" s="32"/>
      <c r="OJ29" s="33"/>
      <c r="OK29" s="33"/>
      <c r="OL29" s="33"/>
      <c r="OM29" s="33"/>
      <c r="ON29" s="33"/>
      <c r="OO29" s="33"/>
      <c r="OP29" s="33"/>
      <c r="OQ29" s="33"/>
      <c r="OR29" s="33"/>
      <c r="OS29" s="33"/>
      <c r="OT29" s="33"/>
      <c r="OU29" s="33"/>
      <c r="OV29" s="33"/>
      <c r="OW29" s="33"/>
      <c r="OX29" s="33"/>
      <c r="OY29" s="33"/>
      <c r="OZ29" s="33"/>
      <c r="PA29" s="33"/>
      <c r="PB29" s="33"/>
      <c r="PC29" s="33"/>
      <c r="PD29" s="33"/>
      <c r="PE29" s="33"/>
      <c r="PF29" s="33"/>
      <c r="PG29" s="33"/>
      <c r="PH29" s="33"/>
      <c r="PI29" s="33"/>
      <c r="PJ29" s="33"/>
      <c r="PK29" s="33"/>
      <c r="PL29" s="33"/>
      <c r="PM29" s="33"/>
      <c r="PN29" s="33"/>
      <c r="PO29" s="33"/>
      <c r="PP29" s="33"/>
      <c r="PQ29" s="33"/>
      <c r="PR29" s="33"/>
      <c r="PS29" s="33"/>
      <c r="PT29" s="33"/>
    </row>
    <row r="30" spans="1:451" s="31" customFormat="1" ht="21" x14ac:dyDescent="0.3">
      <c r="A30" s="61" t="s">
        <v>523</v>
      </c>
      <c r="B30" s="62" t="s">
        <v>433</v>
      </c>
      <c r="C30" s="45"/>
      <c r="D30" s="8">
        <v>1</v>
      </c>
      <c r="E30" s="8">
        <v>1</v>
      </c>
      <c r="F30" s="8">
        <v>1</v>
      </c>
      <c r="G30" s="8">
        <v>1</v>
      </c>
      <c r="H30" s="8">
        <v>1</v>
      </c>
      <c r="I30" s="46"/>
      <c r="J30" s="46"/>
      <c r="K30" s="8">
        <v>1</v>
      </c>
      <c r="L30" s="8">
        <v>1</v>
      </c>
      <c r="M30" s="8">
        <v>1</v>
      </c>
      <c r="N30" s="8">
        <v>1</v>
      </c>
      <c r="O30" s="8">
        <v>1</v>
      </c>
      <c r="P30" s="46"/>
      <c r="Q30" s="46"/>
      <c r="R30" s="8">
        <v>1</v>
      </c>
      <c r="S30" s="8">
        <v>1</v>
      </c>
      <c r="T30" s="8">
        <v>1</v>
      </c>
      <c r="U30" s="8">
        <v>0</v>
      </c>
      <c r="V30" s="8">
        <v>0</v>
      </c>
      <c r="W30" s="46"/>
      <c r="X30" s="46"/>
      <c r="Y30" s="8">
        <v>0</v>
      </c>
      <c r="Z30" s="8">
        <v>0</v>
      </c>
      <c r="AA30" s="8"/>
      <c r="AB30" s="8">
        <v>0</v>
      </c>
      <c r="AC30" s="8">
        <v>0</v>
      </c>
      <c r="AD30" s="46"/>
      <c r="AE30" s="46"/>
      <c r="AF30" s="8">
        <v>0</v>
      </c>
      <c r="AG30" s="8">
        <v>0</v>
      </c>
      <c r="AH30" s="38"/>
      <c r="AI30" s="8">
        <v>0</v>
      </c>
      <c r="AJ30" s="8">
        <v>0</v>
      </c>
      <c r="AK30" s="8"/>
      <c r="AL30" s="8"/>
      <c r="AM30" s="109">
        <v>1</v>
      </c>
      <c r="AN30" s="109">
        <v>1</v>
      </c>
      <c r="AO30" s="8">
        <v>1</v>
      </c>
      <c r="AP30" s="8">
        <v>1</v>
      </c>
      <c r="AQ30" s="8">
        <v>1</v>
      </c>
      <c r="AR30" s="39"/>
      <c r="AS30" s="39"/>
      <c r="AT30" s="8">
        <v>1</v>
      </c>
      <c r="AU30" s="8">
        <v>1</v>
      </c>
      <c r="AV30" s="8">
        <v>1</v>
      </c>
      <c r="AW30" s="8">
        <v>1</v>
      </c>
      <c r="AX30" s="8">
        <v>1</v>
      </c>
      <c r="AY30" s="39"/>
      <c r="AZ30" s="39"/>
      <c r="BA30" s="39">
        <v>1</v>
      </c>
      <c r="BB30" s="39">
        <v>1</v>
      </c>
      <c r="BC30" s="39">
        <v>1</v>
      </c>
      <c r="BD30" s="39">
        <v>1</v>
      </c>
      <c r="BE30" s="39">
        <v>1</v>
      </c>
      <c r="BF30" s="39"/>
      <c r="BG30" s="39"/>
      <c r="BH30" s="39">
        <v>1</v>
      </c>
      <c r="BI30" s="39">
        <v>1</v>
      </c>
      <c r="BJ30" s="39">
        <v>1</v>
      </c>
      <c r="BK30" s="39">
        <v>1</v>
      </c>
      <c r="BL30" s="39">
        <v>1</v>
      </c>
      <c r="BM30" s="40"/>
      <c r="BN30" s="40"/>
      <c r="BO30" s="8">
        <v>1</v>
      </c>
      <c r="BP30" s="8">
        <v>1</v>
      </c>
      <c r="BQ30" s="8">
        <v>1</v>
      </c>
      <c r="BR30" s="8">
        <v>1</v>
      </c>
      <c r="BS30" s="8">
        <v>1</v>
      </c>
      <c r="BT30" s="40"/>
      <c r="BU30" s="40"/>
      <c r="BV30" s="8">
        <v>1</v>
      </c>
      <c r="BW30" s="8">
        <v>1</v>
      </c>
      <c r="BX30" s="8">
        <v>1</v>
      </c>
      <c r="BY30" s="8">
        <v>1</v>
      </c>
      <c r="BZ30" s="8">
        <v>1</v>
      </c>
      <c r="CA30" s="40"/>
      <c r="CB30" s="40"/>
      <c r="CC30" s="8">
        <v>1</v>
      </c>
      <c r="CD30" s="8">
        <v>1</v>
      </c>
      <c r="CE30" s="8">
        <v>1</v>
      </c>
      <c r="CF30" s="8">
        <v>1</v>
      </c>
      <c r="CG30" s="8">
        <v>1</v>
      </c>
      <c r="CH30" s="40"/>
      <c r="CI30" s="40"/>
      <c r="CJ30" s="8">
        <v>1</v>
      </c>
      <c r="CK30" s="8">
        <v>1</v>
      </c>
      <c r="CL30" s="8">
        <v>1</v>
      </c>
      <c r="CM30" s="8">
        <v>1</v>
      </c>
      <c r="CN30" s="8">
        <v>1</v>
      </c>
      <c r="CO30" s="40"/>
      <c r="CP30" s="40"/>
      <c r="CQ30" s="8">
        <v>1</v>
      </c>
      <c r="CR30" s="8">
        <v>1</v>
      </c>
      <c r="CS30" s="8">
        <v>1</v>
      </c>
      <c r="CT30" s="8">
        <v>1</v>
      </c>
      <c r="CU30" s="8">
        <v>0</v>
      </c>
      <c r="CV30" s="40"/>
      <c r="CW30" s="40"/>
      <c r="CX30" s="8">
        <v>0</v>
      </c>
      <c r="CY30" s="8">
        <v>0</v>
      </c>
      <c r="CZ30" s="8">
        <v>1</v>
      </c>
      <c r="DA30" s="8">
        <v>1</v>
      </c>
      <c r="DB30" s="8">
        <v>1</v>
      </c>
      <c r="DC30" s="40"/>
      <c r="DD30" s="40"/>
      <c r="DE30" s="8">
        <v>1</v>
      </c>
      <c r="DF30" s="8">
        <v>1</v>
      </c>
      <c r="DG30" s="8">
        <v>1</v>
      </c>
      <c r="DH30" s="8">
        <v>1</v>
      </c>
      <c r="DI30" s="8">
        <v>1</v>
      </c>
      <c r="DJ30" s="40"/>
      <c r="DK30" s="40"/>
      <c r="DL30" s="8">
        <v>1</v>
      </c>
      <c r="DM30" s="8">
        <v>1</v>
      </c>
      <c r="DN30" s="8">
        <v>1</v>
      </c>
      <c r="DO30" s="8">
        <v>1</v>
      </c>
      <c r="DP30" s="8">
        <v>1</v>
      </c>
      <c r="DQ30" s="41"/>
      <c r="DR30" s="41"/>
      <c r="DS30" s="8">
        <v>1</v>
      </c>
      <c r="DT30" s="8">
        <v>1</v>
      </c>
      <c r="DU30" s="8">
        <v>1</v>
      </c>
      <c r="DV30" s="8">
        <v>1</v>
      </c>
      <c r="DW30" s="8">
        <v>1</v>
      </c>
      <c r="DX30" s="41"/>
      <c r="DY30" s="41"/>
      <c r="DZ30" s="8">
        <v>1</v>
      </c>
      <c r="EA30" s="8">
        <v>1</v>
      </c>
      <c r="EB30" s="8">
        <v>1</v>
      </c>
      <c r="EC30" s="8">
        <v>1</v>
      </c>
      <c r="ED30" s="8">
        <v>1</v>
      </c>
      <c r="EE30" s="41"/>
      <c r="EF30" s="41"/>
      <c r="EG30" s="8">
        <v>1</v>
      </c>
      <c r="EH30" s="8">
        <v>1</v>
      </c>
      <c r="EI30" s="8">
        <v>1</v>
      </c>
      <c r="EJ30" s="8">
        <v>1</v>
      </c>
      <c r="EK30" s="8">
        <v>1</v>
      </c>
      <c r="EL30" s="41"/>
      <c r="EM30" s="41"/>
      <c r="EN30" s="38"/>
      <c r="EO30" s="8">
        <v>1</v>
      </c>
      <c r="EP30" s="8">
        <v>1</v>
      </c>
      <c r="EQ30" s="8">
        <v>1</v>
      </c>
      <c r="ER30" s="8">
        <v>1</v>
      </c>
      <c r="ES30" s="41"/>
      <c r="ET30" s="41"/>
      <c r="EU30" s="8">
        <v>1</v>
      </c>
      <c r="EV30" s="8">
        <v>1</v>
      </c>
      <c r="EW30" s="8">
        <v>1</v>
      </c>
      <c r="EX30" s="38"/>
      <c r="EY30" s="8">
        <v>1</v>
      </c>
      <c r="EZ30" s="41"/>
      <c r="FA30" s="41"/>
      <c r="FB30" s="8">
        <v>1</v>
      </c>
      <c r="FC30" s="8">
        <v>1</v>
      </c>
      <c r="FD30" s="8">
        <v>1</v>
      </c>
      <c r="FE30" s="38"/>
      <c r="FF30" s="8">
        <v>1</v>
      </c>
      <c r="FG30" s="41"/>
      <c r="FH30" s="41"/>
      <c r="FI30" s="8">
        <v>1</v>
      </c>
      <c r="FJ30" s="8">
        <v>1</v>
      </c>
      <c r="FK30" s="8">
        <v>1</v>
      </c>
      <c r="FL30" s="8">
        <v>1</v>
      </c>
      <c r="FM30" s="8">
        <v>1</v>
      </c>
      <c r="FN30" s="41"/>
      <c r="FO30" s="41"/>
      <c r="FP30" s="8">
        <v>1</v>
      </c>
      <c r="FQ30" s="8">
        <v>1</v>
      </c>
      <c r="FR30" s="8">
        <v>1</v>
      </c>
      <c r="FS30" s="8">
        <v>1</v>
      </c>
      <c r="FT30" s="8">
        <v>1</v>
      </c>
      <c r="FU30" s="41"/>
      <c r="FV30" s="41"/>
      <c r="FW30" s="8">
        <v>1</v>
      </c>
      <c r="FX30" s="8">
        <v>1</v>
      </c>
      <c r="FY30" s="8">
        <v>1</v>
      </c>
      <c r="FZ30" s="38"/>
      <c r="GA30" s="8">
        <v>1</v>
      </c>
      <c r="GB30" s="41"/>
      <c r="GC30" s="41"/>
      <c r="GD30" s="8">
        <v>1</v>
      </c>
      <c r="GE30" s="8">
        <v>1</v>
      </c>
      <c r="GF30" s="8">
        <v>1</v>
      </c>
      <c r="GG30" s="8">
        <v>1</v>
      </c>
      <c r="GH30" s="8">
        <v>1</v>
      </c>
      <c r="GI30" s="41"/>
      <c r="GJ30" s="41"/>
      <c r="GK30" s="38"/>
      <c r="GL30" s="8">
        <v>1</v>
      </c>
      <c r="GM30" s="8">
        <v>1</v>
      </c>
      <c r="GN30" s="8">
        <v>1</v>
      </c>
      <c r="GO30" s="8">
        <v>1</v>
      </c>
      <c r="GP30" s="41"/>
      <c r="GQ30" s="41"/>
      <c r="GR30" s="8">
        <v>1</v>
      </c>
      <c r="GS30" s="8">
        <v>1</v>
      </c>
      <c r="GT30" s="8">
        <v>1</v>
      </c>
      <c r="GU30" s="8">
        <v>1</v>
      </c>
      <c r="GV30" s="8">
        <v>1</v>
      </c>
      <c r="GW30" s="41"/>
      <c r="GX30" s="41"/>
      <c r="GY30" s="8">
        <v>1</v>
      </c>
      <c r="GZ30" s="8">
        <v>1</v>
      </c>
      <c r="HA30" s="8">
        <v>1</v>
      </c>
      <c r="HB30" s="8">
        <v>1</v>
      </c>
      <c r="HC30" s="8">
        <v>1</v>
      </c>
      <c r="HD30" s="41"/>
      <c r="HE30" s="41"/>
      <c r="HF30" s="8">
        <v>1</v>
      </c>
      <c r="HG30" s="8">
        <v>1</v>
      </c>
      <c r="HH30" s="8">
        <v>1</v>
      </c>
      <c r="HI30" s="8">
        <v>1</v>
      </c>
      <c r="HJ30" s="8">
        <v>1</v>
      </c>
      <c r="HK30" s="41"/>
      <c r="HL30" s="41"/>
      <c r="HM30" s="8">
        <v>1</v>
      </c>
      <c r="HN30" s="8">
        <v>1</v>
      </c>
      <c r="HO30" s="8">
        <v>1</v>
      </c>
      <c r="HP30" s="8">
        <v>1</v>
      </c>
      <c r="HQ30" s="8">
        <v>1</v>
      </c>
      <c r="HR30" s="41"/>
      <c r="HS30" s="41"/>
      <c r="HT30" s="38"/>
      <c r="HU30" s="8">
        <v>1</v>
      </c>
      <c r="HV30" s="8">
        <v>1</v>
      </c>
      <c r="HW30" s="8">
        <v>1</v>
      </c>
      <c r="HX30" s="8">
        <v>1</v>
      </c>
      <c r="HY30" s="41"/>
      <c r="HZ30" s="41"/>
      <c r="IA30" s="8">
        <v>1</v>
      </c>
      <c r="IB30" s="8">
        <v>1</v>
      </c>
      <c r="IC30" s="8">
        <v>1</v>
      </c>
      <c r="ID30" s="8">
        <v>1</v>
      </c>
      <c r="IE30" s="8">
        <v>1</v>
      </c>
      <c r="IF30" s="41"/>
      <c r="IG30" s="41"/>
      <c r="IH30" s="8">
        <v>1</v>
      </c>
      <c r="II30" s="8">
        <v>1</v>
      </c>
      <c r="IJ30" s="8">
        <v>1</v>
      </c>
      <c r="IK30" s="8">
        <v>1</v>
      </c>
      <c r="IL30" s="8">
        <v>1</v>
      </c>
      <c r="IM30" s="41"/>
      <c r="IN30" s="41"/>
      <c r="IO30" s="8">
        <v>1</v>
      </c>
      <c r="IP30" s="8">
        <v>1</v>
      </c>
      <c r="IQ30" s="8">
        <v>1</v>
      </c>
      <c r="IR30" s="8">
        <v>1</v>
      </c>
      <c r="IS30" s="8">
        <v>1</v>
      </c>
      <c r="IT30" s="41"/>
      <c r="IU30" s="41"/>
      <c r="IV30" s="8">
        <v>1</v>
      </c>
      <c r="IW30" s="8">
        <v>1</v>
      </c>
      <c r="IX30" s="8">
        <v>1</v>
      </c>
      <c r="IY30" s="8">
        <v>1</v>
      </c>
      <c r="IZ30" s="38"/>
      <c r="JA30" s="41"/>
      <c r="JB30" s="41"/>
      <c r="JC30" s="8">
        <v>1</v>
      </c>
      <c r="JD30" s="8">
        <v>1</v>
      </c>
      <c r="JE30" s="8">
        <v>1</v>
      </c>
      <c r="JF30" s="8">
        <v>1</v>
      </c>
      <c r="JG30" s="8">
        <v>1</v>
      </c>
      <c r="JH30" s="41"/>
      <c r="JI30" s="41"/>
      <c r="JJ30" s="8">
        <v>1</v>
      </c>
      <c r="JK30" s="8">
        <v>1</v>
      </c>
      <c r="JL30" s="8">
        <v>1</v>
      </c>
      <c r="JM30" s="8">
        <v>1</v>
      </c>
      <c r="JN30" s="8">
        <v>1</v>
      </c>
      <c r="JO30" s="41"/>
      <c r="JP30" s="41"/>
      <c r="JQ30" s="8">
        <v>1</v>
      </c>
      <c r="JR30" s="8">
        <v>1</v>
      </c>
      <c r="JS30" s="8">
        <v>1</v>
      </c>
      <c r="JT30" s="8">
        <v>1</v>
      </c>
      <c r="JU30" s="8">
        <v>1</v>
      </c>
      <c r="JV30" s="41"/>
      <c r="JW30" s="41"/>
      <c r="JX30" s="8">
        <v>1</v>
      </c>
      <c r="JY30" s="8">
        <v>1</v>
      </c>
      <c r="JZ30" s="8">
        <v>1</v>
      </c>
      <c r="KA30" s="8">
        <v>1</v>
      </c>
      <c r="KB30" s="8">
        <v>1</v>
      </c>
      <c r="KC30" s="41"/>
      <c r="KD30" s="41"/>
      <c r="KE30" s="8">
        <v>1</v>
      </c>
      <c r="KF30" s="8">
        <v>1</v>
      </c>
      <c r="KG30" s="8">
        <v>1</v>
      </c>
      <c r="KH30" s="8">
        <v>1</v>
      </c>
      <c r="KI30" s="8">
        <v>1</v>
      </c>
      <c r="KJ30" s="41"/>
      <c r="KK30" s="41"/>
      <c r="KL30" s="8">
        <v>1</v>
      </c>
      <c r="KM30" s="8">
        <v>1</v>
      </c>
      <c r="KN30" s="8">
        <v>1</v>
      </c>
      <c r="KO30" s="8">
        <v>1</v>
      </c>
      <c r="KP30" s="8">
        <v>1</v>
      </c>
      <c r="KQ30" s="41"/>
      <c r="KR30" s="41"/>
      <c r="KS30" s="8">
        <v>1</v>
      </c>
      <c r="KT30" s="8">
        <v>1</v>
      </c>
      <c r="KU30" s="8">
        <v>1</v>
      </c>
      <c r="KV30" s="8">
        <v>1</v>
      </c>
      <c r="KW30" s="8">
        <v>1</v>
      </c>
      <c r="KX30" s="41"/>
      <c r="KY30" s="41"/>
      <c r="KZ30" s="8">
        <v>1</v>
      </c>
      <c r="LA30" s="8">
        <v>1</v>
      </c>
      <c r="LB30" s="8">
        <v>1</v>
      </c>
      <c r="LC30" s="8">
        <v>1</v>
      </c>
      <c r="LD30" s="8">
        <v>1</v>
      </c>
      <c r="LE30" s="41"/>
      <c r="LF30" s="41"/>
      <c r="LG30" s="8">
        <v>1</v>
      </c>
      <c r="LH30" s="8">
        <v>1</v>
      </c>
      <c r="LI30" s="8">
        <v>1</v>
      </c>
      <c r="LJ30" s="8">
        <v>1</v>
      </c>
      <c r="LK30" s="8">
        <v>1</v>
      </c>
      <c r="LL30" s="41"/>
      <c r="LM30" s="41"/>
      <c r="LN30" s="8">
        <v>1</v>
      </c>
      <c r="LO30" s="8">
        <v>1</v>
      </c>
      <c r="LP30" s="8">
        <v>1</v>
      </c>
      <c r="LQ30" s="8">
        <v>1</v>
      </c>
      <c r="LR30" s="8">
        <v>1</v>
      </c>
      <c r="LS30" s="41"/>
      <c r="LT30" s="41"/>
      <c r="LU30" s="8">
        <v>1</v>
      </c>
      <c r="LV30" s="8">
        <v>1</v>
      </c>
      <c r="LW30" s="8">
        <v>1</v>
      </c>
      <c r="LX30" s="8">
        <v>1</v>
      </c>
      <c r="LY30" s="8">
        <v>1</v>
      </c>
      <c r="LZ30" s="41"/>
      <c r="MA30" s="41"/>
      <c r="MB30" s="8">
        <v>1</v>
      </c>
      <c r="MC30" s="8">
        <v>1</v>
      </c>
      <c r="MD30" s="8">
        <v>1</v>
      </c>
      <c r="ME30" s="8">
        <v>1</v>
      </c>
      <c r="MF30" s="8">
        <v>1</v>
      </c>
      <c r="MG30" s="41"/>
      <c r="MH30" s="41"/>
      <c r="MI30" s="8">
        <v>1</v>
      </c>
      <c r="MJ30" s="8">
        <v>1</v>
      </c>
      <c r="MK30" s="8">
        <v>1</v>
      </c>
      <c r="ML30" s="8">
        <v>1</v>
      </c>
      <c r="MM30" s="8">
        <v>1</v>
      </c>
      <c r="MN30" s="41"/>
      <c r="MO30" s="41"/>
      <c r="MP30" s="8">
        <v>1</v>
      </c>
      <c r="MQ30" s="8">
        <v>1</v>
      </c>
      <c r="MR30" s="8">
        <v>1</v>
      </c>
      <c r="MS30" s="8">
        <v>1</v>
      </c>
      <c r="MT30" s="8">
        <v>1</v>
      </c>
      <c r="MU30" s="41"/>
      <c r="MV30" s="41"/>
      <c r="MW30" s="8">
        <v>1</v>
      </c>
      <c r="MX30" s="8">
        <v>1</v>
      </c>
      <c r="MY30" s="8">
        <v>1</v>
      </c>
      <c r="MZ30" s="8">
        <v>1</v>
      </c>
      <c r="NA30" s="8">
        <v>1</v>
      </c>
      <c r="NB30" s="41"/>
      <c r="NC30" s="41"/>
      <c r="ND30" s="8">
        <v>1</v>
      </c>
      <c r="NE30" s="8">
        <v>1</v>
      </c>
      <c r="NF30" s="8">
        <v>1</v>
      </c>
      <c r="NG30" s="8">
        <v>1</v>
      </c>
      <c r="NH30" s="8">
        <v>1</v>
      </c>
      <c r="NI30" s="41"/>
      <c r="NJ30" s="41"/>
      <c r="NK30" s="8">
        <v>1</v>
      </c>
      <c r="NL30" s="8">
        <v>1</v>
      </c>
      <c r="NM30" s="8">
        <v>1</v>
      </c>
      <c r="NN30" s="8">
        <v>1</v>
      </c>
      <c r="NO30" s="8">
        <v>1</v>
      </c>
      <c r="NP30" s="40"/>
      <c r="NQ30" s="40"/>
      <c r="NR30" s="8">
        <v>1</v>
      </c>
      <c r="NS30" s="8">
        <v>1</v>
      </c>
      <c r="NT30" s="8">
        <v>1</v>
      </c>
      <c r="NU30" s="8">
        <v>1</v>
      </c>
      <c r="NV30" s="8">
        <v>1</v>
      </c>
      <c r="NW30" s="40"/>
      <c r="NX30" s="40"/>
      <c r="NY30" s="8">
        <v>1</v>
      </c>
      <c r="NZ30" s="8">
        <v>1</v>
      </c>
      <c r="OA30" s="8">
        <v>1</v>
      </c>
      <c r="OB30" s="8"/>
      <c r="OC30" s="8">
        <v>1</v>
      </c>
      <c r="OD30" s="41"/>
      <c r="OE30" s="41"/>
      <c r="OF30" s="8">
        <v>1</v>
      </c>
      <c r="OG30" s="8">
        <v>1</v>
      </c>
      <c r="OH30" s="8">
        <v>1</v>
      </c>
      <c r="OI30" s="32"/>
    </row>
    <row r="31" spans="1:451" s="31" customFormat="1" ht="21" x14ac:dyDescent="0.3">
      <c r="A31" s="61" t="s">
        <v>524</v>
      </c>
      <c r="B31" s="62" t="s">
        <v>433</v>
      </c>
      <c r="C31" s="45"/>
      <c r="D31" s="8">
        <v>1</v>
      </c>
      <c r="E31" s="8">
        <v>1</v>
      </c>
      <c r="F31" s="8">
        <v>1</v>
      </c>
      <c r="G31" s="8">
        <v>1</v>
      </c>
      <c r="H31" s="8">
        <v>1</v>
      </c>
      <c r="I31" s="46"/>
      <c r="J31" s="46"/>
      <c r="K31" s="8">
        <v>1</v>
      </c>
      <c r="L31" s="8">
        <v>1</v>
      </c>
      <c r="M31" s="8">
        <v>1</v>
      </c>
      <c r="N31" s="8">
        <v>1</v>
      </c>
      <c r="O31" s="8">
        <v>1</v>
      </c>
      <c r="P31" s="46"/>
      <c r="Q31" s="46"/>
      <c r="R31" s="8">
        <v>1</v>
      </c>
      <c r="S31" s="8">
        <v>1</v>
      </c>
      <c r="T31" s="8">
        <v>1</v>
      </c>
      <c r="U31" s="8">
        <v>1</v>
      </c>
      <c r="V31" s="8">
        <v>1</v>
      </c>
      <c r="W31" s="46"/>
      <c r="X31" s="46"/>
      <c r="Y31" s="8">
        <v>0</v>
      </c>
      <c r="Z31" s="8">
        <v>0</v>
      </c>
      <c r="AA31" s="8"/>
      <c r="AB31" s="8">
        <v>0</v>
      </c>
      <c r="AC31" s="8">
        <v>0</v>
      </c>
      <c r="AD31" s="46"/>
      <c r="AE31" s="46"/>
      <c r="AF31" s="8">
        <v>0</v>
      </c>
      <c r="AG31" s="8">
        <v>0</v>
      </c>
      <c r="AH31" s="38"/>
      <c r="AI31" s="8">
        <v>0</v>
      </c>
      <c r="AJ31" s="8">
        <v>0</v>
      </c>
      <c r="AK31" s="8"/>
      <c r="AL31" s="8"/>
      <c r="AM31" s="109">
        <v>1</v>
      </c>
      <c r="AN31" s="109">
        <v>1</v>
      </c>
      <c r="AO31" s="8">
        <v>1</v>
      </c>
      <c r="AP31" s="8">
        <v>1</v>
      </c>
      <c r="AQ31" s="8">
        <v>1</v>
      </c>
      <c r="AR31" s="39"/>
      <c r="AS31" s="39"/>
      <c r="AT31" s="8">
        <v>1</v>
      </c>
      <c r="AU31" s="8">
        <v>1</v>
      </c>
      <c r="AV31" s="8">
        <v>1</v>
      </c>
      <c r="AW31" s="8">
        <v>1</v>
      </c>
      <c r="AX31" s="8">
        <v>1</v>
      </c>
      <c r="AY31" s="39"/>
      <c r="AZ31" s="39"/>
      <c r="BA31" s="39">
        <v>1</v>
      </c>
      <c r="BB31" s="39">
        <v>1</v>
      </c>
      <c r="BC31" s="39">
        <v>1</v>
      </c>
      <c r="BD31" s="39">
        <v>1</v>
      </c>
      <c r="BE31" s="39">
        <v>1</v>
      </c>
      <c r="BF31" s="39"/>
      <c r="BG31" s="39"/>
      <c r="BH31" s="39">
        <v>0</v>
      </c>
      <c r="BI31" s="39">
        <v>0</v>
      </c>
      <c r="BJ31" s="39">
        <v>0</v>
      </c>
      <c r="BK31" s="39">
        <v>0</v>
      </c>
      <c r="BL31" s="39">
        <v>0</v>
      </c>
      <c r="BM31" s="40"/>
      <c r="BN31" s="40"/>
      <c r="BO31" s="8">
        <v>1</v>
      </c>
      <c r="BP31" s="8">
        <v>1</v>
      </c>
      <c r="BQ31" s="8">
        <v>1</v>
      </c>
      <c r="BR31" s="8">
        <v>1</v>
      </c>
      <c r="BS31" s="8">
        <v>1</v>
      </c>
      <c r="BT31" s="40"/>
      <c r="BU31" s="40"/>
      <c r="BV31" s="8">
        <v>1</v>
      </c>
      <c r="BW31" s="8">
        <v>1</v>
      </c>
      <c r="BX31" s="8">
        <v>1</v>
      </c>
      <c r="BY31" s="8">
        <v>1</v>
      </c>
      <c r="BZ31" s="8">
        <v>1</v>
      </c>
      <c r="CA31" s="40"/>
      <c r="CB31" s="40"/>
      <c r="CC31" s="8">
        <v>1</v>
      </c>
      <c r="CD31" s="8">
        <v>1</v>
      </c>
      <c r="CE31" s="8">
        <v>1</v>
      </c>
      <c r="CF31" s="8">
        <v>1</v>
      </c>
      <c r="CG31" s="8">
        <v>1</v>
      </c>
      <c r="CH31" s="40"/>
      <c r="CI31" s="40"/>
      <c r="CJ31" s="8">
        <v>1</v>
      </c>
      <c r="CK31" s="8">
        <v>1</v>
      </c>
      <c r="CL31" s="8">
        <v>1</v>
      </c>
      <c r="CM31" s="8">
        <v>1</v>
      </c>
      <c r="CN31" s="8">
        <v>1</v>
      </c>
      <c r="CO31" s="40"/>
      <c r="CP31" s="40"/>
      <c r="CQ31" s="8">
        <v>1</v>
      </c>
      <c r="CR31" s="8">
        <v>1</v>
      </c>
      <c r="CS31" s="8">
        <v>1</v>
      </c>
      <c r="CT31" s="8">
        <v>1</v>
      </c>
      <c r="CU31" s="8">
        <v>1</v>
      </c>
      <c r="CV31" s="40"/>
      <c r="CW31" s="40"/>
      <c r="CX31" s="8">
        <v>1</v>
      </c>
      <c r="CY31" s="8">
        <v>1</v>
      </c>
      <c r="CZ31" s="8">
        <v>1</v>
      </c>
      <c r="DA31" s="8">
        <v>1</v>
      </c>
      <c r="DB31" s="8">
        <v>1</v>
      </c>
      <c r="DC31" s="40"/>
      <c r="DD31" s="40"/>
      <c r="DE31" s="8">
        <v>1</v>
      </c>
      <c r="DF31" s="8">
        <v>1</v>
      </c>
      <c r="DG31" s="8">
        <v>1</v>
      </c>
      <c r="DH31" s="8">
        <v>1</v>
      </c>
      <c r="DI31" s="8">
        <v>1</v>
      </c>
      <c r="DJ31" s="40"/>
      <c r="DK31" s="40"/>
      <c r="DL31" s="8">
        <v>1</v>
      </c>
      <c r="DM31" s="8">
        <v>1</v>
      </c>
      <c r="DN31" s="8">
        <v>1</v>
      </c>
      <c r="DO31" s="8">
        <v>1</v>
      </c>
      <c r="DP31" s="8">
        <v>1</v>
      </c>
      <c r="DQ31" s="41"/>
      <c r="DR31" s="41"/>
      <c r="DS31" s="8">
        <v>1</v>
      </c>
      <c r="DT31" s="8">
        <v>1</v>
      </c>
      <c r="DU31" s="8">
        <v>1</v>
      </c>
      <c r="DV31" s="8">
        <v>1</v>
      </c>
      <c r="DW31" s="8">
        <v>1</v>
      </c>
      <c r="DX31" s="41"/>
      <c r="DY31" s="41"/>
      <c r="DZ31" s="8">
        <v>1</v>
      </c>
      <c r="EA31" s="8">
        <v>1</v>
      </c>
      <c r="EB31" s="8">
        <v>1</v>
      </c>
      <c r="EC31" s="8">
        <v>1</v>
      </c>
      <c r="ED31" s="8">
        <v>1</v>
      </c>
      <c r="EE31" s="41"/>
      <c r="EF31" s="41"/>
      <c r="EG31" s="8">
        <v>1</v>
      </c>
      <c r="EH31" s="8">
        <v>1</v>
      </c>
      <c r="EI31" s="8">
        <v>1</v>
      </c>
      <c r="EJ31" s="8">
        <v>1</v>
      </c>
      <c r="EK31" s="8">
        <v>1</v>
      </c>
      <c r="EL31" s="41"/>
      <c r="EM31" s="41"/>
      <c r="EN31" s="38"/>
      <c r="EO31" s="8">
        <v>1</v>
      </c>
      <c r="EP31" s="8">
        <v>1</v>
      </c>
      <c r="EQ31" s="8">
        <v>1</v>
      </c>
      <c r="ER31" s="8">
        <v>1</v>
      </c>
      <c r="ES31" s="41"/>
      <c r="ET31" s="41"/>
      <c r="EU31" s="8">
        <v>1</v>
      </c>
      <c r="EV31" s="8">
        <v>1</v>
      </c>
      <c r="EW31" s="8">
        <v>1</v>
      </c>
      <c r="EX31" s="38"/>
      <c r="EY31" s="8">
        <v>1</v>
      </c>
      <c r="EZ31" s="41"/>
      <c r="FA31" s="41"/>
      <c r="FB31" s="8">
        <v>1</v>
      </c>
      <c r="FC31" s="8">
        <v>1</v>
      </c>
      <c r="FD31" s="8">
        <v>1</v>
      </c>
      <c r="FE31" s="38"/>
      <c r="FF31" s="8">
        <v>1</v>
      </c>
      <c r="FG31" s="41"/>
      <c r="FH31" s="41"/>
      <c r="FI31" s="8">
        <v>1</v>
      </c>
      <c r="FJ31" s="8">
        <v>1</v>
      </c>
      <c r="FK31" s="8">
        <v>1</v>
      </c>
      <c r="FL31" s="8">
        <v>1</v>
      </c>
      <c r="FM31" s="8">
        <v>1</v>
      </c>
      <c r="FN31" s="41"/>
      <c r="FO31" s="41"/>
      <c r="FP31" s="8">
        <v>1</v>
      </c>
      <c r="FQ31" s="8">
        <v>1</v>
      </c>
      <c r="FR31" s="8">
        <v>1</v>
      </c>
      <c r="FS31" s="8">
        <v>1</v>
      </c>
      <c r="FT31" s="8">
        <v>1</v>
      </c>
      <c r="FU31" s="41"/>
      <c r="FV31" s="41"/>
      <c r="FW31" s="8">
        <v>1</v>
      </c>
      <c r="FX31" s="8">
        <v>1</v>
      </c>
      <c r="FY31" s="8">
        <v>1</v>
      </c>
      <c r="FZ31" s="38"/>
      <c r="GA31" s="8">
        <v>1</v>
      </c>
      <c r="GB31" s="41"/>
      <c r="GC31" s="41"/>
      <c r="GD31" s="8">
        <v>1</v>
      </c>
      <c r="GE31" s="8">
        <v>1</v>
      </c>
      <c r="GF31" s="8">
        <v>1</v>
      </c>
      <c r="GG31" s="8">
        <v>1</v>
      </c>
      <c r="GH31" s="8">
        <v>1</v>
      </c>
      <c r="GI31" s="41"/>
      <c r="GJ31" s="41"/>
      <c r="GK31" s="38"/>
      <c r="GL31" s="8">
        <v>1</v>
      </c>
      <c r="GM31" s="8">
        <v>1</v>
      </c>
      <c r="GN31" s="8">
        <v>1</v>
      </c>
      <c r="GO31" s="8">
        <v>1</v>
      </c>
      <c r="GP31" s="41"/>
      <c r="GQ31" s="41"/>
      <c r="GR31" s="8">
        <v>1</v>
      </c>
      <c r="GS31" s="8">
        <v>1</v>
      </c>
      <c r="GT31" s="8">
        <v>1</v>
      </c>
      <c r="GU31" s="8">
        <v>1</v>
      </c>
      <c r="GV31" s="8">
        <v>1</v>
      </c>
      <c r="GW31" s="41"/>
      <c r="GX31" s="41"/>
      <c r="GY31" s="8">
        <v>1</v>
      </c>
      <c r="GZ31" s="8">
        <v>1</v>
      </c>
      <c r="HA31" s="8">
        <v>1</v>
      </c>
      <c r="HB31" s="8">
        <v>1</v>
      </c>
      <c r="HC31" s="8">
        <v>1</v>
      </c>
      <c r="HD31" s="41"/>
      <c r="HE31" s="41"/>
      <c r="HF31" s="8">
        <v>1</v>
      </c>
      <c r="HG31" s="8">
        <v>1</v>
      </c>
      <c r="HH31" s="8">
        <v>1</v>
      </c>
      <c r="HI31" s="8">
        <v>1</v>
      </c>
      <c r="HJ31" s="8">
        <v>1</v>
      </c>
      <c r="HK31" s="41"/>
      <c r="HL31" s="41"/>
      <c r="HM31" s="8">
        <v>1</v>
      </c>
      <c r="HN31" s="8">
        <v>1</v>
      </c>
      <c r="HO31" s="8">
        <v>1</v>
      </c>
      <c r="HP31" s="8">
        <v>1</v>
      </c>
      <c r="HQ31" s="8">
        <v>1</v>
      </c>
      <c r="HR31" s="41"/>
      <c r="HS31" s="41"/>
      <c r="HT31" s="38"/>
      <c r="HU31" s="8">
        <v>1</v>
      </c>
      <c r="HV31" s="8">
        <v>1</v>
      </c>
      <c r="HW31" s="8">
        <v>1</v>
      </c>
      <c r="HX31" s="8">
        <v>1</v>
      </c>
      <c r="HY31" s="41"/>
      <c r="HZ31" s="41"/>
      <c r="IA31" s="8">
        <v>1</v>
      </c>
      <c r="IB31" s="8">
        <v>1</v>
      </c>
      <c r="IC31" s="8">
        <v>1</v>
      </c>
      <c r="ID31" s="8">
        <v>1</v>
      </c>
      <c r="IE31" s="8">
        <v>1</v>
      </c>
      <c r="IF31" s="41"/>
      <c r="IG31" s="41"/>
      <c r="IH31" s="8">
        <v>1</v>
      </c>
      <c r="II31" s="8">
        <v>1</v>
      </c>
      <c r="IJ31" s="8">
        <v>1</v>
      </c>
      <c r="IK31" s="8">
        <v>1</v>
      </c>
      <c r="IL31" s="8">
        <v>1</v>
      </c>
      <c r="IM31" s="41"/>
      <c r="IN31" s="41"/>
      <c r="IO31" s="8">
        <v>1</v>
      </c>
      <c r="IP31" s="8">
        <v>1</v>
      </c>
      <c r="IQ31" s="8">
        <v>1</v>
      </c>
      <c r="IR31" s="8">
        <v>1</v>
      </c>
      <c r="IS31" s="8">
        <v>1</v>
      </c>
      <c r="IT31" s="41"/>
      <c r="IU31" s="41"/>
      <c r="IV31" s="8">
        <v>1</v>
      </c>
      <c r="IW31" s="8">
        <v>1</v>
      </c>
      <c r="IX31" s="8">
        <v>1</v>
      </c>
      <c r="IY31" s="8">
        <v>1</v>
      </c>
      <c r="IZ31" s="38"/>
      <c r="JA31" s="41"/>
      <c r="JB31" s="41"/>
      <c r="JC31" s="8">
        <v>1</v>
      </c>
      <c r="JD31" s="8">
        <v>1</v>
      </c>
      <c r="JE31" s="8">
        <v>1</v>
      </c>
      <c r="JF31" s="8">
        <v>1</v>
      </c>
      <c r="JG31" s="8">
        <v>1</v>
      </c>
      <c r="JH31" s="41"/>
      <c r="JI31" s="41"/>
      <c r="JJ31" s="8">
        <v>1</v>
      </c>
      <c r="JK31" s="8">
        <v>1</v>
      </c>
      <c r="JL31" s="8">
        <v>1</v>
      </c>
      <c r="JM31" s="8">
        <v>1</v>
      </c>
      <c r="JN31" s="8">
        <v>1</v>
      </c>
      <c r="JO31" s="41"/>
      <c r="JP31" s="41"/>
      <c r="JQ31" s="8">
        <v>1</v>
      </c>
      <c r="JR31" s="8">
        <v>1</v>
      </c>
      <c r="JS31" s="8">
        <v>1</v>
      </c>
      <c r="JT31" s="8">
        <v>1</v>
      </c>
      <c r="JU31" s="8">
        <v>1</v>
      </c>
      <c r="JV31" s="41"/>
      <c r="JW31" s="41"/>
      <c r="JX31" s="8">
        <v>1</v>
      </c>
      <c r="JY31" s="8">
        <v>1</v>
      </c>
      <c r="JZ31" s="8">
        <v>1</v>
      </c>
      <c r="KA31" s="8">
        <v>1</v>
      </c>
      <c r="KB31" s="8">
        <v>1</v>
      </c>
      <c r="KC31" s="41"/>
      <c r="KD31" s="41"/>
      <c r="KE31" s="8">
        <v>1</v>
      </c>
      <c r="KF31" s="8">
        <v>1</v>
      </c>
      <c r="KG31" s="8">
        <v>1</v>
      </c>
      <c r="KH31" s="8">
        <v>1</v>
      </c>
      <c r="KI31" s="8">
        <v>1</v>
      </c>
      <c r="KJ31" s="41"/>
      <c r="KK31" s="41"/>
      <c r="KL31" s="8">
        <v>1</v>
      </c>
      <c r="KM31" s="8">
        <v>1</v>
      </c>
      <c r="KN31" s="8">
        <v>1</v>
      </c>
      <c r="KO31" s="8">
        <v>1</v>
      </c>
      <c r="KP31" s="8">
        <v>1</v>
      </c>
      <c r="KQ31" s="41"/>
      <c r="KR31" s="41"/>
      <c r="KS31" s="8">
        <v>1</v>
      </c>
      <c r="KT31" s="8">
        <v>1</v>
      </c>
      <c r="KU31" s="8">
        <v>1</v>
      </c>
      <c r="KV31" s="8">
        <v>1</v>
      </c>
      <c r="KW31" s="8">
        <v>1</v>
      </c>
      <c r="KX31" s="41"/>
      <c r="KY31" s="41"/>
      <c r="KZ31" s="8">
        <v>1</v>
      </c>
      <c r="LA31" s="8">
        <v>1</v>
      </c>
      <c r="LB31" s="8">
        <v>1</v>
      </c>
      <c r="LC31" s="8">
        <v>1</v>
      </c>
      <c r="LD31" s="8">
        <v>1</v>
      </c>
      <c r="LE31" s="41"/>
      <c r="LF31" s="41"/>
      <c r="LG31" s="8">
        <v>1</v>
      </c>
      <c r="LH31" s="8">
        <v>1</v>
      </c>
      <c r="LI31" s="8">
        <v>1</v>
      </c>
      <c r="LJ31" s="8">
        <v>1</v>
      </c>
      <c r="LK31" s="8">
        <v>1</v>
      </c>
      <c r="LL31" s="41"/>
      <c r="LM31" s="41"/>
      <c r="LN31" s="8">
        <v>1</v>
      </c>
      <c r="LO31" s="8">
        <v>1</v>
      </c>
      <c r="LP31" s="8">
        <v>1</v>
      </c>
      <c r="LQ31" s="8">
        <v>1</v>
      </c>
      <c r="LR31" s="8">
        <v>1</v>
      </c>
      <c r="LS31" s="41"/>
      <c r="LT31" s="41"/>
      <c r="LU31" s="8">
        <v>1</v>
      </c>
      <c r="LV31" s="8">
        <v>1</v>
      </c>
      <c r="LW31" s="8">
        <v>1</v>
      </c>
      <c r="LX31" s="8">
        <v>1</v>
      </c>
      <c r="LY31" s="8">
        <v>1</v>
      </c>
      <c r="LZ31" s="41"/>
      <c r="MA31" s="41"/>
      <c r="MB31" s="8">
        <v>1</v>
      </c>
      <c r="MC31" s="8">
        <v>1</v>
      </c>
      <c r="MD31" s="8">
        <v>1</v>
      </c>
      <c r="ME31" s="8">
        <v>1</v>
      </c>
      <c r="MF31" s="8">
        <v>1</v>
      </c>
      <c r="MG31" s="41"/>
      <c r="MH31" s="41"/>
      <c r="MI31" s="8">
        <v>1</v>
      </c>
      <c r="MJ31" s="8">
        <v>1</v>
      </c>
      <c r="MK31" s="8">
        <v>1</v>
      </c>
      <c r="ML31" s="8">
        <v>1</v>
      </c>
      <c r="MM31" s="8">
        <v>1</v>
      </c>
      <c r="MN31" s="41"/>
      <c r="MO31" s="41"/>
      <c r="MP31" s="8">
        <v>1</v>
      </c>
      <c r="MQ31" s="8">
        <v>1</v>
      </c>
      <c r="MR31" s="8">
        <v>1</v>
      </c>
      <c r="MS31" s="8">
        <v>1</v>
      </c>
      <c r="MT31" s="8">
        <v>1</v>
      </c>
      <c r="MU31" s="41"/>
      <c r="MV31" s="41"/>
      <c r="MW31" s="8">
        <v>1</v>
      </c>
      <c r="MX31" s="8">
        <v>1</v>
      </c>
      <c r="MY31" s="8">
        <v>1</v>
      </c>
      <c r="MZ31" s="8">
        <v>1</v>
      </c>
      <c r="NA31" s="8">
        <v>1</v>
      </c>
      <c r="NB31" s="41"/>
      <c r="NC31" s="41"/>
      <c r="ND31" s="8">
        <v>1</v>
      </c>
      <c r="NE31" s="8">
        <v>1</v>
      </c>
      <c r="NF31" s="8">
        <v>1</v>
      </c>
      <c r="NG31" s="8">
        <v>1</v>
      </c>
      <c r="NH31" s="8">
        <v>1</v>
      </c>
      <c r="NI31" s="41"/>
      <c r="NJ31" s="41"/>
      <c r="NK31" s="8">
        <v>1</v>
      </c>
      <c r="NL31" s="8">
        <v>1</v>
      </c>
      <c r="NM31" s="8">
        <v>1</v>
      </c>
      <c r="NN31" s="8">
        <v>1</v>
      </c>
      <c r="NO31" s="8">
        <v>1</v>
      </c>
      <c r="NP31" s="40"/>
      <c r="NQ31" s="40"/>
      <c r="NR31" s="8">
        <v>1</v>
      </c>
      <c r="NS31" s="8">
        <v>1</v>
      </c>
      <c r="NT31" s="8">
        <v>1</v>
      </c>
      <c r="NU31" s="8">
        <v>1</v>
      </c>
      <c r="NV31" s="8">
        <v>1</v>
      </c>
      <c r="NW31" s="40"/>
      <c r="NX31" s="40"/>
      <c r="NY31" s="8">
        <v>0</v>
      </c>
      <c r="NZ31" s="8">
        <v>0</v>
      </c>
      <c r="OA31" s="8">
        <v>0</v>
      </c>
      <c r="OB31" s="8"/>
      <c r="OC31" s="8">
        <v>0</v>
      </c>
      <c r="OD31" s="41"/>
      <c r="OE31" s="41"/>
      <c r="OF31" s="8">
        <v>0</v>
      </c>
      <c r="OG31" s="8">
        <v>0</v>
      </c>
      <c r="OH31" s="8">
        <v>0</v>
      </c>
      <c r="OI31" s="32"/>
    </row>
    <row r="32" spans="1:451" s="31" customFormat="1" ht="21" x14ac:dyDescent="0.3">
      <c r="A32" s="61" t="s">
        <v>525</v>
      </c>
      <c r="B32" s="62" t="s">
        <v>433</v>
      </c>
      <c r="C32" s="45"/>
      <c r="D32" s="8">
        <v>1</v>
      </c>
      <c r="E32" s="8">
        <v>1</v>
      </c>
      <c r="F32" s="8">
        <v>1</v>
      </c>
      <c r="G32" s="8">
        <v>1</v>
      </c>
      <c r="H32" s="8">
        <v>1</v>
      </c>
      <c r="I32" s="46"/>
      <c r="J32" s="46"/>
      <c r="K32" s="8">
        <v>1</v>
      </c>
      <c r="L32" s="8">
        <v>1</v>
      </c>
      <c r="M32" s="8">
        <v>1</v>
      </c>
      <c r="N32" s="8">
        <v>1</v>
      </c>
      <c r="O32" s="8">
        <v>1</v>
      </c>
      <c r="P32" s="46"/>
      <c r="Q32" s="46"/>
      <c r="R32" s="8">
        <v>1</v>
      </c>
      <c r="S32" s="8">
        <v>1</v>
      </c>
      <c r="T32" s="8">
        <v>1</v>
      </c>
      <c r="U32" s="8">
        <v>1</v>
      </c>
      <c r="V32" s="8">
        <v>1</v>
      </c>
      <c r="W32" s="46"/>
      <c r="X32" s="46"/>
      <c r="Y32" s="8">
        <v>0</v>
      </c>
      <c r="Z32" s="8">
        <v>0</v>
      </c>
      <c r="AA32" s="8"/>
      <c r="AB32" s="8">
        <v>0</v>
      </c>
      <c r="AC32" s="8">
        <v>0</v>
      </c>
      <c r="AD32" s="46"/>
      <c r="AE32" s="46"/>
      <c r="AF32" s="8">
        <v>0</v>
      </c>
      <c r="AG32" s="8">
        <v>0</v>
      </c>
      <c r="AH32" s="38"/>
      <c r="AI32" s="8">
        <v>1</v>
      </c>
      <c r="AJ32" s="8">
        <v>1</v>
      </c>
      <c r="AK32" s="8"/>
      <c r="AL32" s="8"/>
      <c r="AM32" s="109">
        <v>1</v>
      </c>
      <c r="AN32" s="109">
        <v>1</v>
      </c>
      <c r="AO32" s="8">
        <v>1</v>
      </c>
      <c r="AP32" s="8">
        <v>1</v>
      </c>
      <c r="AQ32" s="8">
        <v>1</v>
      </c>
      <c r="AR32" s="39"/>
      <c r="AS32" s="39"/>
      <c r="AT32" s="8">
        <v>1</v>
      </c>
      <c r="AU32" s="8">
        <v>1</v>
      </c>
      <c r="AV32" s="8">
        <v>1</v>
      </c>
      <c r="AW32" s="8">
        <v>1</v>
      </c>
      <c r="AX32" s="8">
        <v>1</v>
      </c>
      <c r="AY32" s="39"/>
      <c r="AZ32" s="39"/>
      <c r="BA32" s="39">
        <v>1</v>
      </c>
      <c r="BB32" s="39">
        <v>1</v>
      </c>
      <c r="BC32" s="39">
        <v>1</v>
      </c>
      <c r="BD32" s="39">
        <v>1</v>
      </c>
      <c r="BE32" s="39">
        <v>1</v>
      </c>
      <c r="BF32" s="39"/>
      <c r="BG32" s="39"/>
      <c r="BH32" s="39">
        <v>1</v>
      </c>
      <c r="BI32" s="39">
        <v>1</v>
      </c>
      <c r="BJ32" s="39">
        <v>1</v>
      </c>
      <c r="BK32" s="39">
        <v>1</v>
      </c>
      <c r="BL32" s="39">
        <v>1</v>
      </c>
      <c r="BM32" s="40"/>
      <c r="BN32" s="40"/>
      <c r="BO32" s="8">
        <v>1</v>
      </c>
      <c r="BP32" s="8">
        <v>1</v>
      </c>
      <c r="BQ32" s="8">
        <v>1</v>
      </c>
      <c r="BR32" s="8">
        <v>1</v>
      </c>
      <c r="BS32" s="8">
        <v>1</v>
      </c>
      <c r="BT32" s="40"/>
      <c r="BU32" s="40"/>
      <c r="BV32" s="8">
        <v>1</v>
      </c>
      <c r="BW32" s="8">
        <v>1</v>
      </c>
      <c r="BX32" s="8">
        <v>1</v>
      </c>
      <c r="BY32" s="8">
        <v>1</v>
      </c>
      <c r="BZ32" s="8">
        <v>1</v>
      </c>
      <c r="CA32" s="40"/>
      <c r="CB32" s="40"/>
      <c r="CC32" s="8">
        <v>1</v>
      </c>
      <c r="CD32" s="8">
        <v>1</v>
      </c>
      <c r="CE32" s="8">
        <v>1</v>
      </c>
      <c r="CF32" s="8">
        <v>1</v>
      </c>
      <c r="CG32" s="8">
        <v>1</v>
      </c>
      <c r="CH32" s="40"/>
      <c r="CI32" s="40"/>
      <c r="CJ32" s="8">
        <v>1</v>
      </c>
      <c r="CK32" s="8">
        <v>1</v>
      </c>
      <c r="CL32" s="8">
        <v>1</v>
      </c>
      <c r="CM32" s="8">
        <v>1</v>
      </c>
      <c r="CN32" s="8">
        <v>1</v>
      </c>
      <c r="CO32" s="40"/>
      <c r="CP32" s="40"/>
      <c r="CQ32" s="8">
        <v>1</v>
      </c>
      <c r="CR32" s="8">
        <v>1</v>
      </c>
      <c r="CS32" s="8">
        <v>1</v>
      </c>
      <c r="CT32" s="8">
        <v>1</v>
      </c>
      <c r="CU32" s="8">
        <v>1</v>
      </c>
      <c r="CV32" s="40"/>
      <c r="CW32" s="40"/>
      <c r="CX32" s="8">
        <v>1</v>
      </c>
      <c r="CY32" s="8">
        <v>1</v>
      </c>
      <c r="CZ32" s="8">
        <v>1</v>
      </c>
      <c r="DA32" s="8">
        <v>1</v>
      </c>
      <c r="DB32" s="8">
        <v>1</v>
      </c>
      <c r="DC32" s="40"/>
      <c r="DD32" s="40"/>
      <c r="DE32" s="8">
        <v>1</v>
      </c>
      <c r="DF32" s="8">
        <v>1</v>
      </c>
      <c r="DG32" s="8">
        <v>1</v>
      </c>
      <c r="DH32" s="8">
        <v>1</v>
      </c>
      <c r="DI32" s="8">
        <v>1</v>
      </c>
      <c r="DJ32" s="40"/>
      <c r="DK32" s="40"/>
      <c r="DL32" s="8">
        <v>1</v>
      </c>
      <c r="DM32" s="8">
        <v>1</v>
      </c>
      <c r="DN32" s="8">
        <v>1</v>
      </c>
      <c r="DO32" s="8">
        <v>1</v>
      </c>
      <c r="DP32" s="8">
        <v>1</v>
      </c>
      <c r="DQ32" s="41"/>
      <c r="DR32" s="41"/>
      <c r="DS32" s="8">
        <v>1</v>
      </c>
      <c r="DT32" s="8">
        <v>1</v>
      </c>
      <c r="DU32" s="8">
        <v>1</v>
      </c>
      <c r="DV32" s="8">
        <v>1</v>
      </c>
      <c r="DW32" s="8">
        <v>1</v>
      </c>
      <c r="DX32" s="41"/>
      <c r="DY32" s="41"/>
      <c r="DZ32" s="8">
        <v>1</v>
      </c>
      <c r="EA32" s="8">
        <v>1</v>
      </c>
      <c r="EB32" s="8">
        <v>1</v>
      </c>
      <c r="EC32" s="8">
        <v>1</v>
      </c>
      <c r="ED32" s="8">
        <v>1</v>
      </c>
      <c r="EE32" s="41"/>
      <c r="EF32" s="41"/>
      <c r="EG32" s="8">
        <v>1</v>
      </c>
      <c r="EH32" s="8">
        <v>1</v>
      </c>
      <c r="EI32" s="8">
        <v>1</v>
      </c>
      <c r="EJ32" s="8">
        <v>1</v>
      </c>
      <c r="EK32" s="8">
        <v>1</v>
      </c>
      <c r="EL32" s="41"/>
      <c r="EM32" s="41"/>
      <c r="EN32" s="38"/>
      <c r="EO32" s="8">
        <v>1</v>
      </c>
      <c r="EP32" s="8">
        <v>1</v>
      </c>
      <c r="EQ32" s="8">
        <v>1</v>
      </c>
      <c r="ER32" s="8">
        <v>1</v>
      </c>
      <c r="ES32" s="41"/>
      <c r="ET32" s="41"/>
      <c r="EU32" s="8">
        <v>1</v>
      </c>
      <c r="EV32" s="8">
        <v>1</v>
      </c>
      <c r="EW32" s="8">
        <v>1</v>
      </c>
      <c r="EX32" s="38"/>
      <c r="EY32" s="8">
        <v>1</v>
      </c>
      <c r="EZ32" s="41"/>
      <c r="FA32" s="41"/>
      <c r="FB32" s="8">
        <v>1</v>
      </c>
      <c r="FC32" s="8">
        <v>1</v>
      </c>
      <c r="FD32" s="8">
        <v>1</v>
      </c>
      <c r="FE32" s="38"/>
      <c r="FF32" s="8">
        <v>1</v>
      </c>
      <c r="FG32" s="41"/>
      <c r="FH32" s="41"/>
      <c r="FI32" s="8">
        <v>1</v>
      </c>
      <c r="FJ32" s="8">
        <v>1</v>
      </c>
      <c r="FK32" s="8">
        <v>1</v>
      </c>
      <c r="FL32" s="8">
        <v>1</v>
      </c>
      <c r="FM32" s="8">
        <v>1</v>
      </c>
      <c r="FN32" s="41"/>
      <c r="FO32" s="41"/>
      <c r="FP32" s="8">
        <v>1</v>
      </c>
      <c r="FQ32" s="8">
        <v>1</v>
      </c>
      <c r="FR32" s="8">
        <v>1</v>
      </c>
      <c r="FS32" s="8">
        <v>1</v>
      </c>
      <c r="FT32" s="8">
        <v>1</v>
      </c>
      <c r="FU32" s="41"/>
      <c r="FV32" s="41"/>
      <c r="FW32" s="8">
        <v>1</v>
      </c>
      <c r="FX32" s="8">
        <v>1</v>
      </c>
      <c r="FY32" s="8">
        <v>1</v>
      </c>
      <c r="FZ32" s="38"/>
      <c r="GA32" s="8">
        <v>1</v>
      </c>
      <c r="GB32" s="41"/>
      <c r="GC32" s="41"/>
      <c r="GD32" s="8">
        <v>1</v>
      </c>
      <c r="GE32" s="8">
        <v>1</v>
      </c>
      <c r="GF32" s="8">
        <v>1</v>
      </c>
      <c r="GG32" s="8">
        <v>1</v>
      </c>
      <c r="GH32" s="8">
        <v>1</v>
      </c>
      <c r="GI32" s="41"/>
      <c r="GJ32" s="41"/>
      <c r="GK32" s="38"/>
      <c r="GL32" s="8">
        <v>1</v>
      </c>
      <c r="GM32" s="8">
        <v>1</v>
      </c>
      <c r="GN32" s="8">
        <v>1</v>
      </c>
      <c r="GO32" s="8">
        <v>1</v>
      </c>
      <c r="GP32" s="41"/>
      <c r="GQ32" s="41"/>
      <c r="GR32" s="8">
        <v>1</v>
      </c>
      <c r="GS32" s="8">
        <v>1</v>
      </c>
      <c r="GT32" s="8">
        <v>1</v>
      </c>
      <c r="GU32" s="8">
        <v>1</v>
      </c>
      <c r="GV32" s="8">
        <v>1</v>
      </c>
      <c r="GW32" s="41"/>
      <c r="GX32" s="41"/>
      <c r="GY32" s="8">
        <v>1</v>
      </c>
      <c r="GZ32" s="8">
        <v>1</v>
      </c>
      <c r="HA32" s="8">
        <v>1</v>
      </c>
      <c r="HB32" s="8">
        <v>1</v>
      </c>
      <c r="HC32" s="8">
        <v>1</v>
      </c>
      <c r="HD32" s="41"/>
      <c r="HE32" s="41"/>
      <c r="HF32" s="8">
        <v>1</v>
      </c>
      <c r="HG32" s="8">
        <v>1</v>
      </c>
      <c r="HH32" s="8">
        <v>1</v>
      </c>
      <c r="HI32" s="8">
        <v>1</v>
      </c>
      <c r="HJ32" s="8">
        <v>1</v>
      </c>
      <c r="HK32" s="41"/>
      <c r="HL32" s="41"/>
      <c r="HM32" s="8">
        <v>1</v>
      </c>
      <c r="HN32" s="8">
        <v>1</v>
      </c>
      <c r="HO32" s="8">
        <v>1</v>
      </c>
      <c r="HP32" s="8">
        <v>1</v>
      </c>
      <c r="HQ32" s="8">
        <v>1</v>
      </c>
      <c r="HR32" s="41"/>
      <c r="HS32" s="41"/>
      <c r="HT32" s="38"/>
      <c r="HU32" s="8">
        <v>1</v>
      </c>
      <c r="HV32" s="8">
        <v>1</v>
      </c>
      <c r="HW32" s="8">
        <v>1</v>
      </c>
      <c r="HX32" s="8">
        <v>1</v>
      </c>
      <c r="HY32" s="41"/>
      <c r="HZ32" s="41"/>
      <c r="IA32" s="8">
        <v>1</v>
      </c>
      <c r="IB32" s="8">
        <v>1</v>
      </c>
      <c r="IC32" s="8">
        <v>1</v>
      </c>
      <c r="ID32" s="8">
        <v>1</v>
      </c>
      <c r="IE32" s="8">
        <v>1</v>
      </c>
      <c r="IF32" s="41"/>
      <c r="IG32" s="41"/>
      <c r="IH32" s="8">
        <v>1</v>
      </c>
      <c r="II32" s="8">
        <v>1</v>
      </c>
      <c r="IJ32" s="8">
        <v>1</v>
      </c>
      <c r="IK32" s="8">
        <v>1</v>
      </c>
      <c r="IL32" s="8">
        <v>1</v>
      </c>
      <c r="IM32" s="41"/>
      <c r="IN32" s="41"/>
      <c r="IO32" s="8">
        <v>1</v>
      </c>
      <c r="IP32" s="8">
        <v>1</v>
      </c>
      <c r="IQ32" s="8">
        <v>1</v>
      </c>
      <c r="IR32" s="8">
        <v>1</v>
      </c>
      <c r="IS32" s="8">
        <v>1</v>
      </c>
      <c r="IT32" s="41"/>
      <c r="IU32" s="41"/>
      <c r="IV32" s="8">
        <v>1</v>
      </c>
      <c r="IW32" s="8">
        <v>1</v>
      </c>
      <c r="IX32" s="8">
        <v>1</v>
      </c>
      <c r="IY32" s="8">
        <v>1</v>
      </c>
      <c r="IZ32" s="38"/>
      <c r="JA32" s="41"/>
      <c r="JB32" s="41"/>
      <c r="JC32" s="8">
        <v>1</v>
      </c>
      <c r="JD32" s="8">
        <v>1</v>
      </c>
      <c r="JE32" s="8">
        <v>1</v>
      </c>
      <c r="JF32" s="8">
        <v>1</v>
      </c>
      <c r="JG32" s="8">
        <v>1</v>
      </c>
      <c r="JH32" s="41"/>
      <c r="JI32" s="41"/>
      <c r="JJ32" s="8">
        <v>1</v>
      </c>
      <c r="JK32" s="8">
        <v>1</v>
      </c>
      <c r="JL32" s="8">
        <v>1</v>
      </c>
      <c r="JM32" s="8">
        <v>1</v>
      </c>
      <c r="JN32" s="8">
        <v>1</v>
      </c>
      <c r="JO32" s="41"/>
      <c r="JP32" s="41"/>
      <c r="JQ32" s="8">
        <v>1</v>
      </c>
      <c r="JR32" s="8">
        <v>1</v>
      </c>
      <c r="JS32" s="8">
        <v>1</v>
      </c>
      <c r="JT32" s="8">
        <v>1</v>
      </c>
      <c r="JU32" s="8">
        <v>1</v>
      </c>
      <c r="JV32" s="41"/>
      <c r="JW32" s="41"/>
      <c r="JX32" s="8">
        <v>1</v>
      </c>
      <c r="JY32" s="8">
        <v>1</v>
      </c>
      <c r="JZ32" s="8">
        <v>1</v>
      </c>
      <c r="KA32" s="8">
        <v>1</v>
      </c>
      <c r="KB32" s="8">
        <v>1</v>
      </c>
      <c r="KC32" s="41"/>
      <c r="KD32" s="41"/>
      <c r="KE32" s="8">
        <v>1</v>
      </c>
      <c r="KF32" s="8">
        <v>1</v>
      </c>
      <c r="KG32" s="8">
        <v>1</v>
      </c>
      <c r="KH32" s="8">
        <v>1</v>
      </c>
      <c r="KI32" s="8">
        <v>1</v>
      </c>
      <c r="KJ32" s="41"/>
      <c r="KK32" s="41"/>
      <c r="KL32" s="8">
        <v>1</v>
      </c>
      <c r="KM32" s="8">
        <v>1</v>
      </c>
      <c r="KN32" s="8">
        <v>1</v>
      </c>
      <c r="KO32" s="8">
        <v>1</v>
      </c>
      <c r="KP32" s="8">
        <v>1</v>
      </c>
      <c r="KQ32" s="41"/>
      <c r="KR32" s="41"/>
      <c r="KS32" s="8">
        <v>1</v>
      </c>
      <c r="KT32" s="8">
        <v>1</v>
      </c>
      <c r="KU32" s="8">
        <v>1</v>
      </c>
      <c r="KV32" s="8">
        <v>1</v>
      </c>
      <c r="KW32" s="8">
        <v>1</v>
      </c>
      <c r="KX32" s="41"/>
      <c r="KY32" s="41"/>
      <c r="KZ32" s="8">
        <v>1</v>
      </c>
      <c r="LA32" s="8">
        <v>1</v>
      </c>
      <c r="LB32" s="8">
        <v>1</v>
      </c>
      <c r="LC32" s="8">
        <v>1</v>
      </c>
      <c r="LD32" s="8">
        <v>1</v>
      </c>
      <c r="LE32" s="41"/>
      <c r="LF32" s="41"/>
      <c r="LG32" s="8">
        <v>1</v>
      </c>
      <c r="LH32" s="8">
        <v>1</v>
      </c>
      <c r="LI32" s="8">
        <v>1</v>
      </c>
      <c r="LJ32" s="8">
        <v>1</v>
      </c>
      <c r="LK32" s="8">
        <v>1</v>
      </c>
      <c r="LL32" s="41"/>
      <c r="LM32" s="41"/>
      <c r="LN32" s="8">
        <v>1</v>
      </c>
      <c r="LO32" s="8">
        <v>1</v>
      </c>
      <c r="LP32" s="8">
        <v>1</v>
      </c>
      <c r="LQ32" s="8">
        <v>1</v>
      </c>
      <c r="LR32" s="8">
        <v>1</v>
      </c>
      <c r="LS32" s="41"/>
      <c r="LT32" s="41"/>
      <c r="LU32" s="8">
        <v>1</v>
      </c>
      <c r="LV32" s="8">
        <v>1</v>
      </c>
      <c r="LW32" s="8">
        <v>1</v>
      </c>
      <c r="LX32" s="8">
        <v>1</v>
      </c>
      <c r="LY32" s="8">
        <v>1</v>
      </c>
      <c r="LZ32" s="41"/>
      <c r="MA32" s="41"/>
      <c r="MB32" s="8">
        <v>1</v>
      </c>
      <c r="MC32" s="8">
        <v>1</v>
      </c>
      <c r="MD32" s="8">
        <v>1</v>
      </c>
      <c r="ME32" s="8">
        <v>1</v>
      </c>
      <c r="MF32" s="8">
        <v>1</v>
      </c>
      <c r="MG32" s="41"/>
      <c r="MH32" s="41"/>
      <c r="MI32" s="8">
        <v>1</v>
      </c>
      <c r="MJ32" s="8">
        <v>1</v>
      </c>
      <c r="MK32" s="8">
        <v>1</v>
      </c>
      <c r="ML32" s="8">
        <v>1</v>
      </c>
      <c r="MM32" s="8">
        <v>1</v>
      </c>
      <c r="MN32" s="41"/>
      <c r="MO32" s="41"/>
      <c r="MP32" s="8">
        <v>1</v>
      </c>
      <c r="MQ32" s="8">
        <v>1</v>
      </c>
      <c r="MR32" s="8">
        <v>1</v>
      </c>
      <c r="MS32" s="8">
        <v>1</v>
      </c>
      <c r="MT32" s="8">
        <v>1</v>
      </c>
      <c r="MU32" s="41"/>
      <c r="MV32" s="41"/>
      <c r="MW32" s="8">
        <v>1</v>
      </c>
      <c r="MX32" s="8">
        <v>1</v>
      </c>
      <c r="MY32" s="8">
        <v>1</v>
      </c>
      <c r="MZ32" s="8">
        <v>1</v>
      </c>
      <c r="NA32" s="8">
        <v>1</v>
      </c>
      <c r="NB32" s="41"/>
      <c r="NC32" s="41"/>
      <c r="ND32" s="8">
        <v>1</v>
      </c>
      <c r="NE32" s="8">
        <v>1</v>
      </c>
      <c r="NF32" s="8">
        <v>1</v>
      </c>
      <c r="NG32" s="8">
        <v>1</v>
      </c>
      <c r="NH32" s="8">
        <v>1</v>
      </c>
      <c r="NI32" s="41"/>
      <c r="NJ32" s="41"/>
      <c r="NK32" s="8">
        <v>1</v>
      </c>
      <c r="NL32" s="8">
        <v>1</v>
      </c>
      <c r="NM32" s="8">
        <v>1</v>
      </c>
      <c r="NN32" s="8">
        <v>1</v>
      </c>
      <c r="NO32" s="8">
        <v>1</v>
      </c>
      <c r="NP32" s="40"/>
      <c r="NQ32" s="40"/>
      <c r="NR32" s="8">
        <v>1</v>
      </c>
      <c r="NS32" s="8">
        <v>1</v>
      </c>
      <c r="NT32" s="8">
        <v>1</v>
      </c>
      <c r="NU32" s="8">
        <v>1</v>
      </c>
      <c r="NV32" s="8">
        <v>1</v>
      </c>
      <c r="NW32" s="40"/>
      <c r="NX32" s="40"/>
      <c r="NY32" s="8">
        <v>0</v>
      </c>
      <c r="NZ32" s="8">
        <v>0</v>
      </c>
      <c r="OA32" s="8">
        <v>0</v>
      </c>
      <c r="OB32" s="8"/>
      <c r="OC32" s="8">
        <v>0</v>
      </c>
      <c r="OD32" s="41"/>
      <c r="OE32" s="41"/>
      <c r="OF32" s="8">
        <v>0</v>
      </c>
      <c r="OG32" s="8">
        <v>0</v>
      </c>
      <c r="OH32" s="8">
        <v>0</v>
      </c>
      <c r="OI32" s="47"/>
    </row>
    <row r="33" spans="1:451" s="31" customFormat="1" ht="21" x14ac:dyDescent="0.3">
      <c r="A33" s="61" t="s">
        <v>526</v>
      </c>
      <c r="B33" s="62" t="s">
        <v>433</v>
      </c>
      <c r="C33" s="45"/>
      <c r="D33" s="8">
        <v>1</v>
      </c>
      <c r="E33" s="8">
        <v>1</v>
      </c>
      <c r="F33" s="8">
        <v>1</v>
      </c>
      <c r="G33" s="8">
        <v>1</v>
      </c>
      <c r="H33" s="8">
        <v>1</v>
      </c>
      <c r="I33" s="46"/>
      <c r="J33" s="46"/>
      <c r="K33" s="8">
        <v>1</v>
      </c>
      <c r="L33" s="8">
        <v>1</v>
      </c>
      <c r="M33" s="8">
        <v>1</v>
      </c>
      <c r="N33" s="8">
        <v>1</v>
      </c>
      <c r="O33" s="8">
        <v>1</v>
      </c>
      <c r="P33" s="46"/>
      <c r="Q33" s="46"/>
      <c r="R33" s="8">
        <v>1</v>
      </c>
      <c r="S33" s="8">
        <v>1</v>
      </c>
      <c r="T33" s="8">
        <v>1</v>
      </c>
      <c r="U33" s="8">
        <v>1</v>
      </c>
      <c r="V33" s="8">
        <v>1</v>
      </c>
      <c r="W33" s="46"/>
      <c r="X33" s="46"/>
      <c r="Y33" s="8">
        <v>0</v>
      </c>
      <c r="Z33" s="8">
        <v>0</v>
      </c>
      <c r="AA33" s="8"/>
      <c r="AB33" s="8">
        <v>1</v>
      </c>
      <c r="AC33" s="8">
        <v>1</v>
      </c>
      <c r="AD33" s="46"/>
      <c r="AE33" s="46"/>
      <c r="AF33" s="8">
        <v>1</v>
      </c>
      <c r="AG33" s="8">
        <v>1</v>
      </c>
      <c r="AH33" s="38"/>
      <c r="AI33" s="8">
        <v>1</v>
      </c>
      <c r="AJ33" s="8">
        <v>1</v>
      </c>
      <c r="AK33" s="8"/>
      <c r="AL33" s="8"/>
      <c r="AM33" s="109">
        <v>1</v>
      </c>
      <c r="AN33" s="109">
        <v>1</v>
      </c>
      <c r="AO33" s="8">
        <v>1</v>
      </c>
      <c r="AP33" s="8">
        <v>1</v>
      </c>
      <c r="AQ33" s="8">
        <v>1</v>
      </c>
      <c r="AR33" s="39"/>
      <c r="AS33" s="39"/>
      <c r="AT33" s="8">
        <v>1</v>
      </c>
      <c r="AU33" s="8">
        <v>1</v>
      </c>
      <c r="AV33" s="8">
        <v>0</v>
      </c>
      <c r="AW33" s="8">
        <v>0</v>
      </c>
      <c r="AX33" s="8">
        <v>0</v>
      </c>
      <c r="AY33" s="39"/>
      <c r="AZ33" s="39"/>
      <c r="BA33" s="39">
        <v>0</v>
      </c>
      <c r="BB33" s="39">
        <v>0</v>
      </c>
      <c r="BC33" s="39">
        <v>0</v>
      </c>
      <c r="BD33" s="39">
        <v>0</v>
      </c>
      <c r="BE33" s="39">
        <v>0</v>
      </c>
      <c r="BF33" s="39"/>
      <c r="BG33" s="39"/>
      <c r="BH33" s="39">
        <v>1</v>
      </c>
      <c r="BI33" s="39">
        <v>1</v>
      </c>
      <c r="BJ33" s="39">
        <v>1</v>
      </c>
      <c r="BK33" s="39">
        <v>1</v>
      </c>
      <c r="BL33" s="39">
        <v>1</v>
      </c>
      <c r="BM33" s="40"/>
      <c r="BN33" s="40"/>
      <c r="BO33" s="8">
        <v>1</v>
      </c>
      <c r="BP33" s="8">
        <v>1</v>
      </c>
      <c r="BQ33" s="8">
        <v>1</v>
      </c>
      <c r="BR33" s="8">
        <v>1</v>
      </c>
      <c r="BS33" s="8">
        <v>1</v>
      </c>
      <c r="BT33" s="40"/>
      <c r="BU33" s="40"/>
      <c r="BV33" s="8">
        <v>1</v>
      </c>
      <c r="BW33" s="8">
        <v>1</v>
      </c>
      <c r="BX33" s="8">
        <v>1</v>
      </c>
      <c r="BY33" s="8">
        <v>1</v>
      </c>
      <c r="BZ33" s="8">
        <v>1</v>
      </c>
      <c r="CA33" s="40"/>
      <c r="CB33" s="40"/>
      <c r="CC33" s="8">
        <v>1</v>
      </c>
      <c r="CD33" s="8">
        <v>1</v>
      </c>
      <c r="CE33" s="8">
        <v>1</v>
      </c>
      <c r="CF33" s="8">
        <v>1</v>
      </c>
      <c r="CG33" s="8">
        <v>1</v>
      </c>
      <c r="CH33" s="40"/>
      <c r="CI33" s="40"/>
      <c r="CJ33" s="8">
        <v>1</v>
      </c>
      <c r="CK33" s="8">
        <v>1</v>
      </c>
      <c r="CL33" s="8">
        <v>1</v>
      </c>
      <c r="CM33" s="8">
        <v>1</v>
      </c>
      <c r="CN33" s="8">
        <v>1</v>
      </c>
      <c r="CO33" s="40"/>
      <c r="CP33" s="40"/>
      <c r="CQ33" s="8">
        <v>1</v>
      </c>
      <c r="CR33" s="8">
        <v>1</v>
      </c>
      <c r="CS33" s="8">
        <v>1</v>
      </c>
      <c r="CT33" s="8">
        <v>1</v>
      </c>
      <c r="CU33" s="8">
        <v>1</v>
      </c>
      <c r="CV33" s="40"/>
      <c r="CW33" s="40"/>
      <c r="CX33" s="8">
        <v>1</v>
      </c>
      <c r="CY33" s="8">
        <v>1</v>
      </c>
      <c r="CZ33" s="8">
        <v>1</v>
      </c>
      <c r="DA33" s="8">
        <v>1</v>
      </c>
      <c r="DB33" s="8">
        <v>1</v>
      </c>
      <c r="DC33" s="40"/>
      <c r="DD33" s="40"/>
      <c r="DE33" s="8">
        <v>1</v>
      </c>
      <c r="DF33" s="8">
        <v>1</v>
      </c>
      <c r="DG33" s="8">
        <v>1</v>
      </c>
      <c r="DH33" s="8">
        <v>1</v>
      </c>
      <c r="DI33" s="8">
        <v>1</v>
      </c>
      <c r="DJ33" s="40"/>
      <c r="DK33" s="40"/>
      <c r="DL33" s="8">
        <v>1</v>
      </c>
      <c r="DM33" s="8">
        <v>1</v>
      </c>
      <c r="DN33" s="8">
        <v>1</v>
      </c>
      <c r="DO33" s="8">
        <v>1</v>
      </c>
      <c r="DP33" s="8">
        <v>1</v>
      </c>
      <c r="DQ33" s="41"/>
      <c r="DR33" s="41"/>
      <c r="DS33" s="8">
        <v>1</v>
      </c>
      <c r="DT33" s="8">
        <v>1</v>
      </c>
      <c r="DU33" s="8">
        <v>1</v>
      </c>
      <c r="DV33" s="8">
        <v>1</v>
      </c>
      <c r="DW33" s="8">
        <v>1</v>
      </c>
      <c r="DX33" s="41"/>
      <c r="DY33" s="41"/>
      <c r="DZ33" s="8">
        <v>1</v>
      </c>
      <c r="EA33" s="8">
        <v>1</v>
      </c>
      <c r="EB33" s="8">
        <v>1</v>
      </c>
      <c r="EC33" s="8">
        <v>1</v>
      </c>
      <c r="ED33" s="8">
        <v>1</v>
      </c>
      <c r="EE33" s="41"/>
      <c r="EF33" s="41"/>
      <c r="EG33" s="8">
        <v>1</v>
      </c>
      <c r="EH33" s="8">
        <v>1</v>
      </c>
      <c r="EI33" s="8">
        <v>1</v>
      </c>
      <c r="EJ33" s="8">
        <v>1</v>
      </c>
      <c r="EK33" s="8">
        <v>1</v>
      </c>
      <c r="EL33" s="41"/>
      <c r="EM33" s="41"/>
      <c r="EN33" s="38"/>
      <c r="EO33" s="8">
        <v>1</v>
      </c>
      <c r="EP33" s="8">
        <v>1</v>
      </c>
      <c r="EQ33" s="8">
        <v>1</v>
      </c>
      <c r="ER33" s="8">
        <v>1</v>
      </c>
      <c r="ES33" s="41"/>
      <c r="ET33" s="41"/>
      <c r="EU33" s="8">
        <v>1</v>
      </c>
      <c r="EV33" s="8">
        <v>1</v>
      </c>
      <c r="EW33" s="8">
        <v>1</v>
      </c>
      <c r="EX33" s="38"/>
      <c r="EY33" s="8">
        <v>1</v>
      </c>
      <c r="EZ33" s="41"/>
      <c r="FA33" s="41"/>
      <c r="FB33" s="8">
        <v>1</v>
      </c>
      <c r="FC33" s="8">
        <v>1</v>
      </c>
      <c r="FD33" s="8">
        <v>1</v>
      </c>
      <c r="FE33" s="38"/>
      <c r="FF33" s="8">
        <v>1</v>
      </c>
      <c r="FG33" s="41"/>
      <c r="FH33" s="41"/>
      <c r="FI33" s="8">
        <v>1</v>
      </c>
      <c r="FJ33" s="8">
        <v>1</v>
      </c>
      <c r="FK33" s="8">
        <v>1</v>
      </c>
      <c r="FL33" s="8">
        <v>1</v>
      </c>
      <c r="FM33" s="8">
        <v>1</v>
      </c>
      <c r="FN33" s="41"/>
      <c r="FO33" s="41"/>
      <c r="FP33" s="8">
        <v>1</v>
      </c>
      <c r="FQ33" s="8">
        <v>1</v>
      </c>
      <c r="FR33" s="8">
        <v>1</v>
      </c>
      <c r="FS33" s="8">
        <v>1</v>
      </c>
      <c r="FT33" s="8">
        <v>1</v>
      </c>
      <c r="FU33" s="41"/>
      <c r="FV33" s="41"/>
      <c r="FW33" s="8">
        <v>1</v>
      </c>
      <c r="FX33" s="8">
        <v>1</v>
      </c>
      <c r="FY33" s="8">
        <v>1</v>
      </c>
      <c r="FZ33" s="38"/>
      <c r="GA33" s="8">
        <v>1</v>
      </c>
      <c r="GB33" s="41"/>
      <c r="GC33" s="41"/>
      <c r="GD33" s="8">
        <v>1</v>
      </c>
      <c r="GE33" s="8">
        <v>1</v>
      </c>
      <c r="GF33" s="8">
        <v>1</v>
      </c>
      <c r="GG33" s="8">
        <v>1</v>
      </c>
      <c r="GH33" s="8">
        <v>1</v>
      </c>
      <c r="GI33" s="41"/>
      <c r="GJ33" s="41"/>
      <c r="GK33" s="38"/>
      <c r="GL33" s="8">
        <v>1</v>
      </c>
      <c r="GM33" s="8">
        <v>1</v>
      </c>
      <c r="GN33" s="8">
        <v>1</v>
      </c>
      <c r="GO33" s="8">
        <v>1</v>
      </c>
      <c r="GP33" s="41"/>
      <c r="GQ33" s="41"/>
      <c r="GR33" s="8">
        <v>1</v>
      </c>
      <c r="GS33" s="8">
        <v>1</v>
      </c>
      <c r="GT33" s="8">
        <v>1</v>
      </c>
      <c r="GU33" s="8">
        <v>1</v>
      </c>
      <c r="GV33" s="8">
        <v>1</v>
      </c>
      <c r="GW33" s="41"/>
      <c r="GX33" s="41"/>
      <c r="GY33" s="8">
        <v>1</v>
      </c>
      <c r="GZ33" s="8">
        <v>1</v>
      </c>
      <c r="HA33" s="8">
        <v>1</v>
      </c>
      <c r="HB33" s="8">
        <v>1</v>
      </c>
      <c r="HC33" s="8">
        <v>1</v>
      </c>
      <c r="HD33" s="41"/>
      <c r="HE33" s="41"/>
      <c r="HF33" s="8">
        <v>1</v>
      </c>
      <c r="HG33" s="8">
        <v>1</v>
      </c>
      <c r="HH33" s="8">
        <v>1</v>
      </c>
      <c r="HI33" s="8">
        <v>1</v>
      </c>
      <c r="HJ33" s="8">
        <v>1</v>
      </c>
      <c r="HK33" s="41"/>
      <c r="HL33" s="41"/>
      <c r="HM33" s="8">
        <v>1</v>
      </c>
      <c r="HN33" s="8">
        <v>1</v>
      </c>
      <c r="HO33" s="8">
        <v>1</v>
      </c>
      <c r="HP33" s="8">
        <v>1</v>
      </c>
      <c r="HQ33" s="8">
        <v>1</v>
      </c>
      <c r="HR33" s="41"/>
      <c r="HS33" s="41"/>
      <c r="HT33" s="38"/>
      <c r="HU33" s="8">
        <v>1</v>
      </c>
      <c r="HV33" s="8">
        <v>1</v>
      </c>
      <c r="HW33" s="8">
        <v>1</v>
      </c>
      <c r="HX33" s="8">
        <v>1</v>
      </c>
      <c r="HY33" s="41"/>
      <c r="HZ33" s="41"/>
      <c r="IA33" s="8">
        <v>1</v>
      </c>
      <c r="IB33" s="8">
        <v>1</v>
      </c>
      <c r="IC33" s="8">
        <v>1</v>
      </c>
      <c r="ID33" s="8">
        <v>1</v>
      </c>
      <c r="IE33" s="8">
        <v>1</v>
      </c>
      <c r="IF33" s="41"/>
      <c r="IG33" s="41"/>
      <c r="IH33" s="8">
        <v>1</v>
      </c>
      <c r="II33" s="8">
        <v>1</v>
      </c>
      <c r="IJ33" s="8">
        <v>1</v>
      </c>
      <c r="IK33" s="8">
        <v>1</v>
      </c>
      <c r="IL33" s="8">
        <v>1</v>
      </c>
      <c r="IM33" s="41"/>
      <c r="IN33" s="41"/>
      <c r="IO33" s="8">
        <v>1</v>
      </c>
      <c r="IP33" s="8">
        <v>1</v>
      </c>
      <c r="IQ33" s="8">
        <v>1</v>
      </c>
      <c r="IR33" s="8">
        <v>1</v>
      </c>
      <c r="IS33" s="8">
        <v>1</v>
      </c>
      <c r="IT33" s="41"/>
      <c r="IU33" s="41"/>
      <c r="IV33" s="8">
        <v>1</v>
      </c>
      <c r="IW33" s="8">
        <v>1</v>
      </c>
      <c r="IX33" s="8">
        <v>1</v>
      </c>
      <c r="IY33" s="8">
        <v>1</v>
      </c>
      <c r="IZ33" s="38"/>
      <c r="JA33" s="41"/>
      <c r="JB33" s="41"/>
      <c r="JC33" s="8">
        <v>1</v>
      </c>
      <c r="JD33" s="8">
        <v>1</v>
      </c>
      <c r="JE33" s="8">
        <v>1</v>
      </c>
      <c r="JF33" s="8">
        <v>1</v>
      </c>
      <c r="JG33" s="8">
        <v>1</v>
      </c>
      <c r="JH33" s="41"/>
      <c r="JI33" s="41"/>
      <c r="JJ33" s="8">
        <v>1</v>
      </c>
      <c r="JK33" s="8">
        <v>1</v>
      </c>
      <c r="JL33" s="8">
        <v>1</v>
      </c>
      <c r="JM33" s="8">
        <v>1</v>
      </c>
      <c r="JN33" s="8">
        <v>1</v>
      </c>
      <c r="JO33" s="41"/>
      <c r="JP33" s="41"/>
      <c r="JQ33" s="8">
        <v>1</v>
      </c>
      <c r="JR33" s="8">
        <v>1</v>
      </c>
      <c r="JS33" s="8">
        <v>1</v>
      </c>
      <c r="JT33" s="8">
        <v>1</v>
      </c>
      <c r="JU33" s="8">
        <v>1</v>
      </c>
      <c r="JV33" s="41"/>
      <c r="JW33" s="41"/>
      <c r="JX33" s="8">
        <v>1</v>
      </c>
      <c r="JY33" s="8">
        <v>1</v>
      </c>
      <c r="JZ33" s="8">
        <v>1</v>
      </c>
      <c r="KA33" s="8">
        <v>1</v>
      </c>
      <c r="KB33" s="8">
        <v>1</v>
      </c>
      <c r="KC33" s="41"/>
      <c r="KD33" s="41"/>
      <c r="KE33" s="8">
        <v>1</v>
      </c>
      <c r="KF33" s="8">
        <v>1</v>
      </c>
      <c r="KG33" s="8">
        <v>1</v>
      </c>
      <c r="KH33" s="8">
        <v>1</v>
      </c>
      <c r="KI33" s="8">
        <v>1</v>
      </c>
      <c r="KJ33" s="41"/>
      <c r="KK33" s="41"/>
      <c r="KL33" s="8">
        <v>1</v>
      </c>
      <c r="KM33" s="8">
        <v>1</v>
      </c>
      <c r="KN33" s="8">
        <v>1</v>
      </c>
      <c r="KO33" s="8">
        <v>1</v>
      </c>
      <c r="KP33" s="8">
        <v>1</v>
      </c>
      <c r="KQ33" s="41"/>
      <c r="KR33" s="41"/>
      <c r="KS33" s="8">
        <v>1</v>
      </c>
      <c r="KT33" s="8">
        <v>1</v>
      </c>
      <c r="KU33" s="8">
        <v>1</v>
      </c>
      <c r="KV33" s="8">
        <v>1</v>
      </c>
      <c r="KW33" s="8">
        <v>1</v>
      </c>
      <c r="KX33" s="41"/>
      <c r="KY33" s="41"/>
      <c r="KZ33" s="8">
        <v>1</v>
      </c>
      <c r="LA33" s="8">
        <v>1</v>
      </c>
      <c r="LB33" s="8">
        <v>1</v>
      </c>
      <c r="LC33" s="8">
        <v>1</v>
      </c>
      <c r="LD33" s="8">
        <v>1</v>
      </c>
      <c r="LE33" s="41"/>
      <c r="LF33" s="41"/>
      <c r="LG33" s="8">
        <v>1</v>
      </c>
      <c r="LH33" s="8">
        <v>1</v>
      </c>
      <c r="LI33" s="8">
        <v>1</v>
      </c>
      <c r="LJ33" s="8">
        <v>1</v>
      </c>
      <c r="LK33" s="8">
        <v>1</v>
      </c>
      <c r="LL33" s="41"/>
      <c r="LM33" s="41"/>
      <c r="LN33" s="8">
        <v>1</v>
      </c>
      <c r="LO33" s="8">
        <v>1</v>
      </c>
      <c r="LP33" s="8">
        <v>1</v>
      </c>
      <c r="LQ33" s="8">
        <v>1</v>
      </c>
      <c r="LR33" s="8">
        <v>1</v>
      </c>
      <c r="LS33" s="41"/>
      <c r="LT33" s="41"/>
      <c r="LU33" s="8">
        <v>1</v>
      </c>
      <c r="LV33" s="8">
        <v>1</v>
      </c>
      <c r="LW33" s="8">
        <v>1</v>
      </c>
      <c r="LX33" s="8">
        <v>1</v>
      </c>
      <c r="LY33" s="8">
        <v>1</v>
      </c>
      <c r="LZ33" s="41"/>
      <c r="MA33" s="41"/>
      <c r="MB33" s="8">
        <v>1</v>
      </c>
      <c r="MC33" s="8">
        <v>1</v>
      </c>
      <c r="MD33" s="8">
        <v>1</v>
      </c>
      <c r="ME33" s="8">
        <v>1</v>
      </c>
      <c r="MF33" s="8">
        <v>1</v>
      </c>
      <c r="MG33" s="41"/>
      <c r="MH33" s="41"/>
      <c r="MI33" s="8">
        <v>1</v>
      </c>
      <c r="MJ33" s="8">
        <v>1</v>
      </c>
      <c r="MK33" s="8">
        <v>1</v>
      </c>
      <c r="ML33" s="8">
        <v>1</v>
      </c>
      <c r="MM33" s="8">
        <v>1</v>
      </c>
      <c r="MN33" s="41"/>
      <c r="MO33" s="41"/>
      <c r="MP33" s="8">
        <v>1</v>
      </c>
      <c r="MQ33" s="8">
        <v>1</v>
      </c>
      <c r="MR33" s="8">
        <v>1</v>
      </c>
      <c r="MS33" s="8">
        <v>1</v>
      </c>
      <c r="MT33" s="8">
        <v>1</v>
      </c>
      <c r="MU33" s="41"/>
      <c r="MV33" s="41"/>
      <c r="MW33" s="8">
        <v>1</v>
      </c>
      <c r="MX33" s="8">
        <v>1</v>
      </c>
      <c r="MY33" s="8">
        <v>1</v>
      </c>
      <c r="MZ33" s="8">
        <v>1</v>
      </c>
      <c r="NA33" s="8">
        <v>1</v>
      </c>
      <c r="NB33" s="41"/>
      <c r="NC33" s="41"/>
      <c r="ND33" s="8">
        <v>1</v>
      </c>
      <c r="NE33" s="8">
        <v>1</v>
      </c>
      <c r="NF33" s="8">
        <v>1</v>
      </c>
      <c r="NG33" s="8">
        <v>1</v>
      </c>
      <c r="NH33" s="8">
        <v>1</v>
      </c>
      <c r="NI33" s="41"/>
      <c r="NJ33" s="41"/>
      <c r="NK33" s="8">
        <v>1</v>
      </c>
      <c r="NL33" s="8">
        <v>1</v>
      </c>
      <c r="NM33" s="8">
        <v>1</v>
      </c>
      <c r="NN33" s="8">
        <v>1</v>
      </c>
      <c r="NO33" s="8">
        <v>1</v>
      </c>
      <c r="NP33" s="40"/>
      <c r="NQ33" s="40"/>
      <c r="NR33" s="8">
        <v>1</v>
      </c>
      <c r="NS33" s="8">
        <v>1</v>
      </c>
      <c r="NT33" s="8">
        <v>1</v>
      </c>
      <c r="NU33" s="8">
        <v>1</v>
      </c>
      <c r="NV33" s="8">
        <v>1</v>
      </c>
      <c r="NW33" s="40"/>
      <c r="NX33" s="40"/>
      <c r="NY33" s="8">
        <v>1</v>
      </c>
      <c r="NZ33" s="8">
        <v>0</v>
      </c>
      <c r="OA33" s="8">
        <v>0</v>
      </c>
      <c r="OB33" s="8"/>
      <c r="OC33" s="8">
        <v>1</v>
      </c>
      <c r="OD33" s="41"/>
      <c r="OE33" s="41"/>
      <c r="OF33" s="8">
        <v>1</v>
      </c>
      <c r="OG33" s="8">
        <v>1</v>
      </c>
      <c r="OH33" s="8">
        <v>1</v>
      </c>
      <c r="OI33" s="47"/>
    </row>
    <row r="34" spans="1:451" s="31" customFormat="1" ht="21" x14ac:dyDescent="0.3">
      <c r="A34" s="61" t="s">
        <v>527</v>
      </c>
      <c r="B34" s="62" t="s">
        <v>433</v>
      </c>
      <c r="C34" s="45"/>
      <c r="D34" s="8">
        <v>1</v>
      </c>
      <c r="E34" s="8">
        <v>1</v>
      </c>
      <c r="F34" s="8">
        <v>1</v>
      </c>
      <c r="G34" s="8">
        <v>1</v>
      </c>
      <c r="H34" s="8">
        <v>1</v>
      </c>
      <c r="I34" s="46"/>
      <c r="J34" s="46"/>
      <c r="K34" s="8">
        <v>1</v>
      </c>
      <c r="L34" s="8">
        <v>1</v>
      </c>
      <c r="M34" s="8">
        <v>1</v>
      </c>
      <c r="N34" s="8">
        <v>1</v>
      </c>
      <c r="O34" s="8">
        <v>1</v>
      </c>
      <c r="P34" s="46"/>
      <c r="Q34" s="46"/>
      <c r="R34" s="8">
        <v>1</v>
      </c>
      <c r="S34" s="8">
        <v>1</v>
      </c>
      <c r="T34" s="8">
        <v>1</v>
      </c>
      <c r="U34" s="8">
        <v>0</v>
      </c>
      <c r="V34" s="8">
        <v>0</v>
      </c>
      <c r="W34" s="46"/>
      <c r="X34" s="46"/>
      <c r="Y34" s="8">
        <v>0</v>
      </c>
      <c r="Z34" s="8">
        <v>0</v>
      </c>
      <c r="AA34" s="8"/>
      <c r="AB34" s="8">
        <v>0</v>
      </c>
      <c r="AC34" s="8">
        <v>0</v>
      </c>
      <c r="AD34" s="46"/>
      <c r="AE34" s="46"/>
      <c r="AF34" s="8">
        <v>1</v>
      </c>
      <c r="AG34" s="8">
        <v>1</v>
      </c>
      <c r="AH34" s="38"/>
      <c r="AI34" s="8">
        <v>1</v>
      </c>
      <c r="AJ34" s="8">
        <v>1</v>
      </c>
      <c r="AK34" s="8"/>
      <c r="AL34" s="8"/>
      <c r="AM34" s="109">
        <v>1</v>
      </c>
      <c r="AN34" s="109">
        <v>1</v>
      </c>
      <c r="AO34" s="8">
        <v>1</v>
      </c>
      <c r="AP34" s="8">
        <v>1</v>
      </c>
      <c r="AQ34" s="8">
        <v>1</v>
      </c>
      <c r="AR34" s="39"/>
      <c r="AS34" s="39"/>
      <c r="AT34" s="8">
        <v>1</v>
      </c>
      <c r="AU34" s="8">
        <v>1</v>
      </c>
      <c r="AV34" s="8">
        <v>1</v>
      </c>
      <c r="AW34" s="8">
        <v>1</v>
      </c>
      <c r="AX34" s="8">
        <v>1</v>
      </c>
      <c r="AY34" s="39"/>
      <c r="AZ34" s="39"/>
      <c r="BA34" s="39">
        <v>1</v>
      </c>
      <c r="BB34" s="39">
        <v>1</v>
      </c>
      <c r="BC34" s="39">
        <v>1</v>
      </c>
      <c r="BD34" s="39">
        <v>1</v>
      </c>
      <c r="BE34" s="39">
        <v>1</v>
      </c>
      <c r="BF34" s="39"/>
      <c r="BG34" s="39"/>
      <c r="BH34" s="39">
        <v>1</v>
      </c>
      <c r="BI34" s="39">
        <v>1</v>
      </c>
      <c r="BJ34" s="39">
        <v>1</v>
      </c>
      <c r="BK34" s="39">
        <v>1</v>
      </c>
      <c r="BL34" s="39">
        <v>1</v>
      </c>
      <c r="BM34" s="40"/>
      <c r="BN34" s="40"/>
      <c r="BO34" s="8">
        <v>0</v>
      </c>
      <c r="BP34" s="8">
        <v>0</v>
      </c>
      <c r="BQ34" s="8">
        <v>0</v>
      </c>
      <c r="BR34" s="8">
        <v>0</v>
      </c>
      <c r="BS34" s="8">
        <v>0</v>
      </c>
      <c r="BT34" s="40"/>
      <c r="BU34" s="40"/>
      <c r="BV34" s="8">
        <v>1</v>
      </c>
      <c r="BW34" s="8">
        <v>1</v>
      </c>
      <c r="BX34" s="8">
        <v>1</v>
      </c>
      <c r="BY34" s="8">
        <v>1</v>
      </c>
      <c r="BZ34" s="8">
        <v>1</v>
      </c>
      <c r="CA34" s="40"/>
      <c r="CB34" s="40"/>
      <c r="CC34" s="8">
        <v>1</v>
      </c>
      <c r="CD34" s="8">
        <v>1</v>
      </c>
      <c r="CE34" s="8">
        <v>1</v>
      </c>
      <c r="CF34" s="8">
        <v>1</v>
      </c>
      <c r="CG34" s="8">
        <v>1</v>
      </c>
      <c r="CH34" s="40"/>
      <c r="CI34" s="40"/>
      <c r="CJ34" s="8">
        <v>1</v>
      </c>
      <c r="CK34" s="8">
        <v>1</v>
      </c>
      <c r="CL34" s="8">
        <v>1</v>
      </c>
      <c r="CM34" s="8">
        <v>1</v>
      </c>
      <c r="CN34" s="8">
        <v>1</v>
      </c>
      <c r="CO34" s="40"/>
      <c r="CP34" s="40"/>
      <c r="CQ34" s="8">
        <v>1</v>
      </c>
      <c r="CR34" s="8">
        <v>1</v>
      </c>
      <c r="CS34" s="8">
        <v>1</v>
      </c>
      <c r="CT34" s="8">
        <v>1</v>
      </c>
      <c r="CU34" s="8">
        <v>1</v>
      </c>
      <c r="CV34" s="40"/>
      <c r="CW34" s="40"/>
      <c r="CX34" s="8">
        <v>1</v>
      </c>
      <c r="CY34" s="8">
        <v>1</v>
      </c>
      <c r="CZ34" s="8">
        <v>1</v>
      </c>
      <c r="DA34" s="8">
        <v>1</v>
      </c>
      <c r="DB34" s="8">
        <v>1</v>
      </c>
      <c r="DC34" s="40"/>
      <c r="DD34" s="40"/>
      <c r="DE34" s="8">
        <v>1</v>
      </c>
      <c r="DF34" s="8">
        <v>1</v>
      </c>
      <c r="DG34" s="8">
        <v>1</v>
      </c>
      <c r="DH34" s="8">
        <v>1</v>
      </c>
      <c r="DI34" s="8">
        <v>1</v>
      </c>
      <c r="DJ34" s="40"/>
      <c r="DK34" s="40"/>
      <c r="DL34" s="8">
        <v>1</v>
      </c>
      <c r="DM34" s="8">
        <v>1</v>
      </c>
      <c r="DN34" s="8">
        <v>1</v>
      </c>
      <c r="DO34" s="8">
        <v>1</v>
      </c>
      <c r="DP34" s="8">
        <v>1</v>
      </c>
      <c r="DQ34" s="41"/>
      <c r="DR34" s="41"/>
      <c r="DS34" s="8">
        <v>1</v>
      </c>
      <c r="DT34" s="8">
        <v>1</v>
      </c>
      <c r="DU34" s="8">
        <v>1</v>
      </c>
      <c r="DV34" s="8">
        <v>1</v>
      </c>
      <c r="DW34" s="8">
        <v>1</v>
      </c>
      <c r="DX34" s="41"/>
      <c r="DY34" s="41"/>
      <c r="DZ34" s="8">
        <v>1</v>
      </c>
      <c r="EA34" s="8">
        <v>1</v>
      </c>
      <c r="EB34" s="8">
        <v>1</v>
      </c>
      <c r="EC34" s="8">
        <v>1</v>
      </c>
      <c r="ED34" s="8">
        <v>1</v>
      </c>
      <c r="EE34" s="41"/>
      <c r="EF34" s="41"/>
      <c r="EG34" s="8">
        <v>1</v>
      </c>
      <c r="EH34" s="8">
        <v>1</v>
      </c>
      <c r="EI34" s="8">
        <v>1</v>
      </c>
      <c r="EJ34" s="8">
        <v>1</v>
      </c>
      <c r="EK34" s="8">
        <v>1</v>
      </c>
      <c r="EL34" s="41"/>
      <c r="EM34" s="41"/>
      <c r="EN34" s="38"/>
      <c r="EO34" s="8">
        <v>1</v>
      </c>
      <c r="EP34" s="8">
        <v>1</v>
      </c>
      <c r="EQ34" s="8">
        <v>1</v>
      </c>
      <c r="ER34" s="8">
        <v>1</v>
      </c>
      <c r="ES34" s="41"/>
      <c r="ET34" s="41"/>
      <c r="EU34" s="8">
        <v>1</v>
      </c>
      <c r="EV34" s="8">
        <v>1</v>
      </c>
      <c r="EW34" s="8">
        <v>1</v>
      </c>
      <c r="EX34" s="38"/>
      <c r="EY34" s="8">
        <v>1</v>
      </c>
      <c r="EZ34" s="41"/>
      <c r="FA34" s="41"/>
      <c r="FB34" s="8">
        <v>1</v>
      </c>
      <c r="FC34" s="8">
        <v>1</v>
      </c>
      <c r="FD34" s="8">
        <v>1</v>
      </c>
      <c r="FE34" s="38"/>
      <c r="FF34" s="8">
        <v>1</v>
      </c>
      <c r="FG34" s="41"/>
      <c r="FH34" s="41"/>
      <c r="FI34" s="8">
        <v>1</v>
      </c>
      <c r="FJ34" s="8">
        <v>1</v>
      </c>
      <c r="FK34" s="8">
        <v>1</v>
      </c>
      <c r="FL34" s="8">
        <v>1</v>
      </c>
      <c r="FM34" s="8">
        <v>1</v>
      </c>
      <c r="FN34" s="41"/>
      <c r="FO34" s="41"/>
      <c r="FP34" s="8">
        <v>1</v>
      </c>
      <c r="FQ34" s="8">
        <v>1</v>
      </c>
      <c r="FR34" s="8">
        <v>1</v>
      </c>
      <c r="FS34" s="8">
        <v>1</v>
      </c>
      <c r="FT34" s="8">
        <v>1</v>
      </c>
      <c r="FU34" s="41"/>
      <c r="FV34" s="41"/>
      <c r="FW34" s="8">
        <v>1</v>
      </c>
      <c r="FX34" s="8">
        <v>1</v>
      </c>
      <c r="FY34" s="8">
        <v>1</v>
      </c>
      <c r="FZ34" s="38"/>
      <c r="GA34" s="8">
        <v>1</v>
      </c>
      <c r="GB34" s="41"/>
      <c r="GC34" s="41"/>
      <c r="GD34" s="8">
        <v>1</v>
      </c>
      <c r="GE34" s="8">
        <v>1</v>
      </c>
      <c r="GF34" s="8">
        <v>1</v>
      </c>
      <c r="GG34" s="8">
        <v>1</v>
      </c>
      <c r="GH34" s="8">
        <v>1</v>
      </c>
      <c r="GI34" s="41"/>
      <c r="GJ34" s="41"/>
      <c r="GK34" s="38"/>
      <c r="GL34" s="8">
        <v>1</v>
      </c>
      <c r="GM34" s="8">
        <v>1</v>
      </c>
      <c r="GN34" s="8">
        <v>1</v>
      </c>
      <c r="GO34" s="8">
        <v>1</v>
      </c>
      <c r="GP34" s="41"/>
      <c r="GQ34" s="41"/>
      <c r="GR34" s="8">
        <v>1</v>
      </c>
      <c r="GS34" s="8">
        <v>1</v>
      </c>
      <c r="GT34" s="8">
        <v>1</v>
      </c>
      <c r="GU34" s="8">
        <v>1</v>
      </c>
      <c r="GV34" s="8">
        <v>1</v>
      </c>
      <c r="GW34" s="41"/>
      <c r="GX34" s="41"/>
      <c r="GY34" s="8">
        <v>1</v>
      </c>
      <c r="GZ34" s="8">
        <v>1</v>
      </c>
      <c r="HA34" s="8">
        <v>1</v>
      </c>
      <c r="HB34" s="8">
        <v>1</v>
      </c>
      <c r="HC34" s="8">
        <v>1</v>
      </c>
      <c r="HD34" s="41"/>
      <c r="HE34" s="41"/>
      <c r="HF34" s="8">
        <v>1</v>
      </c>
      <c r="HG34" s="8">
        <v>1</v>
      </c>
      <c r="HH34" s="8">
        <v>1</v>
      </c>
      <c r="HI34" s="8">
        <v>1</v>
      </c>
      <c r="HJ34" s="8">
        <v>1</v>
      </c>
      <c r="HK34" s="41"/>
      <c r="HL34" s="41"/>
      <c r="HM34" s="8">
        <v>1</v>
      </c>
      <c r="HN34" s="8">
        <v>1</v>
      </c>
      <c r="HO34" s="8">
        <v>1</v>
      </c>
      <c r="HP34" s="8">
        <v>1</v>
      </c>
      <c r="HQ34" s="8">
        <v>1</v>
      </c>
      <c r="HR34" s="41"/>
      <c r="HS34" s="41"/>
      <c r="HT34" s="38"/>
      <c r="HU34" s="8">
        <v>1</v>
      </c>
      <c r="HV34" s="8">
        <v>1</v>
      </c>
      <c r="HW34" s="8">
        <v>1</v>
      </c>
      <c r="HX34" s="8">
        <v>1</v>
      </c>
      <c r="HY34" s="41"/>
      <c r="HZ34" s="41"/>
      <c r="IA34" s="8">
        <v>1</v>
      </c>
      <c r="IB34" s="8">
        <v>1</v>
      </c>
      <c r="IC34" s="8">
        <v>1</v>
      </c>
      <c r="ID34" s="8">
        <v>1</v>
      </c>
      <c r="IE34" s="8">
        <v>1</v>
      </c>
      <c r="IF34" s="41"/>
      <c r="IG34" s="41"/>
      <c r="IH34" s="8">
        <v>1</v>
      </c>
      <c r="II34" s="8">
        <v>1</v>
      </c>
      <c r="IJ34" s="8">
        <v>1</v>
      </c>
      <c r="IK34" s="8">
        <v>1</v>
      </c>
      <c r="IL34" s="8">
        <v>1</v>
      </c>
      <c r="IM34" s="41"/>
      <c r="IN34" s="41"/>
      <c r="IO34" s="8">
        <v>1</v>
      </c>
      <c r="IP34" s="8">
        <v>1</v>
      </c>
      <c r="IQ34" s="8">
        <v>1</v>
      </c>
      <c r="IR34" s="8">
        <v>1</v>
      </c>
      <c r="IS34" s="8">
        <v>1</v>
      </c>
      <c r="IT34" s="41"/>
      <c r="IU34" s="41"/>
      <c r="IV34" s="8">
        <v>1</v>
      </c>
      <c r="IW34" s="8">
        <v>1</v>
      </c>
      <c r="IX34" s="8">
        <v>1</v>
      </c>
      <c r="IY34" s="8">
        <v>1</v>
      </c>
      <c r="IZ34" s="38"/>
      <c r="JA34" s="41"/>
      <c r="JB34" s="41"/>
      <c r="JC34" s="8">
        <v>1</v>
      </c>
      <c r="JD34" s="8">
        <v>1</v>
      </c>
      <c r="JE34" s="8">
        <v>1</v>
      </c>
      <c r="JF34" s="8">
        <v>1</v>
      </c>
      <c r="JG34" s="8">
        <v>1</v>
      </c>
      <c r="JH34" s="41"/>
      <c r="JI34" s="41"/>
      <c r="JJ34" s="8">
        <v>1</v>
      </c>
      <c r="JK34" s="8">
        <v>1</v>
      </c>
      <c r="JL34" s="8">
        <v>1</v>
      </c>
      <c r="JM34" s="8">
        <v>1</v>
      </c>
      <c r="JN34" s="8">
        <v>1</v>
      </c>
      <c r="JO34" s="41"/>
      <c r="JP34" s="41"/>
      <c r="JQ34" s="8">
        <v>1</v>
      </c>
      <c r="JR34" s="8">
        <v>1</v>
      </c>
      <c r="JS34" s="8">
        <v>1</v>
      </c>
      <c r="JT34" s="8">
        <v>1</v>
      </c>
      <c r="JU34" s="8">
        <v>1</v>
      </c>
      <c r="JV34" s="41"/>
      <c r="JW34" s="41"/>
      <c r="JX34" s="8">
        <v>1</v>
      </c>
      <c r="JY34" s="8">
        <v>1</v>
      </c>
      <c r="JZ34" s="8">
        <v>1</v>
      </c>
      <c r="KA34" s="8">
        <v>1</v>
      </c>
      <c r="KB34" s="8">
        <v>1</v>
      </c>
      <c r="KC34" s="41"/>
      <c r="KD34" s="41"/>
      <c r="KE34" s="8">
        <v>1</v>
      </c>
      <c r="KF34" s="8">
        <v>1</v>
      </c>
      <c r="KG34" s="8">
        <v>1</v>
      </c>
      <c r="KH34" s="8">
        <v>1</v>
      </c>
      <c r="KI34" s="8">
        <v>1</v>
      </c>
      <c r="KJ34" s="41"/>
      <c r="KK34" s="41"/>
      <c r="KL34" s="8">
        <v>1</v>
      </c>
      <c r="KM34" s="8">
        <v>1</v>
      </c>
      <c r="KN34" s="8">
        <v>1</v>
      </c>
      <c r="KO34" s="8">
        <v>1</v>
      </c>
      <c r="KP34" s="8">
        <v>1</v>
      </c>
      <c r="KQ34" s="41"/>
      <c r="KR34" s="41"/>
      <c r="KS34" s="8">
        <v>1</v>
      </c>
      <c r="KT34" s="8">
        <v>1</v>
      </c>
      <c r="KU34" s="8">
        <v>1</v>
      </c>
      <c r="KV34" s="8">
        <v>1</v>
      </c>
      <c r="KW34" s="8">
        <v>1</v>
      </c>
      <c r="KX34" s="41"/>
      <c r="KY34" s="41"/>
      <c r="KZ34" s="8">
        <v>1</v>
      </c>
      <c r="LA34" s="8">
        <v>1</v>
      </c>
      <c r="LB34" s="8">
        <v>1</v>
      </c>
      <c r="LC34" s="8">
        <v>1</v>
      </c>
      <c r="LD34" s="8">
        <v>1</v>
      </c>
      <c r="LE34" s="41"/>
      <c r="LF34" s="41"/>
      <c r="LG34" s="8">
        <v>1</v>
      </c>
      <c r="LH34" s="8">
        <v>1</v>
      </c>
      <c r="LI34" s="8">
        <v>1</v>
      </c>
      <c r="LJ34" s="8">
        <v>1</v>
      </c>
      <c r="LK34" s="8">
        <v>1</v>
      </c>
      <c r="LL34" s="41"/>
      <c r="LM34" s="41"/>
      <c r="LN34" s="8">
        <v>1</v>
      </c>
      <c r="LO34" s="8">
        <v>1</v>
      </c>
      <c r="LP34" s="8">
        <v>1</v>
      </c>
      <c r="LQ34" s="8">
        <v>1</v>
      </c>
      <c r="LR34" s="8">
        <v>1</v>
      </c>
      <c r="LS34" s="41"/>
      <c r="LT34" s="41"/>
      <c r="LU34" s="8">
        <v>1</v>
      </c>
      <c r="LV34" s="8">
        <v>1</v>
      </c>
      <c r="LW34" s="8">
        <v>1</v>
      </c>
      <c r="LX34" s="8">
        <v>1</v>
      </c>
      <c r="LY34" s="8">
        <v>1</v>
      </c>
      <c r="LZ34" s="41"/>
      <c r="MA34" s="41"/>
      <c r="MB34" s="8">
        <v>1</v>
      </c>
      <c r="MC34" s="8">
        <v>1</v>
      </c>
      <c r="MD34" s="8">
        <v>1</v>
      </c>
      <c r="ME34" s="8">
        <v>1</v>
      </c>
      <c r="MF34" s="8">
        <v>1</v>
      </c>
      <c r="MG34" s="41"/>
      <c r="MH34" s="41"/>
      <c r="MI34" s="8">
        <v>1</v>
      </c>
      <c r="MJ34" s="8">
        <v>1</v>
      </c>
      <c r="MK34" s="8">
        <v>1</v>
      </c>
      <c r="ML34" s="8">
        <v>1</v>
      </c>
      <c r="MM34" s="8">
        <v>1</v>
      </c>
      <c r="MN34" s="41"/>
      <c r="MO34" s="41"/>
      <c r="MP34" s="8">
        <v>1</v>
      </c>
      <c r="MQ34" s="8">
        <v>1</v>
      </c>
      <c r="MR34" s="8">
        <v>1</v>
      </c>
      <c r="MS34" s="8">
        <v>1</v>
      </c>
      <c r="MT34" s="8">
        <v>1</v>
      </c>
      <c r="MU34" s="41"/>
      <c r="MV34" s="41"/>
      <c r="MW34" s="8">
        <v>1</v>
      </c>
      <c r="MX34" s="8">
        <v>1</v>
      </c>
      <c r="MY34" s="8">
        <v>1</v>
      </c>
      <c r="MZ34" s="8">
        <v>1</v>
      </c>
      <c r="NA34" s="8">
        <v>1</v>
      </c>
      <c r="NB34" s="41"/>
      <c r="NC34" s="41"/>
      <c r="ND34" s="8">
        <v>1</v>
      </c>
      <c r="NE34" s="8">
        <v>1</v>
      </c>
      <c r="NF34" s="8">
        <v>1</v>
      </c>
      <c r="NG34" s="8">
        <v>1</v>
      </c>
      <c r="NH34" s="8">
        <v>1</v>
      </c>
      <c r="NI34" s="41"/>
      <c r="NJ34" s="41"/>
      <c r="NK34" s="8">
        <v>1</v>
      </c>
      <c r="NL34" s="8">
        <v>1</v>
      </c>
      <c r="NM34" s="8">
        <v>1</v>
      </c>
      <c r="NN34" s="8">
        <v>1</v>
      </c>
      <c r="NO34" s="8">
        <v>1</v>
      </c>
      <c r="NP34" s="40"/>
      <c r="NQ34" s="40"/>
      <c r="NR34" s="8">
        <v>1</v>
      </c>
      <c r="NS34" s="8">
        <v>1</v>
      </c>
      <c r="NT34" s="8">
        <v>1</v>
      </c>
      <c r="NU34" s="8">
        <v>1</v>
      </c>
      <c r="NV34" s="8">
        <v>0.5</v>
      </c>
      <c r="NW34" s="40"/>
      <c r="NX34" s="40"/>
      <c r="NY34" s="8">
        <v>0</v>
      </c>
      <c r="NZ34" s="8">
        <v>0</v>
      </c>
      <c r="OA34" s="8">
        <v>0</v>
      </c>
      <c r="OB34" s="8"/>
      <c r="OC34" s="8">
        <v>0</v>
      </c>
      <c r="OD34" s="41"/>
      <c r="OE34" s="41"/>
      <c r="OF34" s="8">
        <v>0</v>
      </c>
      <c r="OG34" s="8">
        <v>0</v>
      </c>
      <c r="OH34" s="8">
        <v>1</v>
      </c>
      <c r="OI34" s="47"/>
    </row>
    <row r="35" spans="1:451" s="31" customFormat="1" ht="21" x14ac:dyDescent="0.3">
      <c r="A35" s="61" t="s">
        <v>528</v>
      </c>
      <c r="B35" s="62" t="s">
        <v>434</v>
      </c>
      <c r="C35" s="45"/>
      <c r="D35" s="8">
        <v>1</v>
      </c>
      <c r="E35" s="8">
        <v>1</v>
      </c>
      <c r="F35" s="8">
        <v>1</v>
      </c>
      <c r="G35" s="8">
        <v>1</v>
      </c>
      <c r="H35" s="8">
        <v>1</v>
      </c>
      <c r="I35" s="46"/>
      <c r="J35" s="46"/>
      <c r="K35" s="8">
        <v>1</v>
      </c>
      <c r="L35" s="8">
        <v>1</v>
      </c>
      <c r="M35" s="8">
        <v>1</v>
      </c>
      <c r="N35" s="8">
        <v>1</v>
      </c>
      <c r="O35" s="8">
        <v>1</v>
      </c>
      <c r="P35" s="46"/>
      <c r="Q35" s="46"/>
      <c r="R35" s="8">
        <v>1</v>
      </c>
      <c r="S35" s="8">
        <v>1</v>
      </c>
      <c r="T35" s="8">
        <v>1</v>
      </c>
      <c r="U35" s="8">
        <v>1</v>
      </c>
      <c r="V35" s="8">
        <v>1</v>
      </c>
      <c r="W35" s="46"/>
      <c r="X35" s="46"/>
      <c r="Y35" s="8">
        <v>1</v>
      </c>
      <c r="Z35" s="8">
        <v>1</v>
      </c>
      <c r="AA35" s="8"/>
      <c r="AB35" s="8">
        <v>0</v>
      </c>
      <c r="AC35" s="8">
        <v>0</v>
      </c>
      <c r="AD35" s="46"/>
      <c r="AE35" s="46"/>
      <c r="AF35" s="8">
        <v>0</v>
      </c>
      <c r="AG35" s="8">
        <v>0</v>
      </c>
      <c r="AH35" s="38"/>
      <c r="AI35" s="8">
        <v>0</v>
      </c>
      <c r="AJ35" s="8">
        <v>0</v>
      </c>
      <c r="AK35" s="8"/>
      <c r="AL35" s="8"/>
      <c r="AM35" s="109">
        <v>1</v>
      </c>
      <c r="AN35" s="109">
        <v>1</v>
      </c>
      <c r="AO35" s="8">
        <v>1</v>
      </c>
      <c r="AP35" s="8">
        <v>1</v>
      </c>
      <c r="AQ35" s="8">
        <v>1</v>
      </c>
      <c r="AR35" s="39"/>
      <c r="AS35" s="39"/>
      <c r="AT35" s="8">
        <v>1</v>
      </c>
      <c r="AU35" s="8">
        <v>1</v>
      </c>
      <c r="AV35" s="8">
        <v>1</v>
      </c>
      <c r="AW35" s="8">
        <v>1</v>
      </c>
      <c r="AX35" s="8">
        <v>1</v>
      </c>
      <c r="AY35" s="39"/>
      <c r="AZ35" s="39"/>
      <c r="BA35" s="39">
        <v>1</v>
      </c>
      <c r="BB35" s="39">
        <v>1</v>
      </c>
      <c r="BC35" s="39">
        <v>1</v>
      </c>
      <c r="BD35" s="39">
        <v>1</v>
      </c>
      <c r="BE35" s="39">
        <v>1</v>
      </c>
      <c r="BF35" s="39"/>
      <c r="BG35" s="39"/>
      <c r="BH35" s="39">
        <v>1</v>
      </c>
      <c r="BI35" s="39">
        <v>1</v>
      </c>
      <c r="BJ35" s="39">
        <v>1</v>
      </c>
      <c r="BK35" s="39">
        <v>1</v>
      </c>
      <c r="BL35" s="39">
        <v>1</v>
      </c>
      <c r="BM35" s="40"/>
      <c r="BN35" s="40"/>
      <c r="BO35" s="8">
        <v>1</v>
      </c>
      <c r="BP35" s="8">
        <v>1</v>
      </c>
      <c r="BQ35" s="8">
        <v>1</v>
      </c>
      <c r="BR35" s="8">
        <v>1</v>
      </c>
      <c r="BS35" s="8">
        <v>1</v>
      </c>
      <c r="BT35" s="40"/>
      <c r="BU35" s="40"/>
      <c r="BV35" s="8">
        <v>1</v>
      </c>
      <c r="BW35" s="8">
        <v>1</v>
      </c>
      <c r="BX35" s="8">
        <v>1</v>
      </c>
      <c r="BY35" s="8">
        <v>1</v>
      </c>
      <c r="BZ35" s="8">
        <v>1</v>
      </c>
      <c r="CA35" s="40"/>
      <c r="CB35" s="40"/>
      <c r="CC35" s="8">
        <v>1</v>
      </c>
      <c r="CD35" s="8">
        <v>1</v>
      </c>
      <c r="CE35" s="8">
        <v>1</v>
      </c>
      <c r="CF35" s="8">
        <v>1</v>
      </c>
      <c r="CG35" s="8">
        <v>1</v>
      </c>
      <c r="CH35" s="40"/>
      <c r="CI35" s="40"/>
      <c r="CJ35" s="8">
        <v>0</v>
      </c>
      <c r="CK35" s="8">
        <v>0</v>
      </c>
      <c r="CL35" s="8">
        <v>0</v>
      </c>
      <c r="CM35" s="8">
        <v>0</v>
      </c>
      <c r="CN35" s="8">
        <v>0</v>
      </c>
      <c r="CO35" s="40"/>
      <c r="CP35" s="40"/>
      <c r="CQ35" s="8">
        <v>1</v>
      </c>
      <c r="CR35" s="8">
        <v>1</v>
      </c>
      <c r="CS35" s="8">
        <v>1</v>
      </c>
      <c r="CT35" s="8">
        <v>1</v>
      </c>
      <c r="CU35" s="8">
        <v>1</v>
      </c>
      <c r="CV35" s="40"/>
      <c r="CW35" s="40"/>
      <c r="CX35" s="8">
        <v>1</v>
      </c>
      <c r="CY35" s="8">
        <v>1</v>
      </c>
      <c r="CZ35" s="8">
        <v>1</v>
      </c>
      <c r="DA35" s="8">
        <v>1</v>
      </c>
      <c r="DB35" s="8">
        <v>1</v>
      </c>
      <c r="DC35" s="40"/>
      <c r="DD35" s="40"/>
      <c r="DE35" s="8">
        <v>1</v>
      </c>
      <c r="DF35" s="8">
        <v>1</v>
      </c>
      <c r="DG35" s="8">
        <v>1</v>
      </c>
      <c r="DH35" s="8">
        <v>1</v>
      </c>
      <c r="DI35" s="8">
        <v>1</v>
      </c>
      <c r="DJ35" s="40"/>
      <c r="DK35" s="40"/>
      <c r="DL35" s="8">
        <v>1</v>
      </c>
      <c r="DM35" s="8">
        <v>1</v>
      </c>
      <c r="DN35" s="8">
        <v>1</v>
      </c>
      <c r="DO35" s="8">
        <v>1</v>
      </c>
      <c r="DP35" s="8">
        <v>1</v>
      </c>
      <c r="DQ35" s="41"/>
      <c r="DR35" s="41"/>
      <c r="DS35" s="8">
        <v>1</v>
      </c>
      <c r="DT35" s="8">
        <v>1</v>
      </c>
      <c r="DU35" s="8">
        <v>1</v>
      </c>
      <c r="DV35" s="8">
        <v>1</v>
      </c>
      <c r="DW35" s="8">
        <v>1</v>
      </c>
      <c r="DX35" s="41"/>
      <c r="DY35" s="41"/>
      <c r="DZ35" s="8">
        <v>1</v>
      </c>
      <c r="EA35" s="8">
        <v>1</v>
      </c>
      <c r="EB35" s="8">
        <v>1</v>
      </c>
      <c r="EC35" s="8">
        <v>1</v>
      </c>
      <c r="ED35" s="8">
        <v>1</v>
      </c>
      <c r="EE35" s="41"/>
      <c r="EF35" s="41"/>
      <c r="EG35" s="8">
        <v>1</v>
      </c>
      <c r="EH35" s="8">
        <v>1</v>
      </c>
      <c r="EI35" s="8">
        <v>1</v>
      </c>
      <c r="EJ35" s="8">
        <v>1</v>
      </c>
      <c r="EK35" s="8">
        <v>1</v>
      </c>
      <c r="EL35" s="41"/>
      <c r="EM35" s="41"/>
      <c r="EN35" s="38"/>
      <c r="EO35" s="8">
        <v>1</v>
      </c>
      <c r="EP35" s="8">
        <v>1</v>
      </c>
      <c r="EQ35" s="8">
        <v>1</v>
      </c>
      <c r="ER35" s="8">
        <v>1</v>
      </c>
      <c r="ES35" s="41"/>
      <c r="ET35" s="41"/>
      <c r="EU35" s="8">
        <v>1</v>
      </c>
      <c r="EV35" s="8">
        <v>1</v>
      </c>
      <c r="EW35" s="8">
        <v>1</v>
      </c>
      <c r="EX35" s="38"/>
      <c r="EY35" s="8">
        <v>1</v>
      </c>
      <c r="EZ35" s="41"/>
      <c r="FA35" s="41"/>
      <c r="FB35" s="8">
        <v>1</v>
      </c>
      <c r="FC35" s="8">
        <v>1</v>
      </c>
      <c r="FD35" s="8">
        <v>1</v>
      </c>
      <c r="FE35" s="38"/>
      <c r="FF35" s="8">
        <v>1</v>
      </c>
      <c r="FG35" s="41"/>
      <c r="FH35" s="41"/>
      <c r="FI35" s="8">
        <v>1</v>
      </c>
      <c r="FJ35" s="8">
        <v>1</v>
      </c>
      <c r="FK35" s="8">
        <v>1</v>
      </c>
      <c r="FL35" s="8">
        <v>1</v>
      </c>
      <c r="FM35" s="8">
        <v>1</v>
      </c>
      <c r="FN35" s="41"/>
      <c r="FO35" s="41"/>
      <c r="FP35" s="8">
        <v>1</v>
      </c>
      <c r="FQ35" s="8">
        <v>1</v>
      </c>
      <c r="FR35" s="8">
        <v>1</v>
      </c>
      <c r="FS35" s="8">
        <v>1</v>
      </c>
      <c r="FT35" s="8">
        <v>1</v>
      </c>
      <c r="FU35" s="41"/>
      <c r="FV35" s="41"/>
      <c r="FW35" s="8">
        <v>1</v>
      </c>
      <c r="FX35" s="8">
        <v>1</v>
      </c>
      <c r="FY35" s="8">
        <v>1</v>
      </c>
      <c r="FZ35" s="38"/>
      <c r="GA35" s="8">
        <v>1</v>
      </c>
      <c r="GB35" s="41"/>
      <c r="GC35" s="41"/>
      <c r="GD35" s="8">
        <v>1</v>
      </c>
      <c r="GE35" s="8">
        <v>1</v>
      </c>
      <c r="GF35" s="8">
        <v>1</v>
      </c>
      <c r="GG35" s="8">
        <v>1</v>
      </c>
      <c r="GH35" s="8">
        <v>1</v>
      </c>
      <c r="GI35" s="41"/>
      <c r="GJ35" s="41"/>
      <c r="GK35" s="38"/>
      <c r="GL35" s="8">
        <v>1</v>
      </c>
      <c r="GM35" s="8">
        <v>1</v>
      </c>
      <c r="GN35" s="8">
        <v>1</v>
      </c>
      <c r="GO35" s="8">
        <v>1</v>
      </c>
      <c r="GP35" s="41"/>
      <c r="GQ35" s="41"/>
      <c r="GR35" s="8">
        <v>1</v>
      </c>
      <c r="GS35" s="8">
        <v>1</v>
      </c>
      <c r="GT35" s="8">
        <v>1</v>
      </c>
      <c r="GU35" s="8">
        <v>1</v>
      </c>
      <c r="GV35" s="8">
        <v>1</v>
      </c>
      <c r="GW35" s="41"/>
      <c r="GX35" s="41"/>
      <c r="GY35" s="8">
        <v>1</v>
      </c>
      <c r="GZ35" s="8">
        <v>1</v>
      </c>
      <c r="HA35" s="8">
        <v>1</v>
      </c>
      <c r="HB35" s="8">
        <v>1</v>
      </c>
      <c r="HC35" s="8">
        <v>1</v>
      </c>
      <c r="HD35" s="41"/>
      <c r="HE35" s="41"/>
      <c r="HF35" s="8">
        <v>1</v>
      </c>
      <c r="HG35" s="8">
        <v>1</v>
      </c>
      <c r="HH35" s="8">
        <v>1</v>
      </c>
      <c r="HI35" s="8">
        <v>1</v>
      </c>
      <c r="HJ35" s="8">
        <v>1</v>
      </c>
      <c r="HK35" s="41"/>
      <c r="HL35" s="41"/>
      <c r="HM35" s="8">
        <v>1</v>
      </c>
      <c r="HN35" s="8">
        <v>1</v>
      </c>
      <c r="HO35" s="8">
        <v>1</v>
      </c>
      <c r="HP35" s="8">
        <v>1</v>
      </c>
      <c r="HQ35" s="8">
        <v>1</v>
      </c>
      <c r="HR35" s="41"/>
      <c r="HS35" s="41"/>
      <c r="HT35" s="38"/>
      <c r="HU35" s="8">
        <v>1</v>
      </c>
      <c r="HV35" s="8">
        <v>1</v>
      </c>
      <c r="HW35" s="8">
        <v>1</v>
      </c>
      <c r="HX35" s="8">
        <v>1</v>
      </c>
      <c r="HY35" s="41"/>
      <c r="HZ35" s="41"/>
      <c r="IA35" s="8">
        <v>1</v>
      </c>
      <c r="IB35" s="8">
        <v>1</v>
      </c>
      <c r="IC35" s="8">
        <v>1</v>
      </c>
      <c r="ID35" s="8">
        <v>1</v>
      </c>
      <c r="IE35" s="8">
        <v>1</v>
      </c>
      <c r="IF35" s="41"/>
      <c r="IG35" s="41"/>
      <c r="IH35" s="8">
        <v>1</v>
      </c>
      <c r="II35" s="8">
        <v>1</v>
      </c>
      <c r="IJ35" s="8">
        <v>1</v>
      </c>
      <c r="IK35" s="8">
        <v>1</v>
      </c>
      <c r="IL35" s="8">
        <v>1</v>
      </c>
      <c r="IM35" s="41"/>
      <c r="IN35" s="41"/>
      <c r="IO35" s="8">
        <v>1</v>
      </c>
      <c r="IP35" s="8">
        <v>1</v>
      </c>
      <c r="IQ35" s="8">
        <v>1</v>
      </c>
      <c r="IR35" s="8">
        <v>1</v>
      </c>
      <c r="IS35" s="8">
        <v>1</v>
      </c>
      <c r="IT35" s="41"/>
      <c r="IU35" s="41"/>
      <c r="IV35" s="8">
        <v>1</v>
      </c>
      <c r="IW35" s="8">
        <v>1</v>
      </c>
      <c r="IX35" s="8">
        <v>1</v>
      </c>
      <c r="IY35" s="8">
        <v>1</v>
      </c>
      <c r="IZ35" s="38"/>
      <c r="JA35" s="41"/>
      <c r="JB35" s="41"/>
      <c r="JC35" s="8">
        <v>1</v>
      </c>
      <c r="JD35" s="8">
        <v>1</v>
      </c>
      <c r="JE35" s="8">
        <v>1</v>
      </c>
      <c r="JF35" s="8">
        <v>1</v>
      </c>
      <c r="JG35" s="8">
        <v>1</v>
      </c>
      <c r="JH35" s="41"/>
      <c r="JI35" s="41"/>
      <c r="JJ35" s="8">
        <v>1</v>
      </c>
      <c r="JK35" s="8">
        <v>1</v>
      </c>
      <c r="JL35" s="8">
        <v>1</v>
      </c>
      <c r="JM35" s="8">
        <v>1</v>
      </c>
      <c r="JN35" s="8">
        <v>1</v>
      </c>
      <c r="JO35" s="41"/>
      <c r="JP35" s="41"/>
      <c r="JQ35" s="8">
        <v>1</v>
      </c>
      <c r="JR35" s="8">
        <v>1</v>
      </c>
      <c r="JS35" s="8">
        <v>1</v>
      </c>
      <c r="JT35" s="8">
        <v>1</v>
      </c>
      <c r="JU35" s="8">
        <v>1</v>
      </c>
      <c r="JV35" s="41"/>
      <c r="JW35" s="41"/>
      <c r="JX35" s="8">
        <v>1</v>
      </c>
      <c r="JY35" s="8">
        <v>1</v>
      </c>
      <c r="JZ35" s="8">
        <v>1</v>
      </c>
      <c r="KA35" s="8">
        <v>1</v>
      </c>
      <c r="KB35" s="8">
        <v>1</v>
      </c>
      <c r="KC35" s="41"/>
      <c r="KD35" s="41"/>
      <c r="KE35" s="8">
        <v>1</v>
      </c>
      <c r="KF35" s="8">
        <v>1</v>
      </c>
      <c r="KG35" s="8">
        <v>1</v>
      </c>
      <c r="KH35" s="8">
        <v>1</v>
      </c>
      <c r="KI35" s="8">
        <v>1</v>
      </c>
      <c r="KJ35" s="41"/>
      <c r="KK35" s="41"/>
      <c r="KL35" s="8">
        <v>1</v>
      </c>
      <c r="KM35" s="8">
        <v>1</v>
      </c>
      <c r="KN35" s="8">
        <v>1</v>
      </c>
      <c r="KO35" s="8">
        <v>1</v>
      </c>
      <c r="KP35" s="8">
        <v>1</v>
      </c>
      <c r="KQ35" s="41"/>
      <c r="KR35" s="41"/>
      <c r="KS35" s="8">
        <v>1</v>
      </c>
      <c r="KT35" s="8">
        <v>1</v>
      </c>
      <c r="KU35" s="8">
        <v>1</v>
      </c>
      <c r="KV35" s="8">
        <v>1</v>
      </c>
      <c r="KW35" s="8">
        <v>1</v>
      </c>
      <c r="KX35" s="41"/>
      <c r="KY35" s="41"/>
      <c r="KZ35" s="8">
        <v>1</v>
      </c>
      <c r="LA35" s="8">
        <v>1</v>
      </c>
      <c r="LB35" s="8">
        <v>1</v>
      </c>
      <c r="LC35" s="8">
        <v>1</v>
      </c>
      <c r="LD35" s="8">
        <v>1</v>
      </c>
      <c r="LE35" s="41"/>
      <c r="LF35" s="41"/>
      <c r="LG35" s="8">
        <v>1</v>
      </c>
      <c r="LH35" s="8">
        <v>1</v>
      </c>
      <c r="LI35" s="8">
        <v>1</v>
      </c>
      <c r="LJ35" s="8">
        <v>1</v>
      </c>
      <c r="LK35" s="8">
        <v>1</v>
      </c>
      <c r="LL35" s="41"/>
      <c r="LM35" s="41"/>
      <c r="LN35" s="8">
        <v>1</v>
      </c>
      <c r="LO35" s="8">
        <v>1</v>
      </c>
      <c r="LP35" s="8">
        <v>1</v>
      </c>
      <c r="LQ35" s="8">
        <v>1</v>
      </c>
      <c r="LR35" s="8">
        <v>1</v>
      </c>
      <c r="LS35" s="41"/>
      <c r="LT35" s="41"/>
      <c r="LU35" s="8">
        <v>1</v>
      </c>
      <c r="LV35" s="8">
        <v>1</v>
      </c>
      <c r="LW35" s="8">
        <v>1</v>
      </c>
      <c r="LX35" s="8">
        <v>1</v>
      </c>
      <c r="LY35" s="8">
        <v>1</v>
      </c>
      <c r="LZ35" s="41"/>
      <c r="MA35" s="41"/>
      <c r="MB35" s="8">
        <v>1</v>
      </c>
      <c r="MC35" s="8">
        <v>1</v>
      </c>
      <c r="MD35" s="8">
        <v>1</v>
      </c>
      <c r="ME35" s="8">
        <v>1</v>
      </c>
      <c r="MF35" s="8">
        <v>1</v>
      </c>
      <c r="MG35" s="41"/>
      <c r="MH35" s="41"/>
      <c r="MI35" s="8">
        <v>1</v>
      </c>
      <c r="MJ35" s="8">
        <v>1</v>
      </c>
      <c r="MK35" s="8">
        <v>1</v>
      </c>
      <c r="ML35" s="8">
        <v>1</v>
      </c>
      <c r="MM35" s="8">
        <v>1</v>
      </c>
      <c r="MN35" s="41"/>
      <c r="MO35" s="41"/>
      <c r="MP35" s="8">
        <v>1</v>
      </c>
      <c r="MQ35" s="8">
        <v>1</v>
      </c>
      <c r="MR35" s="8">
        <v>1</v>
      </c>
      <c r="MS35" s="8">
        <v>1</v>
      </c>
      <c r="MT35" s="8">
        <v>1</v>
      </c>
      <c r="MU35" s="41"/>
      <c r="MV35" s="41"/>
      <c r="MW35" s="8">
        <v>1</v>
      </c>
      <c r="MX35" s="8">
        <v>1</v>
      </c>
      <c r="MY35" s="8">
        <v>1</v>
      </c>
      <c r="MZ35" s="8">
        <v>1</v>
      </c>
      <c r="NA35" s="8">
        <v>1</v>
      </c>
      <c r="NB35" s="41"/>
      <c r="NC35" s="41"/>
      <c r="ND35" s="8">
        <v>1</v>
      </c>
      <c r="NE35" s="8">
        <v>1</v>
      </c>
      <c r="NF35" s="8">
        <v>1</v>
      </c>
      <c r="NG35" s="8">
        <v>1</v>
      </c>
      <c r="NH35" s="8">
        <v>1</v>
      </c>
      <c r="NI35" s="41"/>
      <c r="NJ35" s="41"/>
      <c r="NK35" s="8">
        <v>1</v>
      </c>
      <c r="NL35" s="8">
        <v>1</v>
      </c>
      <c r="NM35" s="8">
        <v>1</v>
      </c>
      <c r="NN35" s="8">
        <v>1</v>
      </c>
      <c r="NO35" s="8">
        <v>1</v>
      </c>
      <c r="NP35" s="40"/>
      <c r="NQ35" s="40"/>
      <c r="NR35" s="8">
        <v>1</v>
      </c>
      <c r="NS35" s="8">
        <v>1</v>
      </c>
      <c r="NT35" s="8">
        <v>1</v>
      </c>
      <c r="NU35" s="8">
        <v>1</v>
      </c>
      <c r="NV35" s="8">
        <v>1</v>
      </c>
      <c r="NW35" s="40"/>
      <c r="NX35" s="40"/>
      <c r="NY35" s="8">
        <v>1</v>
      </c>
      <c r="NZ35" s="8">
        <v>1</v>
      </c>
      <c r="OA35" s="8">
        <v>1</v>
      </c>
      <c r="OB35" s="8"/>
      <c r="OC35" s="8">
        <v>1</v>
      </c>
      <c r="OD35" s="41"/>
      <c r="OE35" s="41"/>
      <c r="OF35" s="8">
        <v>1</v>
      </c>
      <c r="OG35" s="8">
        <v>1</v>
      </c>
      <c r="OH35" s="8">
        <v>1</v>
      </c>
      <c r="OI35" s="47"/>
    </row>
    <row r="36" spans="1:451" s="31" customFormat="1" ht="21" x14ac:dyDescent="0.3">
      <c r="A36" s="61" t="s">
        <v>529</v>
      </c>
      <c r="B36" s="62" t="s">
        <v>434</v>
      </c>
      <c r="C36" s="45"/>
      <c r="D36" s="8">
        <v>1</v>
      </c>
      <c r="E36" s="8">
        <v>1</v>
      </c>
      <c r="F36" s="8">
        <v>1</v>
      </c>
      <c r="G36" s="8">
        <v>1</v>
      </c>
      <c r="H36" s="8">
        <v>1</v>
      </c>
      <c r="I36" s="46"/>
      <c r="J36" s="46"/>
      <c r="K36" s="8">
        <v>1</v>
      </c>
      <c r="L36" s="8">
        <v>1</v>
      </c>
      <c r="M36" s="8">
        <v>0</v>
      </c>
      <c r="N36" s="8">
        <v>1</v>
      </c>
      <c r="O36" s="8">
        <v>1</v>
      </c>
      <c r="P36" s="46"/>
      <c r="Q36" s="46"/>
      <c r="R36" s="8">
        <v>1</v>
      </c>
      <c r="S36" s="8">
        <v>1</v>
      </c>
      <c r="T36" s="8">
        <v>0</v>
      </c>
      <c r="U36" s="8">
        <v>0</v>
      </c>
      <c r="V36" s="8">
        <v>1</v>
      </c>
      <c r="W36" s="46"/>
      <c r="X36" s="46"/>
      <c r="Y36" s="8">
        <v>0</v>
      </c>
      <c r="Z36" s="8">
        <v>0</v>
      </c>
      <c r="AA36" s="8"/>
      <c r="AB36" s="8">
        <v>1</v>
      </c>
      <c r="AC36" s="8">
        <v>1</v>
      </c>
      <c r="AD36" s="46"/>
      <c r="AE36" s="46"/>
      <c r="AF36" s="8">
        <v>0</v>
      </c>
      <c r="AG36" s="8">
        <v>0</v>
      </c>
      <c r="AH36" s="38"/>
      <c r="AI36" s="8">
        <v>1</v>
      </c>
      <c r="AJ36" s="8">
        <v>1</v>
      </c>
      <c r="AK36" s="8"/>
      <c r="AL36" s="8"/>
      <c r="AM36" s="109">
        <v>1</v>
      </c>
      <c r="AN36" s="109">
        <v>1</v>
      </c>
      <c r="AO36" s="8">
        <v>1</v>
      </c>
      <c r="AP36" s="8">
        <v>1</v>
      </c>
      <c r="AQ36" s="8">
        <v>1</v>
      </c>
      <c r="AR36" s="39"/>
      <c r="AS36" s="39"/>
      <c r="AT36" s="8">
        <v>1</v>
      </c>
      <c r="AU36" s="8">
        <v>1</v>
      </c>
      <c r="AV36" s="8">
        <v>1</v>
      </c>
      <c r="AW36" s="8">
        <v>1</v>
      </c>
      <c r="AX36" s="8">
        <v>1</v>
      </c>
      <c r="AY36" s="39"/>
      <c r="AZ36" s="39"/>
      <c r="BA36" s="39">
        <v>1</v>
      </c>
      <c r="BB36" s="39">
        <v>1</v>
      </c>
      <c r="BC36" s="39">
        <v>1</v>
      </c>
      <c r="BD36" s="39">
        <v>1</v>
      </c>
      <c r="BE36" s="39">
        <v>1</v>
      </c>
      <c r="BF36" s="39"/>
      <c r="BG36" s="39"/>
      <c r="BH36" s="39">
        <v>1</v>
      </c>
      <c r="BI36" s="39">
        <v>1</v>
      </c>
      <c r="BJ36" s="39">
        <v>1</v>
      </c>
      <c r="BK36" s="39">
        <v>1</v>
      </c>
      <c r="BL36" s="39">
        <v>1</v>
      </c>
      <c r="BM36" s="40"/>
      <c r="BN36" s="40"/>
      <c r="BO36" s="8">
        <v>1</v>
      </c>
      <c r="BP36" s="8">
        <v>1</v>
      </c>
      <c r="BQ36" s="8">
        <v>1</v>
      </c>
      <c r="BR36" s="8">
        <v>1</v>
      </c>
      <c r="BS36" s="8">
        <v>1</v>
      </c>
      <c r="BT36" s="40"/>
      <c r="BU36" s="40"/>
      <c r="BV36" s="8">
        <v>1</v>
      </c>
      <c r="BW36" s="8">
        <v>1</v>
      </c>
      <c r="BX36" s="8">
        <v>1</v>
      </c>
      <c r="BY36" s="8">
        <v>1</v>
      </c>
      <c r="BZ36" s="8">
        <v>1</v>
      </c>
      <c r="CA36" s="40"/>
      <c r="CB36" s="40"/>
      <c r="CC36" s="8">
        <v>1</v>
      </c>
      <c r="CD36" s="8">
        <v>1</v>
      </c>
      <c r="CE36" s="8">
        <v>1</v>
      </c>
      <c r="CF36" s="8">
        <v>1</v>
      </c>
      <c r="CG36" s="8">
        <v>1</v>
      </c>
      <c r="CH36" s="40"/>
      <c r="CI36" s="40"/>
      <c r="CJ36" s="8">
        <v>0</v>
      </c>
      <c r="CK36" s="8">
        <v>0</v>
      </c>
      <c r="CL36" s="8">
        <v>0</v>
      </c>
      <c r="CM36" s="8">
        <v>0</v>
      </c>
      <c r="CN36" s="8">
        <v>0</v>
      </c>
      <c r="CO36" s="40"/>
      <c r="CP36" s="40"/>
      <c r="CQ36" s="8">
        <v>1</v>
      </c>
      <c r="CR36" s="8">
        <v>1</v>
      </c>
      <c r="CS36" s="8">
        <v>1</v>
      </c>
      <c r="CT36" s="8">
        <v>1</v>
      </c>
      <c r="CU36" s="8">
        <v>1</v>
      </c>
      <c r="CV36" s="40"/>
      <c r="CW36" s="40"/>
      <c r="CX36" s="8">
        <v>1</v>
      </c>
      <c r="CY36" s="8">
        <v>1</v>
      </c>
      <c r="CZ36" s="8">
        <v>1</v>
      </c>
      <c r="DA36" s="8">
        <v>1</v>
      </c>
      <c r="DB36" s="8">
        <v>1</v>
      </c>
      <c r="DC36" s="40"/>
      <c r="DD36" s="40"/>
      <c r="DE36" s="8">
        <v>1</v>
      </c>
      <c r="DF36" s="8">
        <v>1</v>
      </c>
      <c r="DG36" s="8">
        <v>1</v>
      </c>
      <c r="DH36" s="8">
        <v>1</v>
      </c>
      <c r="DI36" s="8">
        <v>1</v>
      </c>
      <c r="DJ36" s="40"/>
      <c r="DK36" s="40"/>
      <c r="DL36" s="8">
        <v>1</v>
      </c>
      <c r="DM36" s="8">
        <v>1</v>
      </c>
      <c r="DN36" s="8">
        <v>1</v>
      </c>
      <c r="DO36" s="8">
        <v>1</v>
      </c>
      <c r="DP36" s="8">
        <v>1</v>
      </c>
      <c r="DQ36" s="41"/>
      <c r="DR36" s="41"/>
      <c r="DS36" s="8">
        <v>1</v>
      </c>
      <c r="DT36" s="8">
        <v>1</v>
      </c>
      <c r="DU36" s="8">
        <v>1</v>
      </c>
      <c r="DV36" s="8">
        <v>1</v>
      </c>
      <c r="DW36" s="8">
        <v>1</v>
      </c>
      <c r="DX36" s="41"/>
      <c r="DY36" s="41"/>
      <c r="DZ36" s="8">
        <v>1</v>
      </c>
      <c r="EA36" s="8">
        <v>1</v>
      </c>
      <c r="EB36" s="8">
        <v>1</v>
      </c>
      <c r="EC36" s="8">
        <v>1</v>
      </c>
      <c r="ED36" s="8">
        <v>1</v>
      </c>
      <c r="EE36" s="41"/>
      <c r="EF36" s="41"/>
      <c r="EG36" s="8">
        <v>1</v>
      </c>
      <c r="EH36" s="8">
        <v>1</v>
      </c>
      <c r="EI36" s="8">
        <v>1</v>
      </c>
      <c r="EJ36" s="8">
        <v>1</v>
      </c>
      <c r="EK36" s="8">
        <v>1</v>
      </c>
      <c r="EL36" s="41"/>
      <c r="EM36" s="41"/>
      <c r="EN36" s="38"/>
      <c r="EO36" s="8">
        <v>1</v>
      </c>
      <c r="EP36" s="8">
        <v>1</v>
      </c>
      <c r="EQ36" s="8">
        <v>1</v>
      </c>
      <c r="ER36" s="8">
        <v>1</v>
      </c>
      <c r="ES36" s="41"/>
      <c r="ET36" s="41"/>
      <c r="EU36" s="8">
        <v>1</v>
      </c>
      <c r="EV36" s="8">
        <v>1</v>
      </c>
      <c r="EW36" s="8">
        <v>1</v>
      </c>
      <c r="EX36" s="38"/>
      <c r="EY36" s="8">
        <v>1</v>
      </c>
      <c r="EZ36" s="41"/>
      <c r="FA36" s="41"/>
      <c r="FB36" s="8">
        <v>1</v>
      </c>
      <c r="FC36" s="8">
        <v>1</v>
      </c>
      <c r="FD36" s="8">
        <v>1</v>
      </c>
      <c r="FE36" s="38"/>
      <c r="FF36" s="8">
        <v>1</v>
      </c>
      <c r="FG36" s="41"/>
      <c r="FH36" s="41"/>
      <c r="FI36" s="8">
        <v>1</v>
      </c>
      <c r="FJ36" s="8">
        <v>1</v>
      </c>
      <c r="FK36" s="8">
        <v>1</v>
      </c>
      <c r="FL36" s="8">
        <v>1</v>
      </c>
      <c r="FM36" s="8">
        <v>1</v>
      </c>
      <c r="FN36" s="41"/>
      <c r="FO36" s="41"/>
      <c r="FP36" s="8">
        <v>1</v>
      </c>
      <c r="FQ36" s="8">
        <v>1</v>
      </c>
      <c r="FR36" s="8">
        <v>1</v>
      </c>
      <c r="FS36" s="8">
        <v>1</v>
      </c>
      <c r="FT36" s="8">
        <v>1</v>
      </c>
      <c r="FU36" s="41"/>
      <c r="FV36" s="41"/>
      <c r="FW36" s="8">
        <v>1</v>
      </c>
      <c r="FX36" s="8">
        <v>1</v>
      </c>
      <c r="FY36" s="8">
        <v>1</v>
      </c>
      <c r="FZ36" s="38"/>
      <c r="GA36" s="8">
        <v>1</v>
      </c>
      <c r="GB36" s="41"/>
      <c r="GC36" s="41"/>
      <c r="GD36" s="8">
        <v>1</v>
      </c>
      <c r="GE36" s="8">
        <v>1</v>
      </c>
      <c r="GF36" s="8">
        <v>1</v>
      </c>
      <c r="GG36" s="8">
        <v>1</v>
      </c>
      <c r="GH36" s="8">
        <v>1</v>
      </c>
      <c r="GI36" s="41"/>
      <c r="GJ36" s="41"/>
      <c r="GK36" s="38"/>
      <c r="GL36" s="8">
        <v>1</v>
      </c>
      <c r="GM36" s="8">
        <v>1</v>
      </c>
      <c r="GN36" s="8">
        <v>1</v>
      </c>
      <c r="GO36" s="8">
        <v>1</v>
      </c>
      <c r="GP36" s="41"/>
      <c r="GQ36" s="41"/>
      <c r="GR36" s="8">
        <v>1</v>
      </c>
      <c r="GS36" s="8">
        <v>1</v>
      </c>
      <c r="GT36" s="8">
        <v>1</v>
      </c>
      <c r="GU36" s="8">
        <v>1</v>
      </c>
      <c r="GV36" s="8">
        <v>1</v>
      </c>
      <c r="GW36" s="41"/>
      <c r="GX36" s="41"/>
      <c r="GY36" s="8">
        <v>1</v>
      </c>
      <c r="GZ36" s="8">
        <v>1</v>
      </c>
      <c r="HA36" s="8">
        <v>1</v>
      </c>
      <c r="HB36" s="8">
        <v>1</v>
      </c>
      <c r="HC36" s="8">
        <v>1</v>
      </c>
      <c r="HD36" s="41"/>
      <c r="HE36" s="41"/>
      <c r="HF36" s="8">
        <v>1</v>
      </c>
      <c r="HG36" s="8">
        <v>1</v>
      </c>
      <c r="HH36" s="8">
        <v>1</v>
      </c>
      <c r="HI36" s="8">
        <v>1</v>
      </c>
      <c r="HJ36" s="8">
        <v>1</v>
      </c>
      <c r="HK36" s="41"/>
      <c r="HL36" s="41"/>
      <c r="HM36" s="8">
        <v>1</v>
      </c>
      <c r="HN36" s="8">
        <v>1</v>
      </c>
      <c r="HO36" s="8">
        <v>1</v>
      </c>
      <c r="HP36" s="8">
        <v>1</v>
      </c>
      <c r="HQ36" s="8">
        <v>1</v>
      </c>
      <c r="HR36" s="41"/>
      <c r="HS36" s="41"/>
      <c r="HT36" s="38"/>
      <c r="HU36" s="8">
        <v>1</v>
      </c>
      <c r="HV36" s="8">
        <v>1</v>
      </c>
      <c r="HW36" s="8">
        <v>1</v>
      </c>
      <c r="HX36" s="8">
        <v>1</v>
      </c>
      <c r="HY36" s="41"/>
      <c r="HZ36" s="41"/>
      <c r="IA36" s="8">
        <v>1</v>
      </c>
      <c r="IB36" s="8">
        <v>1</v>
      </c>
      <c r="IC36" s="8">
        <v>1</v>
      </c>
      <c r="ID36" s="8">
        <v>1</v>
      </c>
      <c r="IE36" s="8">
        <v>1</v>
      </c>
      <c r="IF36" s="41"/>
      <c r="IG36" s="41"/>
      <c r="IH36" s="8">
        <v>1</v>
      </c>
      <c r="II36" s="8">
        <v>1</v>
      </c>
      <c r="IJ36" s="8">
        <v>1</v>
      </c>
      <c r="IK36" s="8">
        <v>1</v>
      </c>
      <c r="IL36" s="8">
        <v>1</v>
      </c>
      <c r="IM36" s="41"/>
      <c r="IN36" s="41"/>
      <c r="IO36" s="8">
        <v>1</v>
      </c>
      <c r="IP36" s="8">
        <v>1</v>
      </c>
      <c r="IQ36" s="8">
        <v>1</v>
      </c>
      <c r="IR36" s="8">
        <v>1</v>
      </c>
      <c r="IS36" s="8">
        <v>1</v>
      </c>
      <c r="IT36" s="41"/>
      <c r="IU36" s="41"/>
      <c r="IV36" s="8">
        <v>1</v>
      </c>
      <c r="IW36" s="8">
        <v>1</v>
      </c>
      <c r="IX36" s="8">
        <v>1</v>
      </c>
      <c r="IY36" s="8">
        <v>1</v>
      </c>
      <c r="IZ36" s="38"/>
      <c r="JA36" s="41"/>
      <c r="JB36" s="41"/>
      <c r="JC36" s="8">
        <v>1</v>
      </c>
      <c r="JD36" s="8">
        <v>1</v>
      </c>
      <c r="JE36" s="8">
        <v>1</v>
      </c>
      <c r="JF36" s="8">
        <v>1</v>
      </c>
      <c r="JG36" s="8">
        <v>1</v>
      </c>
      <c r="JH36" s="41"/>
      <c r="JI36" s="41"/>
      <c r="JJ36" s="8">
        <v>1</v>
      </c>
      <c r="JK36" s="8">
        <v>1</v>
      </c>
      <c r="JL36" s="8">
        <v>1</v>
      </c>
      <c r="JM36" s="8">
        <v>1</v>
      </c>
      <c r="JN36" s="8">
        <v>1</v>
      </c>
      <c r="JO36" s="41"/>
      <c r="JP36" s="41"/>
      <c r="JQ36" s="8">
        <v>1</v>
      </c>
      <c r="JR36" s="8">
        <v>1</v>
      </c>
      <c r="JS36" s="8">
        <v>1</v>
      </c>
      <c r="JT36" s="8">
        <v>1</v>
      </c>
      <c r="JU36" s="8">
        <v>1</v>
      </c>
      <c r="JV36" s="41"/>
      <c r="JW36" s="41"/>
      <c r="JX36" s="8">
        <v>1</v>
      </c>
      <c r="JY36" s="8">
        <v>1</v>
      </c>
      <c r="JZ36" s="8">
        <v>1</v>
      </c>
      <c r="KA36" s="8">
        <v>1</v>
      </c>
      <c r="KB36" s="8">
        <v>1</v>
      </c>
      <c r="KC36" s="41"/>
      <c r="KD36" s="41"/>
      <c r="KE36" s="8">
        <v>1</v>
      </c>
      <c r="KF36" s="8">
        <v>1</v>
      </c>
      <c r="KG36" s="8">
        <v>1</v>
      </c>
      <c r="KH36" s="8">
        <v>1</v>
      </c>
      <c r="KI36" s="8">
        <v>1</v>
      </c>
      <c r="KJ36" s="41"/>
      <c r="KK36" s="41"/>
      <c r="KL36" s="8">
        <v>1</v>
      </c>
      <c r="KM36" s="8">
        <v>1</v>
      </c>
      <c r="KN36" s="8">
        <v>1</v>
      </c>
      <c r="KO36" s="8">
        <v>1</v>
      </c>
      <c r="KP36" s="8">
        <v>1</v>
      </c>
      <c r="KQ36" s="41"/>
      <c r="KR36" s="41"/>
      <c r="KS36" s="8">
        <v>1</v>
      </c>
      <c r="KT36" s="8">
        <v>1</v>
      </c>
      <c r="KU36" s="8">
        <v>1</v>
      </c>
      <c r="KV36" s="8">
        <v>1</v>
      </c>
      <c r="KW36" s="8">
        <v>1</v>
      </c>
      <c r="KX36" s="41"/>
      <c r="KY36" s="41"/>
      <c r="KZ36" s="8">
        <v>1</v>
      </c>
      <c r="LA36" s="8">
        <v>1</v>
      </c>
      <c r="LB36" s="8">
        <v>1</v>
      </c>
      <c r="LC36" s="8">
        <v>1</v>
      </c>
      <c r="LD36" s="8">
        <v>1</v>
      </c>
      <c r="LE36" s="41"/>
      <c r="LF36" s="41"/>
      <c r="LG36" s="8">
        <v>1</v>
      </c>
      <c r="LH36" s="8">
        <v>1</v>
      </c>
      <c r="LI36" s="8">
        <v>1</v>
      </c>
      <c r="LJ36" s="8">
        <v>1</v>
      </c>
      <c r="LK36" s="8">
        <v>1</v>
      </c>
      <c r="LL36" s="41"/>
      <c r="LM36" s="41"/>
      <c r="LN36" s="8">
        <v>1</v>
      </c>
      <c r="LO36" s="8">
        <v>1</v>
      </c>
      <c r="LP36" s="8">
        <v>1</v>
      </c>
      <c r="LQ36" s="8">
        <v>1</v>
      </c>
      <c r="LR36" s="8">
        <v>1</v>
      </c>
      <c r="LS36" s="41"/>
      <c r="LT36" s="41"/>
      <c r="LU36" s="8">
        <v>1</v>
      </c>
      <c r="LV36" s="8">
        <v>1</v>
      </c>
      <c r="LW36" s="8">
        <v>1</v>
      </c>
      <c r="LX36" s="8">
        <v>1</v>
      </c>
      <c r="LY36" s="8">
        <v>1</v>
      </c>
      <c r="LZ36" s="41"/>
      <c r="MA36" s="41"/>
      <c r="MB36" s="8">
        <v>1</v>
      </c>
      <c r="MC36" s="8">
        <v>1</v>
      </c>
      <c r="MD36" s="8">
        <v>1</v>
      </c>
      <c r="ME36" s="8">
        <v>1</v>
      </c>
      <c r="MF36" s="8">
        <v>1</v>
      </c>
      <c r="MG36" s="41"/>
      <c r="MH36" s="41"/>
      <c r="MI36" s="8">
        <v>1</v>
      </c>
      <c r="MJ36" s="8">
        <v>1</v>
      </c>
      <c r="MK36" s="8">
        <v>1</v>
      </c>
      <c r="ML36" s="8">
        <v>1</v>
      </c>
      <c r="MM36" s="8">
        <v>1</v>
      </c>
      <c r="MN36" s="41"/>
      <c r="MO36" s="41"/>
      <c r="MP36" s="8">
        <v>1</v>
      </c>
      <c r="MQ36" s="8">
        <v>1</v>
      </c>
      <c r="MR36" s="8">
        <v>1</v>
      </c>
      <c r="MS36" s="8">
        <v>1</v>
      </c>
      <c r="MT36" s="8">
        <v>1</v>
      </c>
      <c r="MU36" s="41"/>
      <c r="MV36" s="41"/>
      <c r="MW36" s="8">
        <v>1</v>
      </c>
      <c r="MX36" s="8">
        <v>1</v>
      </c>
      <c r="MY36" s="8">
        <v>1</v>
      </c>
      <c r="MZ36" s="8">
        <v>1</v>
      </c>
      <c r="NA36" s="8">
        <v>1</v>
      </c>
      <c r="NB36" s="41"/>
      <c r="NC36" s="41"/>
      <c r="ND36" s="8">
        <v>1</v>
      </c>
      <c r="NE36" s="8">
        <v>1</v>
      </c>
      <c r="NF36" s="8">
        <v>1</v>
      </c>
      <c r="NG36" s="8">
        <v>1</v>
      </c>
      <c r="NH36" s="8">
        <v>1</v>
      </c>
      <c r="NI36" s="41"/>
      <c r="NJ36" s="41"/>
      <c r="NK36" s="8">
        <v>1</v>
      </c>
      <c r="NL36" s="8">
        <v>1</v>
      </c>
      <c r="NM36" s="8">
        <v>1</v>
      </c>
      <c r="NN36" s="8">
        <v>1</v>
      </c>
      <c r="NO36" s="8">
        <v>1</v>
      </c>
      <c r="NP36" s="40"/>
      <c r="NQ36" s="40"/>
      <c r="NR36" s="8">
        <v>1</v>
      </c>
      <c r="NS36" s="8">
        <v>1</v>
      </c>
      <c r="NT36" s="8">
        <v>1</v>
      </c>
      <c r="NU36" s="8">
        <v>1</v>
      </c>
      <c r="NV36" s="8">
        <v>1</v>
      </c>
      <c r="NW36" s="40"/>
      <c r="NX36" s="40"/>
      <c r="NY36" s="8">
        <v>1</v>
      </c>
      <c r="NZ36" s="8">
        <v>1</v>
      </c>
      <c r="OA36" s="8">
        <v>1</v>
      </c>
      <c r="OB36" s="8"/>
      <c r="OC36" s="8">
        <v>1</v>
      </c>
      <c r="OD36" s="41"/>
      <c r="OE36" s="41"/>
      <c r="OF36" s="8">
        <v>1</v>
      </c>
      <c r="OG36" s="8">
        <v>1</v>
      </c>
      <c r="OH36" s="8">
        <v>1</v>
      </c>
      <c r="OI36" s="47"/>
    </row>
    <row r="37" spans="1:451" s="31" customFormat="1" ht="21" x14ac:dyDescent="0.3">
      <c r="A37" s="61" t="s">
        <v>530</v>
      </c>
      <c r="B37" s="62" t="s">
        <v>435</v>
      </c>
      <c r="C37" s="45"/>
      <c r="D37" s="8">
        <v>1</v>
      </c>
      <c r="E37" s="8">
        <v>1</v>
      </c>
      <c r="F37" s="8">
        <v>1</v>
      </c>
      <c r="G37" s="8">
        <v>1</v>
      </c>
      <c r="H37" s="8">
        <v>1</v>
      </c>
      <c r="I37" s="46"/>
      <c r="J37" s="46"/>
      <c r="K37" s="8">
        <v>1</v>
      </c>
      <c r="L37" s="8">
        <v>1</v>
      </c>
      <c r="M37" s="8">
        <v>1</v>
      </c>
      <c r="N37" s="8">
        <v>1</v>
      </c>
      <c r="O37" s="8">
        <v>1</v>
      </c>
      <c r="P37" s="46"/>
      <c r="Q37" s="46"/>
      <c r="R37" s="8">
        <v>1</v>
      </c>
      <c r="S37" s="8">
        <v>1</v>
      </c>
      <c r="T37" s="8">
        <v>1</v>
      </c>
      <c r="U37" s="8">
        <v>1</v>
      </c>
      <c r="V37" s="8">
        <v>1</v>
      </c>
      <c r="W37" s="46"/>
      <c r="X37" s="46"/>
      <c r="Y37" s="8">
        <v>1</v>
      </c>
      <c r="Z37" s="8">
        <v>1</v>
      </c>
      <c r="AA37" s="8"/>
      <c r="AB37" s="8">
        <v>1</v>
      </c>
      <c r="AC37" s="8">
        <v>1</v>
      </c>
      <c r="AD37" s="46"/>
      <c r="AE37" s="46"/>
      <c r="AF37" s="8">
        <v>1</v>
      </c>
      <c r="AG37" s="8">
        <v>1</v>
      </c>
      <c r="AH37" s="38"/>
      <c r="AI37" s="8">
        <v>1</v>
      </c>
      <c r="AJ37" s="8">
        <v>1</v>
      </c>
      <c r="AK37" s="8"/>
      <c r="AL37" s="8"/>
      <c r="AM37" s="109">
        <v>1</v>
      </c>
      <c r="AN37" s="109">
        <v>1</v>
      </c>
      <c r="AO37" s="8">
        <v>1</v>
      </c>
      <c r="AP37" s="8">
        <v>1</v>
      </c>
      <c r="AQ37" s="8">
        <v>1</v>
      </c>
      <c r="AR37" s="39"/>
      <c r="AS37" s="39"/>
      <c r="AT37" s="8">
        <v>1</v>
      </c>
      <c r="AU37" s="8">
        <v>1</v>
      </c>
      <c r="AV37" s="8">
        <v>1</v>
      </c>
      <c r="AW37" s="8">
        <v>1</v>
      </c>
      <c r="AX37" s="8">
        <v>1</v>
      </c>
      <c r="AY37" s="39"/>
      <c r="AZ37" s="39"/>
      <c r="BA37" s="39">
        <v>1</v>
      </c>
      <c r="BB37" s="39">
        <v>1</v>
      </c>
      <c r="BC37" s="39">
        <v>1</v>
      </c>
      <c r="BD37" s="39">
        <v>1</v>
      </c>
      <c r="BE37" s="39">
        <v>1</v>
      </c>
      <c r="BF37" s="39"/>
      <c r="BG37" s="39"/>
      <c r="BH37" s="39">
        <v>1</v>
      </c>
      <c r="BI37" s="39">
        <v>1</v>
      </c>
      <c r="BJ37" s="39">
        <v>1</v>
      </c>
      <c r="BK37" s="39">
        <v>1</v>
      </c>
      <c r="BL37" s="39">
        <v>1</v>
      </c>
      <c r="BM37" s="40"/>
      <c r="BN37" s="40"/>
      <c r="BO37" s="8">
        <v>1</v>
      </c>
      <c r="BP37" s="8">
        <v>1</v>
      </c>
      <c r="BQ37" s="8">
        <v>1</v>
      </c>
      <c r="BR37" s="8">
        <v>1</v>
      </c>
      <c r="BS37" s="8">
        <v>1</v>
      </c>
      <c r="BT37" s="40"/>
      <c r="BU37" s="40"/>
      <c r="BV37" s="8">
        <v>1</v>
      </c>
      <c r="BW37" s="8">
        <v>1</v>
      </c>
      <c r="BX37" s="8">
        <v>1</v>
      </c>
      <c r="BY37" s="8">
        <v>1</v>
      </c>
      <c r="BZ37" s="8">
        <v>1</v>
      </c>
      <c r="CA37" s="40"/>
      <c r="CB37" s="40"/>
      <c r="CC37" s="8">
        <v>1</v>
      </c>
      <c r="CD37" s="8">
        <v>1</v>
      </c>
      <c r="CE37" s="8">
        <v>1</v>
      </c>
      <c r="CF37" s="8">
        <v>1</v>
      </c>
      <c r="CG37" s="8">
        <v>1</v>
      </c>
      <c r="CH37" s="40"/>
      <c r="CI37" s="40"/>
      <c r="CJ37" s="8">
        <v>1</v>
      </c>
      <c r="CK37" s="8">
        <v>1</v>
      </c>
      <c r="CL37" s="8">
        <v>1</v>
      </c>
      <c r="CM37" s="8">
        <v>1</v>
      </c>
      <c r="CN37" s="8">
        <v>1</v>
      </c>
      <c r="CO37" s="40"/>
      <c r="CP37" s="40"/>
      <c r="CQ37" s="8">
        <v>1</v>
      </c>
      <c r="CR37" s="8">
        <v>1</v>
      </c>
      <c r="CS37" s="8">
        <v>1</v>
      </c>
      <c r="CT37" s="8">
        <v>1</v>
      </c>
      <c r="CU37" s="8">
        <v>1</v>
      </c>
      <c r="CV37" s="40"/>
      <c r="CW37" s="40"/>
      <c r="CX37" s="8">
        <v>1</v>
      </c>
      <c r="CY37" s="8">
        <v>1</v>
      </c>
      <c r="CZ37" s="8">
        <v>1</v>
      </c>
      <c r="DA37" s="8">
        <v>1</v>
      </c>
      <c r="DB37" s="8">
        <v>1</v>
      </c>
      <c r="DC37" s="40"/>
      <c r="DD37" s="40"/>
      <c r="DE37" s="8">
        <v>1</v>
      </c>
      <c r="DF37" s="8">
        <v>1</v>
      </c>
      <c r="DG37" s="8">
        <v>1</v>
      </c>
      <c r="DH37" s="8">
        <v>1</v>
      </c>
      <c r="DI37" s="8">
        <v>1</v>
      </c>
      <c r="DJ37" s="40"/>
      <c r="DK37" s="40"/>
      <c r="DL37" s="8">
        <v>1</v>
      </c>
      <c r="DM37" s="8">
        <v>1</v>
      </c>
      <c r="DN37" s="8">
        <v>1</v>
      </c>
      <c r="DO37" s="8">
        <v>1</v>
      </c>
      <c r="DP37" s="8">
        <v>1</v>
      </c>
      <c r="DQ37" s="41"/>
      <c r="DR37" s="41"/>
      <c r="DS37" s="8">
        <v>1</v>
      </c>
      <c r="DT37" s="8">
        <v>1</v>
      </c>
      <c r="DU37" s="8">
        <v>1</v>
      </c>
      <c r="DV37" s="8">
        <v>1</v>
      </c>
      <c r="DW37" s="8">
        <v>1</v>
      </c>
      <c r="DX37" s="41"/>
      <c r="DY37" s="41"/>
      <c r="DZ37" s="8">
        <v>1</v>
      </c>
      <c r="EA37" s="8">
        <v>1</v>
      </c>
      <c r="EB37" s="8">
        <v>1</v>
      </c>
      <c r="EC37" s="8">
        <v>1</v>
      </c>
      <c r="ED37" s="8">
        <v>1</v>
      </c>
      <c r="EE37" s="41"/>
      <c r="EF37" s="41"/>
      <c r="EG37" s="8">
        <v>1</v>
      </c>
      <c r="EH37" s="8">
        <v>1</v>
      </c>
      <c r="EI37" s="8">
        <v>1</v>
      </c>
      <c r="EJ37" s="8">
        <v>1</v>
      </c>
      <c r="EK37" s="8">
        <v>1</v>
      </c>
      <c r="EL37" s="41"/>
      <c r="EM37" s="41"/>
      <c r="EN37" s="38"/>
      <c r="EO37" s="8">
        <v>1</v>
      </c>
      <c r="EP37" s="8">
        <v>1</v>
      </c>
      <c r="EQ37" s="8">
        <v>1</v>
      </c>
      <c r="ER37" s="8">
        <v>1</v>
      </c>
      <c r="ES37" s="41"/>
      <c r="ET37" s="41"/>
      <c r="EU37" s="8">
        <v>1</v>
      </c>
      <c r="EV37" s="8">
        <v>1</v>
      </c>
      <c r="EW37" s="8">
        <v>1</v>
      </c>
      <c r="EX37" s="38"/>
      <c r="EY37" s="8">
        <v>1</v>
      </c>
      <c r="EZ37" s="41"/>
      <c r="FA37" s="41"/>
      <c r="FB37" s="8">
        <v>1</v>
      </c>
      <c r="FC37" s="8">
        <v>1</v>
      </c>
      <c r="FD37" s="8">
        <v>1</v>
      </c>
      <c r="FE37" s="38"/>
      <c r="FF37" s="8">
        <v>1</v>
      </c>
      <c r="FG37" s="41"/>
      <c r="FH37" s="41"/>
      <c r="FI37" s="8">
        <v>1</v>
      </c>
      <c r="FJ37" s="8">
        <v>1</v>
      </c>
      <c r="FK37" s="8">
        <v>1</v>
      </c>
      <c r="FL37" s="8">
        <v>1</v>
      </c>
      <c r="FM37" s="8">
        <v>1</v>
      </c>
      <c r="FN37" s="41"/>
      <c r="FO37" s="41"/>
      <c r="FP37" s="8">
        <v>1</v>
      </c>
      <c r="FQ37" s="8">
        <v>1</v>
      </c>
      <c r="FR37" s="8">
        <v>1</v>
      </c>
      <c r="FS37" s="8">
        <v>1</v>
      </c>
      <c r="FT37" s="8">
        <v>1</v>
      </c>
      <c r="FU37" s="41"/>
      <c r="FV37" s="41"/>
      <c r="FW37" s="8">
        <v>1</v>
      </c>
      <c r="FX37" s="8">
        <v>1</v>
      </c>
      <c r="FY37" s="8">
        <v>1</v>
      </c>
      <c r="FZ37" s="38"/>
      <c r="GA37" s="8">
        <v>1</v>
      </c>
      <c r="GB37" s="41"/>
      <c r="GC37" s="41"/>
      <c r="GD37" s="8">
        <v>1</v>
      </c>
      <c r="GE37" s="8">
        <v>1</v>
      </c>
      <c r="GF37" s="8">
        <v>1</v>
      </c>
      <c r="GG37" s="8">
        <v>1</v>
      </c>
      <c r="GH37" s="8">
        <v>1</v>
      </c>
      <c r="GI37" s="41"/>
      <c r="GJ37" s="41"/>
      <c r="GK37" s="38"/>
      <c r="GL37" s="8">
        <v>1</v>
      </c>
      <c r="GM37" s="8">
        <v>1</v>
      </c>
      <c r="GN37" s="8">
        <v>1</v>
      </c>
      <c r="GO37" s="8">
        <v>1</v>
      </c>
      <c r="GP37" s="41"/>
      <c r="GQ37" s="41"/>
      <c r="GR37" s="8">
        <v>1</v>
      </c>
      <c r="GS37" s="8">
        <v>1</v>
      </c>
      <c r="GT37" s="8">
        <v>1</v>
      </c>
      <c r="GU37" s="8">
        <v>1</v>
      </c>
      <c r="GV37" s="8">
        <v>1</v>
      </c>
      <c r="GW37" s="41"/>
      <c r="GX37" s="41"/>
      <c r="GY37" s="8">
        <v>1</v>
      </c>
      <c r="GZ37" s="8">
        <v>1</v>
      </c>
      <c r="HA37" s="8">
        <v>1</v>
      </c>
      <c r="HB37" s="8">
        <v>1</v>
      </c>
      <c r="HC37" s="8">
        <v>1</v>
      </c>
      <c r="HD37" s="41"/>
      <c r="HE37" s="41"/>
      <c r="HF37" s="8">
        <v>1</v>
      </c>
      <c r="HG37" s="8">
        <v>1</v>
      </c>
      <c r="HH37" s="8">
        <v>1</v>
      </c>
      <c r="HI37" s="8">
        <v>1</v>
      </c>
      <c r="HJ37" s="8">
        <v>1</v>
      </c>
      <c r="HK37" s="41"/>
      <c r="HL37" s="41"/>
      <c r="HM37" s="8">
        <v>1</v>
      </c>
      <c r="HN37" s="8">
        <v>1</v>
      </c>
      <c r="HO37" s="8">
        <v>1</v>
      </c>
      <c r="HP37" s="8">
        <v>1</v>
      </c>
      <c r="HQ37" s="8">
        <v>1</v>
      </c>
      <c r="HR37" s="41"/>
      <c r="HS37" s="41"/>
      <c r="HT37" s="38"/>
      <c r="HU37" s="8">
        <v>1</v>
      </c>
      <c r="HV37" s="8">
        <v>1</v>
      </c>
      <c r="HW37" s="8">
        <v>1</v>
      </c>
      <c r="HX37" s="8">
        <v>1</v>
      </c>
      <c r="HY37" s="41"/>
      <c r="HZ37" s="41"/>
      <c r="IA37" s="8">
        <v>1</v>
      </c>
      <c r="IB37" s="8">
        <v>1</v>
      </c>
      <c r="IC37" s="8">
        <v>1</v>
      </c>
      <c r="ID37" s="8">
        <v>1</v>
      </c>
      <c r="IE37" s="8">
        <v>1</v>
      </c>
      <c r="IF37" s="41"/>
      <c r="IG37" s="41"/>
      <c r="IH37" s="8">
        <v>1</v>
      </c>
      <c r="II37" s="8">
        <v>1</v>
      </c>
      <c r="IJ37" s="8">
        <v>1</v>
      </c>
      <c r="IK37" s="8">
        <v>1</v>
      </c>
      <c r="IL37" s="8">
        <v>1</v>
      </c>
      <c r="IM37" s="41"/>
      <c r="IN37" s="41"/>
      <c r="IO37" s="8">
        <v>1</v>
      </c>
      <c r="IP37" s="8">
        <v>1</v>
      </c>
      <c r="IQ37" s="8">
        <v>1</v>
      </c>
      <c r="IR37" s="8">
        <v>1</v>
      </c>
      <c r="IS37" s="8">
        <v>1</v>
      </c>
      <c r="IT37" s="41"/>
      <c r="IU37" s="41"/>
      <c r="IV37" s="8">
        <v>1</v>
      </c>
      <c r="IW37" s="8">
        <v>1</v>
      </c>
      <c r="IX37" s="8">
        <v>1</v>
      </c>
      <c r="IY37" s="8">
        <v>1</v>
      </c>
      <c r="IZ37" s="38"/>
      <c r="JA37" s="41"/>
      <c r="JB37" s="41"/>
      <c r="JC37" s="8">
        <v>1</v>
      </c>
      <c r="JD37" s="8">
        <v>1</v>
      </c>
      <c r="JE37" s="8">
        <v>1</v>
      </c>
      <c r="JF37" s="8">
        <v>1</v>
      </c>
      <c r="JG37" s="8">
        <v>1</v>
      </c>
      <c r="JH37" s="41"/>
      <c r="JI37" s="41"/>
      <c r="JJ37" s="8">
        <v>1</v>
      </c>
      <c r="JK37" s="8">
        <v>1</v>
      </c>
      <c r="JL37" s="8">
        <v>1</v>
      </c>
      <c r="JM37" s="8">
        <v>1</v>
      </c>
      <c r="JN37" s="8">
        <v>1</v>
      </c>
      <c r="JO37" s="41"/>
      <c r="JP37" s="41"/>
      <c r="JQ37" s="8">
        <v>1</v>
      </c>
      <c r="JR37" s="8">
        <v>1</v>
      </c>
      <c r="JS37" s="8">
        <v>1</v>
      </c>
      <c r="JT37" s="8">
        <v>1</v>
      </c>
      <c r="JU37" s="8">
        <v>1</v>
      </c>
      <c r="JV37" s="41"/>
      <c r="JW37" s="41"/>
      <c r="JX37" s="8">
        <v>1</v>
      </c>
      <c r="JY37" s="8">
        <v>1</v>
      </c>
      <c r="JZ37" s="8">
        <v>1</v>
      </c>
      <c r="KA37" s="8">
        <v>1</v>
      </c>
      <c r="KB37" s="8">
        <v>1</v>
      </c>
      <c r="KC37" s="41"/>
      <c r="KD37" s="41"/>
      <c r="KE37" s="8">
        <v>1</v>
      </c>
      <c r="KF37" s="8">
        <v>1</v>
      </c>
      <c r="KG37" s="8">
        <v>1</v>
      </c>
      <c r="KH37" s="8">
        <v>1</v>
      </c>
      <c r="KI37" s="8">
        <v>1</v>
      </c>
      <c r="KJ37" s="41"/>
      <c r="KK37" s="41"/>
      <c r="KL37" s="8">
        <v>1</v>
      </c>
      <c r="KM37" s="8">
        <v>1</v>
      </c>
      <c r="KN37" s="8">
        <v>1</v>
      </c>
      <c r="KO37" s="8">
        <v>1</v>
      </c>
      <c r="KP37" s="8">
        <v>1</v>
      </c>
      <c r="KQ37" s="41"/>
      <c r="KR37" s="41"/>
      <c r="KS37" s="8">
        <v>1</v>
      </c>
      <c r="KT37" s="8">
        <v>1</v>
      </c>
      <c r="KU37" s="8">
        <v>1</v>
      </c>
      <c r="KV37" s="8">
        <v>1</v>
      </c>
      <c r="KW37" s="8">
        <v>1</v>
      </c>
      <c r="KX37" s="41"/>
      <c r="KY37" s="41"/>
      <c r="KZ37" s="8">
        <v>1</v>
      </c>
      <c r="LA37" s="8">
        <v>1</v>
      </c>
      <c r="LB37" s="8">
        <v>1</v>
      </c>
      <c r="LC37" s="8">
        <v>1</v>
      </c>
      <c r="LD37" s="8">
        <v>1</v>
      </c>
      <c r="LE37" s="41"/>
      <c r="LF37" s="41"/>
      <c r="LG37" s="8">
        <v>1</v>
      </c>
      <c r="LH37" s="8">
        <v>1</v>
      </c>
      <c r="LI37" s="8">
        <v>1</v>
      </c>
      <c r="LJ37" s="8">
        <v>1</v>
      </c>
      <c r="LK37" s="8">
        <v>1</v>
      </c>
      <c r="LL37" s="41"/>
      <c r="LM37" s="41"/>
      <c r="LN37" s="8">
        <v>1</v>
      </c>
      <c r="LO37" s="8">
        <v>1</v>
      </c>
      <c r="LP37" s="8">
        <v>1</v>
      </c>
      <c r="LQ37" s="8">
        <v>1</v>
      </c>
      <c r="LR37" s="8">
        <v>1</v>
      </c>
      <c r="LS37" s="41"/>
      <c r="LT37" s="41"/>
      <c r="LU37" s="8">
        <v>1</v>
      </c>
      <c r="LV37" s="8">
        <v>1</v>
      </c>
      <c r="LW37" s="8">
        <v>1</v>
      </c>
      <c r="LX37" s="8">
        <v>1</v>
      </c>
      <c r="LY37" s="8">
        <v>1</v>
      </c>
      <c r="LZ37" s="41"/>
      <c r="MA37" s="41"/>
      <c r="MB37" s="8">
        <v>1</v>
      </c>
      <c r="MC37" s="8">
        <v>1</v>
      </c>
      <c r="MD37" s="8">
        <v>1</v>
      </c>
      <c r="ME37" s="8">
        <v>1</v>
      </c>
      <c r="MF37" s="8">
        <v>1</v>
      </c>
      <c r="MG37" s="41"/>
      <c r="MH37" s="41"/>
      <c r="MI37" s="8">
        <v>1</v>
      </c>
      <c r="MJ37" s="8">
        <v>1</v>
      </c>
      <c r="MK37" s="8">
        <v>1</v>
      </c>
      <c r="ML37" s="8">
        <v>1</v>
      </c>
      <c r="MM37" s="8">
        <v>1</v>
      </c>
      <c r="MN37" s="41"/>
      <c r="MO37" s="41"/>
      <c r="MP37" s="8">
        <v>1</v>
      </c>
      <c r="MQ37" s="8">
        <v>1</v>
      </c>
      <c r="MR37" s="8">
        <v>1</v>
      </c>
      <c r="MS37" s="8">
        <v>1</v>
      </c>
      <c r="MT37" s="8">
        <v>1</v>
      </c>
      <c r="MU37" s="41"/>
      <c r="MV37" s="41"/>
      <c r="MW37" s="8">
        <v>1</v>
      </c>
      <c r="MX37" s="8">
        <v>1</v>
      </c>
      <c r="MY37" s="8">
        <v>1</v>
      </c>
      <c r="MZ37" s="8">
        <v>1</v>
      </c>
      <c r="NA37" s="8">
        <v>1</v>
      </c>
      <c r="NB37" s="41"/>
      <c r="NC37" s="41"/>
      <c r="ND37" s="8">
        <v>1</v>
      </c>
      <c r="NE37" s="8">
        <v>1</v>
      </c>
      <c r="NF37" s="8">
        <v>1</v>
      </c>
      <c r="NG37" s="8">
        <v>1</v>
      </c>
      <c r="NH37" s="8">
        <v>1</v>
      </c>
      <c r="NI37" s="41"/>
      <c r="NJ37" s="41"/>
      <c r="NK37" s="8">
        <v>1</v>
      </c>
      <c r="NL37" s="8">
        <v>1</v>
      </c>
      <c r="NM37" s="8">
        <v>1</v>
      </c>
      <c r="NN37" s="8">
        <v>1</v>
      </c>
      <c r="NO37" s="8">
        <v>1</v>
      </c>
      <c r="NP37" s="40"/>
      <c r="NQ37" s="40"/>
      <c r="NR37" s="8">
        <v>1</v>
      </c>
      <c r="NS37" s="8">
        <v>1</v>
      </c>
      <c r="NT37" s="8">
        <v>1</v>
      </c>
      <c r="NU37" s="8">
        <v>1</v>
      </c>
      <c r="NV37" s="8">
        <v>1</v>
      </c>
      <c r="NW37" s="40"/>
      <c r="NX37" s="40"/>
      <c r="NY37" s="8">
        <v>1</v>
      </c>
      <c r="NZ37" s="8">
        <v>1</v>
      </c>
      <c r="OA37" s="8">
        <v>1</v>
      </c>
      <c r="OB37" s="8"/>
      <c r="OC37" s="8">
        <v>1</v>
      </c>
      <c r="OD37" s="41"/>
      <c r="OE37" s="41"/>
      <c r="OF37" s="8">
        <v>1</v>
      </c>
      <c r="OG37" s="8">
        <v>1</v>
      </c>
      <c r="OH37" s="8">
        <v>1</v>
      </c>
      <c r="OI37" s="47"/>
    </row>
    <row r="38" spans="1:451" s="31" customFormat="1" ht="21" x14ac:dyDescent="0.3">
      <c r="A38" s="61" t="s">
        <v>531</v>
      </c>
      <c r="B38" s="62" t="s">
        <v>435</v>
      </c>
      <c r="C38" s="45"/>
      <c r="D38" s="8">
        <v>1</v>
      </c>
      <c r="E38" s="8">
        <v>1</v>
      </c>
      <c r="F38" s="8">
        <v>1</v>
      </c>
      <c r="G38" s="8">
        <v>1</v>
      </c>
      <c r="H38" s="8">
        <v>1</v>
      </c>
      <c r="I38" s="46"/>
      <c r="J38" s="46"/>
      <c r="K38" s="8">
        <v>1</v>
      </c>
      <c r="L38" s="8">
        <v>1</v>
      </c>
      <c r="M38" s="8">
        <v>1</v>
      </c>
      <c r="N38" s="8">
        <v>1</v>
      </c>
      <c r="O38" s="8">
        <v>1</v>
      </c>
      <c r="P38" s="46"/>
      <c r="Q38" s="46"/>
      <c r="R38" s="8">
        <v>1</v>
      </c>
      <c r="S38" s="8">
        <v>1</v>
      </c>
      <c r="T38" s="8">
        <v>1</v>
      </c>
      <c r="U38" s="8">
        <v>1</v>
      </c>
      <c r="V38" s="8">
        <v>1</v>
      </c>
      <c r="W38" s="46"/>
      <c r="X38" s="46"/>
      <c r="Y38" s="8">
        <v>1</v>
      </c>
      <c r="Z38" s="8">
        <v>1</v>
      </c>
      <c r="AA38" s="8"/>
      <c r="AB38" s="8">
        <v>0</v>
      </c>
      <c r="AC38" s="8">
        <v>0</v>
      </c>
      <c r="AD38" s="46"/>
      <c r="AE38" s="46"/>
      <c r="AF38" s="8">
        <v>0</v>
      </c>
      <c r="AG38" s="8">
        <v>0</v>
      </c>
      <c r="AH38" s="38"/>
      <c r="AI38" s="8">
        <v>0</v>
      </c>
      <c r="AJ38" s="8">
        <v>0</v>
      </c>
      <c r="AK38" s="8"/>
      <c r="AL38" s="8"/>
      <c r="AM38" s="109">
        <v>1</v>
      </c>
      <c r="AN38" s="109">
        <v>1</v>
      </c>
      <c r="AO38" s="8">
        <v>1</v>
      </c>
      <c r="AP38" s="8">
        <v>1</v>
      </c>
      <c r="AQ38" s="8">
        <v>1</v>
      </c>
      <c r="AR38" s="39"/>
      <c r="AS38" s="39"/>
      <c r="AT38" s="8">
        <v>1</v>
      </c>
      <c r="AU38" s="8">
        <v>1</v>
      </c>
      <c r="AV38" s="8">
        <v>1</v>
      </c>
      <c r="AW38" s="8">
        <v>1</v>
      </c>
      <c r="AX38" s="8">
        <v>1</v>
      </c>
      <c r="AY38" s="39"/>
      <c r="AZ38" s="39"/>
      <c r="BA38" s="39">
        <v>1</v>
      </c>
      <c r="BB38" s="39">
        <v>1</v>
      </c>
      <c r="BC38" s="39">
        <v>1</v>
      </c>
      <c r="BD38" s="39">
        <v>1</v>
      </c>
      <c r="BE38" s="39">
        <v>1</v>
      </c>
      <c r="BF38" s="39"/>
      <c r="BG38" s="39"/>
      <c r="BH38" s="39">
        <v>1</v>
      </c>
      <c r="BI38" s="39">
        <v>1</v>
      </c>
      <c r="BJ38" s="39">
        <v>1</v>
      </c>
      <c r="BK38" s="39">
        <v>1</v>
      </c>
      <c r="BL38" s="39">
        <v>1</v>
      </c>
      <c r="BM38" s="40"/>
      <c r="BN38" s="40"/>
      <c r="BO38" s="8">
        <v>1</v>
      </c>
      <c r="BP38" s="8">
        <v>1</v>
      </c>
      <c r="BQ38" s="8">
        <v>1</v>
      </c>
      <c r="BR38" s="8">
        <v>1</v>
      </c>
      <c r="BS38" s="8">
        <v>1</v>
      </c>
      <c r="BT38" s="40"/>
      <c r="BU38" s="40"/>
      <c r="BV38" s="8">
        <v>1</v>
      </c>
      <c r="BW38" s="8">
        <v>1</v>
      </c>
      <c r="BX38" s="8">
        <v>1</v>
      </c>
      <c r="BY38" s="8">
        <v>1</v>
      </c>
      <c r="BZ38" s="8">
        <v>1</v>
      </c>
      <c r="CA38" s="40"/>
      <c r="CB38" s="40"/>
      <c r="CC38" s="8">
        <v>1</v>
      </c>
      <c r="CD38" s="8">
        <v>1</v>
      </c>
      <c r="CE38" s="8">
        <v>1</v>
      </c>
      <c r="CF38" s="8">
        <v>1</v>
      </c>
      <c r="CG38" s="8">
        <v>1</v>
      </c>
      <c r="CH38" s="40"/>
      <c r="CI38" s="40"/>
      <c r="CJ38" s="8">
        <v>0</v>
      </c>
      <c r="CK38" s="8">
        <v>0</v>
      </c>
      <c r="CL38" s="8">
        <v>0</v>
      </c>
      <c r="CM38" s="8">
        <v>0</v>
      </c>
      <c r="CN38" s="8">
        <v>0</v>
      </c>
      <c r="CO38" s="40"/>
      <c r="CP38" s="40"/>
      <c r="CQ38" s="8">
        <v>1</v>
      </c>
      <c r="CR38" s="8">
        <v>1</v>
      </c>
      <c r="CS38" s="8">
        <v>1</v>
      </c>
      <c r="CT38" s="8">
        <v>1</v>
      </c>
      <c r="CU38" s="8">
        <v>1</v>
      </c>
      <c r="CV38" s="40"/>
      <c r="CW38" s="40"/>
      <c r="CX38" s="8">
        <v>1</v>
      </c>
      <c r="CY38" s="8">
        <v>1</v>
      </c>
      <c r="CZ38" s="8">
        <v>1</v>
      </c>
      <c r="DA38" s="8">
        <v>1</v>
      </c>
      <c r="DB38" s="8">
        <v>1</v>
      </c>
      <c r="DC38" s="40"/>
      <c r="DD38" s="40"/>
      <c r="DE38" s="8">
        <v>1</v>
      </c>
      <c r="DF38" s="8">
        <v>1</v>
      </c>
      <c r="DG38" s="8">
        <v>1</v>
      </c>
      <c r="DH38" s="8">
        <v>1</v>
      </c>
      <c r="DI38" s="8">
        <v>1</v>
      </c>
      <c r="DJ38" s="40"/>
      <c r="DK38" s="40"/>
      <c r="DL38" s="8">
        <v>1</v>
      </c>
      <c r="DM38" s="8">
        <v>1</v>
      </c>
      <c r="DN38" s="8">
        <v>1</v>
      </c>
      <c r="DO38" s="8">
        <v>1</v>
      </c>
      <c r="DP38" s="8">
        <v>1</v>
      </c>
      <c r="DQ38" s="41"/>
      <c r="DR38" s="41"/>
      <c r="DS38" s="8">
        <v>1</v>
      </c>
      <c r="DT38" s="8">
        <v>1</v>
      </c>
      <c r="DU38" s="8">
        <v>1</v>
      </c>
      <c r="DV38" s="8">
        <v>1</v>
      </c>
      <c r="DW38" s="8">
        <v>1</v>
      </c>
      <c r="DX38" s="41"/>
      <c r="DY38" s="41"/>
      <c r="DZ38" s="8">
        <v>1</v>
      </c>
      <c r="EA38" s="8">
        <v>1</v>
      </c>
      <c r="EB38" s="8">
        <v>1</v>
      </c>
      <c r="EC38" s="8">
        <v>1</v>
      </c>
      <c r="ED38" s="8">
        <v>1</v>
      </c>
      <c r="EE38" s="41"/>
      <c r="EF38" s="41"/>
      <c r="EG38" s="8">
        <v>1</v>
      </c>
      <c r="EH38" s="8">
        <v>1</v>
      </c>
      <c r="EI38" s="8">
        <v>1</v>
      </c>
      <c r="EJ38" s="8">
        <v>1</v>
      </c>
      <c r="EK38" s="8">
        <v>1</v>
      </c>
      <c r="EL38" s="41"/>
      <c r="EM38" s="41"/>
      <c r="EN38" s="38"/>
      <c r="EO38" s="8">
        <v>0</v>
      </c>
      <c r="EP38" s="8">
        <v>0</v>
      </c>
      <c r="EQ38" s="8">
        <v>0</v>
      </c>
      <c r="ER38" s="8">
        <v>0</v>
      </c>
      <c r="ES38" s="41"/>
      <c r="ET38" s="41"/>
      <c r="EU38" s="8">
        <v>1</v>
      </c>
      <c r="EV38" s="8">
        <v>1</v>
      </c>
      <c r="EW38" s="8">
        <v>1</v>
      </c>
      <c r="EX38" s="38"/>
      <c r="EY38" s="8">
        <v>1</v>
      </c>
      <c r="EZ38" s="41"/>
      <c r="FA38" s="41"/>
      <c r="FB38" s="8">
        <v>1</v>
      </c>
      <c r="FC38" s="8">
        <v>1</v>
      </c>
      <c r="FD38" s="8">
        <v>1</v>
      </c>
      <c r="FE38" s="38"/>
      <c r="FF38" s="8">
        <v>1</v>
      </c>
      <c r="FG38" s="41"/>
      <c r="FH38" s="41"/>
      <c r="FI38" s="8">
        <v>1</v>
      </c>
      <c r="FJ38" s="8">
        <v>1</v>
      </c>
      <c r="FK38" s="8">
        <v>1</v>
      </c>
      <c r="FL38" s="8">
        <v>1</v>
      </c>
      <c r="FM38" s="8">
        <v>1</v>
      </c>
      <c r="FN38" s="41"/>
      <c r="FO38" s="41"/>
      <c r="FP38" s="8">
        <v>1</v>
      </c>
      <c r="FQ38" s="8">
        <v>1</v>
      </c>
      <c r="FR38" s="8">
        <v>1</v>
      </c>
      <c r="FS38" s="8">
        <v>1</v>
      </c>
      <c r="FT38" s="8">
        <v>1</v>
      </c>
      <c r="FU38" s="41"/>
      <c r="FV38" s="41"/>
      <c r="FW38" s="8">
        <v>1</v>
      </c>
      <c r="FX38" s="8">
        <v>1</v>
      </c>
      <c r="FY38" s="8">
        <v>1</v>
      </c>
      <c r="FZ38" s="38"/>
      <c r="GA38" s="8">
        <v>1</v>
      </c>
      <c r="GB38" s="41"/>
      <c r="GC38" s="41"/>
      <c r="GD38" s="8">
        <v>1</v>
      </c>
      <c r="GE38" s="8">
        <v>1</v>
      </c>
      <c r="GF38" s="8">
        <v>1</v>
      </c>
      <c r="GG38" s="8">
        <v>1</v>
      </c>
      <c r="GH38" s="8">
        <v>1</v>
      </c>
      <c r="GI38" s="41"/>
      <c r="GJ38" s="41"/>
      <c r="GK38" s="38"/>
      <c r="GL38" s="8">
        <v>1</v>
      </c>
      <c r="GM38" s="8">
        <v>1</v>
      </c>
      <c r="GN38" s="8">
        <v>1</v>
      </c>
      <c r="GO38" s="8">
        <v>1</v>
      </c>
      <c r="GP38" s="41"/>
      <c r="GQ38" s="41"/>
      <c r="GR38" s="8">
        <v>1</v>
      </c>
      <c r="GS38" s="8">
        <v>1</v>
      </c>
      <c r="GT38" s="8">
        <v>1</v>
      </c>
      <c r="GU38" s="8">
        <v>1</v>
      </c>
      <c r="GV38" s="8">
        <v>1</v>
      </c>
      <c r="GW38" s="41"/>
      <c r="GX38" s="41"/>
      <c r="GY38" s="8">
        <v>1</v>
      </c>
      <c r="GZ38" s="8">
        <v>1</v>
      </c>
      <c r="HA38" s="8">
        <v>1</v>
      </c>
      <c r="HB38" s="8">
        <v>1</v>
      </c>
      <c r="HC38" s="8">
        <v>1</v>
      </c>
      <c r="HD38" s="41"/>
      <c r="HE38" s="41"/>
      <c r="HF38" s="8">
        <v>1</v>
      </c>
      <c r="HG38" s="8">
        <v>1</v>
      </c>
      <c r="HH38" s="8">
        <v>1</v>
      </c>
      <c r="HI38" s="8">
        <v>1</v>
      </c>
      <c r="HJ38" s="8">
        <v>1</v>
      </c>
      <c r="HK38" s="41"/>
      <c r="HL38" s="41"/>
      <c r="HM38" s="8">
        <v>1</v>
      </c>
      <c r="HN38" s="8">
        <v>1</v>
      </c>
      <c r="HO38" s="8">
        <v>1</v>
      </c>
      <c r="HP38" s="8">
        <v>1</v>
      </c>
      <c r="HQ38" s="8">
        <v>1</v>
      </c>
      <c r="HR38" s="41"/>
      <c r="HS38" s="41"/>
      <c r="HT38" s="38"/>
      <c r="HU38" s="8">
        <v>1</v>
      </c>
      <c r="HV38" s="8">
        <v>1</v>
      </c>
      <c r="HW38" s="8">
        <v>1</v>
      </c>
      <c r="HX38" s="8">
        <v>1</v>
      </c>
      <c r="HY38" s="41"/>
      <c r="HZ38" s="41"/>
      <c r="IA38" s="8">
        <v>1</v>
      </c>
      <c r="IB38" s="8">
        <v>1</v>
      </c>
      <c r="IC38" s="8">
        <v>1</v>
      </c>
      <c r="ID38" s="8">
        <v>1</v>
      </c>
      <c r="IE38" s="8">
        <v>1</v>
      </c>
      <c r="IF38" s="41"/>
      <c r="IG38" s="41"/>
      <c r="IH38" s="8">
        <v>1</v>
      </c>
      <c r="II38" s="8">
        <v>1</v>
      </c>
      <c r="IJ38" s="8">
        <v>1</v>
      </c>
      <c r="IK38" s="8">
        <v>1</v>
      </c>
      <c r="IL38" s="8">
        <v>1</v>
      </c>
      <c r="IM38" s="41"/>
      <c r="IN38" s="41"/>
      <c r="IO38" s="8">
        <v>1</v>
      </c>
      <c r="IP38" s="8">
        <v>1</v>
      </c>
      <c r="IQ38" s="8">
        <v>1</v>
      </c>
      <c r="IR38" s="8">
        <v>1</v>
      </c>
      <c r="IS38" s="8">
        <v>1</v>
      </c>
      <c r="IT38" s="41"/>
      <c r="IU38" s="41"/>
      <c r="IV38" s="8">
        <v>1</v>
      </c>
      <c r="IW38" s="8">
        <v>1</v>
      </c>
      <c r="IX38" s="8">
        <v>1</v>
      </c>
      <c r="IY38" s="8">
        <v>1</v>
      </c>
      <c r="IZ38" s="38"/>
      <c r="JA38" s="41"/>
      <c r="JB38" s="41"/>
      <c r="JC38" s="8">
        <v>1</v>
      </c>
      <c r="JD38" s="8">
        <v>1</v>
      </c>
      <c r="JE38" s="8">
        <v>1</v>
      </c>
      <c r="JF38" s="8">
        <v>1</v>
      </c>
      <c r="JG38" s="8">
        <v>1</v>
      </c>
      <c r="JH38" s="41"/>
      <c r="JI38" s="41"/>
      <c r="JJ38" s="8">
        <v>1</v>
      </c>
      <c r="JK38" s="8">
        <v>1</v>
      </c>
      <c r="JL38" s="8">
        <v>1</v>
      </c>
      <c r="JM38" s="8">
        <v>1</v>
      </c>
      <c r="JN38" s="8">
        <v>1</v>
      </c>
      <c r="JO38" s="41"/>
      <c r="JP38" s="41"/>
      <c r="JQ38" s="8">
        <v>1</v>
      </c>
      <c r="JR38" s="8">
        <v>1</v>
      </c>
      <c r="JS38" s="8">
        <v>1</v>
      </c>
      <c r="JT38" s="8">
        <v>1</v>
      </c>
      <c r="JU38" s="8">
        <v>1</v>
      </c>
      <c r="JV38" s="41"/>
      <c r="JW38" s="41"/>
      <c r="JX38" s="8">
        <v>1</v>
      </c>
      <c r="JY38" s="8">
        <v>1</v>
      </c>
      <c r="JZ38" s="8">
        <v>1</v>
      </c>
      <c r="KA38" s="8">
        <v>1</v>
      </c>
      <c r="KB38" s="8">
        <v>1</v>
      </c>
      <c r="KC38" s="41"/>
      <c r="KD38" s="41"/>
      <c r="KE38" s="8">
        <v>1</v>
      </c>
      <c r="KF38" s="8">
        <v>1</v>
      </c>
      <c r="KG38" s="8">
        <v>1</v>
      </c>
      <c r="KH38" s="8">
        <v>1</v>
      </c>
      <c r="KI38" s="8">
        <v>1</v>
      </c>
      <c r="KJ38" s="41"/>
      <c r="KK38" s="41"/>
      <c r="KL38" s="8">
        <v>1</v>
      </c>
      <c r="KM38" s="8">
        <v>1</v>
      </c>
      <c r="KN38" s="8">
        <v>1</v>
      </c>
      <c r="KO38" s="8">
        <v>1</v>
      </c>
      <c r="KP38" s="8">
        <v>1</v>
      </c>
      <c r="KQ38" s="41"/>
      <c r="KR38" s="41"/>
      <c r="KS38" s="8">
        <v>1</v>
      </c>
      <c r="KT38" s="8">
        <v>1</v>
      </c>
      <c r="KU38" s="8">
        <v>1</v>
      </c>
      <c r="KV38" s="8">
        <v>1</v>
      </c>
      <c r="KW38" s="8">
        <v>1</v>
      </c>
      <c r="KX38" s="41"/>
      <c r="KY38" s="41"/>
      <c r="KZ38" s="8">
        <v>1</v>
      </c>
      <c r="LA38" s="8">
        <v>1</v>
      </c>
      <c r="LB38" s="8">
        <v>1</v>
      </c>
      <c r="LC38" s="8">
        <v>1</v>
      </c>
      <c r="LD38" s="8">
        <v>1</v>
      </c>
      <c r="LE38" s="41"/>
      <c r="LF38" s="41"/>
      <c r="LG38" s="8">
        <v>1</v>
      </c>
      <c r="LH38" s="8">
        <v>1</v>
      </c>
      <c r="LI38" s="8">
        <v>1</v>
      </c>
      <c r="LJ38" s="8">
        <v>1</v>
      </c>
      <c r="LK38" s="8">
        <v>1</v>
      </c>
      <c r="LL38" s="41"/>
      <c r="LM38" s="41"/>
      <c r="LN38" s="8">
        <v>1</v>
      </c>
      <c r="LO38" s="8">
        <v>1</v>
      </c>
      <c r="LP38" s="8">
        <v>1</v>
      </c>
      <c r="LQ38" s="8">
        <v>1</v>
      </c>
      <c r="LR38" s="8">
        <v>1</v>
      </c>
      <c r="LS38" s="41"/>
      <c r="LT38" s="41"/>
      <c r="LU38" s="8">
        <v>1</v>
      </c>
      <c r="LV38" s="8">
        <v>1</v>
      </c>
      <c r="LW38" s="8">
        <v>1</v>
      </c>
      <c r="LX38" s="8">
        <v>1</v>
      </c>
      <c r="LY38" s="8">
        <v>1</v>
      </c>
      <c r="LZ38" s="41"/>
      <c r="MA38" s="41"/>
      <c r="MB38" s="8">
        <v>1</v>
      </c>
      <c r="MC38" s="8">
        <v>1</v>
      </c>
      <c r="MD38" s="8">
        <v>1</v>
      </c>
      <c r="ME38" s="8">
        <v>1</v>
      </c>
      <c r="MF38" s="8">
        <v>1</v>
      </c>
      <c r="MG38" s="41"/>
      <c r="MH38" s="41"/>
      <c r="MI38" s="8">
        <v>1</v>
      </c>
      <c r="MJ38" s="8">
        <v>1</v>
      </c>
      <c r="MK38" s="8">
        <v>1</v>
      </c>
      <c r="ML38" s="8">
        <v>1</v>
      </c>
      <c r="MM38" s="8">
        <v>1</v>
      </c>
      <c r="MN38" s="41"/>
      <c r="MO38" s="41"/>
      <c r="MP38" s="8">
        <v>1</v>
      </c>
      <c r="MQ38" s="8">
        <v>1</v>
      </c>
      <c r="MR38" s="8">
        <v>1</v>
      </c>
      <c r="MS38" s="8">
        <v>1</v>
      </c>
      <c r="MT38" s="8">
        <v>1</v>
      </c>
      <c r="MU38" s="41"/>
      <c r="MV38" s="41"/>
      <c r="MW38" s="8">
        <v>1</v>
      </c>
      <c r="MX38" s="8">
        <v>1</v>
      </c>
      <c r="MY38" s="8">
        <v>1</v>
      </c>
      <c r="MZ38" s="8">
        <v>1</v>
      </c>
      <c r="NA38" s="8">
        <v>1</v>
      </c>
      <c r="NB38" s="41"/>
      <c r="NC38" s="41"/>
      <c r="ND38" s="8">
        <v>1</v>
      </c>
      <c r="NE38" s="8">
        <v>1</v>
      </c>
      <c r="NF38" s="8">
        <v>1</v>
      </c>
      <c r="NG38" s="8">
        <v>1</v>
      </c>
      <c r="NH38" s="8">
        <v>1</v>
      </c>
      <c r="NI38" s="41"/>
      <c r="NJ38" s="41"/>
      <c r="NK38" s="8">
        <v>1</v>
      </c>
      <c r="NL38" s="8">
        <v>1</v>
      </c>
      <c r="NM38" s="8">
        <v>1</v>
      </c>
      <c r="NN38" s="8">
        <v>1</v>
      </c>
      <c r="NO38" s="8">
        <v>1</v>
      </c>
      <c r="NP38" s="40"/>
      <c r="NQ38" s="40"/>
      <c r="NR38" s="8">
        <v>1</v>
      </c>
      <c r="NS38" s="8">
        <v>1</v>
      </c>
      <c r="NT38" s="8">
        <v>1</v>
      </c>
      <c r="NU38" s="8">
        <v>1</v>
      </c>
      <c r="NV38" s="8">
        <v>1</v>
      </c>
      <c r="NW38" s="40"/>
      <c r="NX38" s="40"/>
      <c r="NY38" s="8">
        <v>1</v>
      </c>
      <c r="NZ38" s="8">
        <v>1</v>
      </c>
      <c r="OA38" s="8">
        <v>1</v>
      </c>
      <c r="OB38" s="8"/>
      <c r="OC38" s="8">
        <v>1</v>
      </c>
      <c r="OD38" s="41"/>
      <c r="OE38" s="41"/>
      <c r="OF38" s="8">
        <v>1</v>
      </c>
      <c r="OG38" s="8">
        <v>1</v>
      </c>
      <c r="OH38" s="8">
        <v>1</v>
      </c>
      <c r="OI38" s="47"/>
    </row>
    <row r="39" spans="1:451" s="31" customFormat="1" ht="21" x14ac:dyDescent="0.3">
      <c r="A39" s="61" t="s">
        <v>532</v>
      </c>
      <c r="B39" s="62" t="s">
        <v>435</v>
      </c>
      <c r="C39" s="45"/>
      <c r="D39" s="8">
        <v>1</v>
      </c>
      <c r="E39" s="8">
        <v>1</v>
      </c>
      <c r="F39" s="8">
        <v>1</v>
      </c>
      <c r="G39" s="8">
        <v>1</v>
      </c>
      <c r="H39" s="8">
        <v>1</v>
      </c>
      <c r="I39" s="46"/>
      <c r="J39" s="46"/>
      <c r="K39" s="8">
        <v>1</v>
      </c>
      <c r="L39" s="8">
        <v>1</v>
      </c>
      <c r="M39" s="8">
        <v>1</v>
      </c>
      <c r="N39" s="8">
        <v>1</v>
      </c>
      <c r="O39" s="8">
        <v>1</v>
      </c>
      <c r="P39" s="46"/>
      <c r="Q39" s="46"/>
      <c r="R39" s="8">
        <v>1</v>
      </c>
      <c r="S39" s="8">
        <v>1</v>
      </c>
      <c r="T39" s="8">
        <v>1</v>
      </c>
      <c r="U39" s="8">
        <v>1</v>
      </c>
      <c r="V39" s="8">
        <v>1</v>
      </c>
      <c r="W39" s="46"/>
      <c r="X39" s="46"/>
      <c r="Y39" s="8">
        <v>1</v>
      </c>
      <c r="Z39" s="8">
        <v>1</v>
      </c>
      <c r="AA39" s="8"/>
      <c r="AB39" s="8">
        <v>1</v>
      </c>
      <c r="AC39" s="8">
        <v>1</v>
      </c>
      <c r="AD39" s="46"/>
      <c r="AE39" s="46"/>
      <c r="AF39" s="8">
        <v>1</v>
      </c>
      <c r="AG39" s="8">
        <v>1</v>
      </c>
      <c r="AH39" s="38"/>
      <c r="AI39" s="8">
        <v>1</v>
      </c>
      <c r="AJ39" s="8">
        <v>1</v>
      </c>
      <c r="AK39" s="8"/>
      <c r="AL39" s="8"/>
      <c r="AM39" s="109">
        <v>1</v>
      </c>
      <c r="AN39" s="109">
        <v>1</v>
      </c>
      <c r="AO39" s="8">
        <v>1</v>
      </c>
      <c r="AP39" s="8">
        <v>1</v>
      </c>
      <c r="AQ39" s="8">
        <v>1</v>
      </c>
      <c r="AR39" s="39"/>
      <c r="AS39" s="39"/>
      <c r="AT39" s="8">
        <v>1</v>
      </c>
      <c r="AU39" s="8">
        <v>1</v>
      </c>
      <c r="AV39" s="8">
        <v>1</v>
      </c>
      <c r="AW39" s="8">
        <v>1</v>
      </c>
      <c r="AX39" s="8">
        <v>1</v>
      </c>
      <c r="AY39" s="39"/>
      <c r="AZ39" s="39"/>
      <c r="BA39" s="39">
        <v>1</v>
      </c>
      <c r="BB39" s="39">
        <v>1</v>
      </c>
      <c r="BC39" s="39">
        <v>1</v>
      </c>
      <c r="BD39" s="39">
        <v>1</v>
      </c>
      <c r="BE39" s="39">
        <v>1</v>
      </c>
      <c r="BF39" s="39"/>
      <c r="BG39" s="39"/>
      <c r="BH39" s="39">
        <v>1</v>
      </c>
      <c r="BI39" s="39">
        <v>1</v>
      </c>
      <c r="BJ39" s="39">
        <v>1</v>
      </c>
      <c r="BK39" s="39">
        <v>1</v>
      </c>
      <c r="BL39" s="39">
        <v>1</v>
      </c>
      <c r="BM39" s="40"/>
      <c r="BN39" s="40"/>
      <c r="BO39" s="8">
        <v>1</v>
      </c>
      <c r="BP39" s="8">
        <v>1</v>
      </c>
      <c r="BQ39" s="8">
        <v>1</v>
      </c>
      <c r="BR39" s="8">
        <v>1</v>
      </c>
      <c r="BS39" s="8">
        <v>1</v>
      </c>
      <c r="BT39" s="40"/>
      <c r="BU39" s="40"/>
      <c r="BV39" s="8">
        <v>1</v>
      </c>
      <c r="BW39" s="8">
        <v>1</v>
      </c>
      <c r="BX39" s="8">
        <v>1</v>
      </c>
      <c r="BY39" s="8">
        <v>1</v>
      </c>
      <c r="BZ39" s="8">
        <v>1</v>
      </c>
      <c r="CA39" s="40"/>
      <c r="CB39" s="40"/>
      <c r="CC39" s="8">
        <v>1</v>
      </c>
      <c r="CD39" s="8">
        <v>1</v>
      </c>
      <c r="CE39" s="8">
        <v>1</v>
      </c>
      <c r="CF39" s="8">
        <v>1</v>
      </c>
      <c r="CG39" s="8">
        <v>1</v>
      </c>
      <c r="CH39" s="40"/>
      <c r="CI39" s="40"/>
      <c r="CJ39" s="8">
        <v>1</v>
      </c>
      <c r="CK39" s="8">
        <v>1</v>
      </c>
      <c r="CL39" s="8">
        <v>1</v>
      </c>
      <c r="CM39" s="8">
        <v>1</v>
      </c>
      <c r="CN39" s="8">
        <v>1</v>
      </c>
      <c r="CO39" s="40"/>
      <c r="CP39" s="40"/>
      <c r="CQ39" s="8">
        <v>1</v>
      </c>
      <c r="CR39" s="8">
        <v>1</v>
      </c>
      <c r="CS39" s="8">
        <v>1</v>
      </c>
      <c r="CT39" s="8">
        <v>1</v>
      </c>
      <c r="CU39" s="8">
        <v>1</v>
      </c>
      <c r="CV39" s="40"/>
      <c r="CW39" s="40"/>
      <c r="CX39" s="8">
        <v>1</v>
      </c>
      <c r="CY39" s="8">
        <v>1</v>
      </c>
      <c r="CZ39" s="8">
        <v>1</v>
      </c>
      <c r="DA39" s="8">
        <v>1</v>
      </c>
      <c r="DB39" s="8">
        <v>1</v>
      </c>
      <c r="DC39" s="40"/>
      <c r="DD39" s="40"/>
      <c r="DE39" s="8">
        <v>1</v>
      </c>
      <c r="DF39" s="8">
        <v>1</v>
      </c>
      <c r="DG39" s="8">
        <v>1</v>
      </c>
      <c r="DH39" s="8">
        <v>1</v>
      </c>
      <c r="DI39" s="8">
        <v>1</v>
      </c>
      <c r="DJ39" s="40"/>
      <c r="DK39" s="40"/>
      <c r="DL39" s="8">
        <v>1</v>
      </c>
      <c r="DM39" s="8">
        <v>1</v>
      </c>
      <c r="DN39" s="8">
        <v>1</v>
      </c>
      <c r="DO39" s="8">
        <v>1</v>
      </c>
      <c r="DP39" s="8">
        <v>1</v>
      </c>
      <c r="DQ39" s="41"/>
      <c r="DR39" s="41"/>
      <c r="DS39" s="8">
        <v>1</v>
      </c>
      <c r="DT39" s="8">
        <v>1</v>
      </c>
      <c r="DU39" s="8">
        <v>1</v>
      </c>
      <c r="DV39" s="8">
        <v>1</v>
      </c>
      <c r="DW39" s="8">
        <v>1</v>
      </c>
      <c r="DX39" s="41"/>
      <c r="DY39" s="41"/>
      <c r="DZ39" s="8">
        <v>1</v>
      </c>
      <c r="EA39" s="8">
        <v>1</v>
      </c>
      <c r="EB39" s="8">
        <v>1</v>
      </c>
      <c r="EC39" s="8">
        <v>1</v>
      </c>
      <c r="ED39" s="8">
        <v>1</v>
      </c>
      <c r="EE39" s="41"/>
      <c r="EF39" s="41"/>
      <c r="EG39" s="8">
        <v>1</v>
      </c>
      <c r="EH39" s="8">
        <v>1</v>
      </c>
      <c r="EI39" s="8">
        <v>1</v>
      </c>
      <c r="EJ39" s="8">
        <v>1</v>
      </c>
      <c r="EK39" s="8">
        <v>1</v>
      </c>
      <c r="EL39" s="41"/>
      <c r="EM39" s="41"/>
      <c r="EN39" s="38"/>
      <c r="EO39" s="8">
        <v>1</v>
      </c>
      <c r="EP39" s="8">
        <v>1</v>
      </c>
      <c r="EQ39" s="8">
        <v>1</v>
      </c>
      <c r="ER39" s="8">
        <v>1</v>
      </c>
      <c r="ES39" s="41"/>
      <c r="ET39" s="41"/>
      <c r="EU39" s="8">
        <v>1</v>
      </c>
      <c r="EV39" s="8">
        <v>1</v>
      </c>
      <c r="EW39" s="8">
        <v>1</v>
      </c>
      <c r="EX39" s="38"/>
      <c r="EY39" s="8">
        <v>1</v>
      </c>
      <c r="EZ39" s="41"/>
      <c r="FA39" s="41"/>
      <c r="FB39" s="8">
        <v>1</v>
      </c>
      <c r="FC39" s="8">
        <v>1</v>
      </c>
      <c r="FD39" s="8">
        <v>1</v>
      </c>
      <c r="FE39" s="38"/>
      <c r="FF39" s="8">
        <v>1</v>
      </c>
      <c r="FG39" s="41"/>
      <c r="FH39" s="41"/>
      <c r="FI39" s="8">
        <v>1</v>
      </c>
      <c r="FJ39" s="8">
        <v>1</v>
      </c>
      <c r="FK39" s="8">
        <v>1</v>
      </c>
      <c r="FL39" s="8">
        <v>1</v>
      </c>
      <c r="FM39" s="8">
        <v>1</v>
      </c>
      <c r="FN39" s="41"/>
      <c r="FO39" s="41"/>
      <c r="FP39" s="8">
        <v>1</v>
      </c>
      <c r="FQ39" s="8">
        <v>1</v>
      </c>
      <c r="FR39" s="8">
        <v>1</v>
      </c>
      <c r="FS39" s="8">
        <v>1</v>
      </c>
      <c r="FT39" s="8">
        <v>1</v>
      </c>
      <c r="FU39" s="41"/>
      <c r="FV39" s="41"/>
      <c r="FW39" s="8">
        <v>1</v>
      </c>
      <c r="FX39" s="8">
        <v>1</v>
      </c>
      <c r="FY39" s="8">
        <v>1</v>
      </c>
      <c r="FZ39" s="38"/>
      <c r="GA39" s="8">
        <v>1</v>
      </c>
      <c r="GB39" s="41"/>
      <c r="GC39" s="41"/>
      <c r="GD39" s="8">
        <v>1</v>
      </c>
      <c r="GE39" s="8">
        <v>1</v>
      </c>
      <c r="GF39" s="8">
        <v>1</v>
      </c>
      <c r="GG39" s="8">
        <v>1</v>
      </c>
      <c r="GH39" s="8">
        <v>1</v>
      </c>
      <c r="GI39" s="41"/>
      <c r="GJ39" s="41"/>
      <c r="GK39" s="38"/>
      <c r="GL39" s="8">
        <v>1</v>
      </c>
      <c r="GM39" s="8">
        <v>1</v>
      </c>
      <c r="GN39" s="8">
        <v>1</v>
      </c>
      <c r="GO39" s="8">
        <v>1</v>
      </c>
      <c r="GP39" s="41"/>
      <c r="GQ39" s="41"/>
      <c r="GR39" s="8">
        <v>1</v>
      </c>
      <c r="GS39" s="8">
        <v>1</v>
      </c>
      <c r="GT39" s="8">
        <v>1</v>
      </c>
      <c r="GU39" s="8">
        <v>1</v>
      </c>
      <c r="GV39" s="8">
        <v>1</v>
      </c>
      <c r="GW39" s="41"/>
      <c r="GX39" s="41"/>
      <c r="GY39" s="8">
        <v>1</v>
      </c>
      <c r="GZ39" s="8">
        <v>1</v>
      </c>
      <c r="HA39" s="8">
        <v>1</v>
      </c>
      <c r="HB39" s="8">
        <v>1</v>
      </c>
      <c r="HC39" s="8">
        <v>1</v>
      </c>
      <c r="HD39" s="41"/>
      <c r="HE39" s="41"/>
      <c r="HF39" s="8">
        <v>1</v>
      </c>
      <c r="HG39" s="8">
        <v>1</v>
      </c>
      <c r="HH39" s="8">
        <v>1</v>
      </c>
      <c r="HI39" s="8">
        <v>1</v>
      </c>
      <c r="HJ39" s="8">
        <v>1</v>
      </c>
      <c r="HK39" s="41"/>
      <c r="HL39" s="41"/>
      <c r="HM39" s="8">
        <v>1</v>
      </c>
      <c r="HN39" s="8">
        <v>1</v>
      </c>
      <c r="HO39" s="8">
        <v>1</v>
      </c>
      <c r="HP39" s="8">
        <v>1</v>
      </c>
      <c r="HQ39" s="8">
        <v>1</v>
      </c>
      <c r="HR39" s="41"/>
      <c r="HS39" s="41"/>
      <c r="HT39" s="38"/>
      <c r="HU39" s="8">
        <v>1</v>
      </c>
      <c r="HV39" s="8">
        <v>1</v>
      </c>
      <c r="HW39" s="8">
        <v>1</v>
      </c>
      <c r="HX39" s="8">
        <v>1</v>
      </c>
      <c r="HY39" s="41"/>
      <c r="HZ39" s="41"/>
      <c r="IA39" s="8">
        <v>1</v>
      </c>
      <c r="IB39" s="8">
        <v>1</v>
      </c>
      <c r="IC39" s="8">
        <v>1</v>
      </c>
      <c r="ID39" s="8">
        <v>1</v>
      </c>
      <c r="IE39" s="8">
        <v>1</v>
      </c>
      <c r="IF39" s="41"/>
      <c r="IG39" s="41"/>
      <c r="IH39" s="8">
        <v>1</v>
      </c>
      <c r="II39" s="8">
        <v>1</v>
      </c>
      <c r="IJ39" s="8">
        <v>1</v>
      </c>
      <c r="IK39" s="8">
        <v>1</v>
      </c>
      <c r="IL39" s="8">
        <v>1</v>
      </c>
      <c r="IM39" s="41"/>
      <c r="IN39" s="41"/>
      <c r="IO39" s="8">
        <v>1</v>
      </c>
      <c r="IP39" s="8">
        <v>1</v>
      </c>
      <c r="IQ39" s="8">
        <v>1</v>
      </c>
      <c r="IR39" s="8">
        <v>1</v>
      </c>
      <c r="IS39" s="8">
        <v>1</v>
      </c>
      <c r="IT39" s="41"/>
      <c r="IU39" s="41"/>
      <c r="IV39" s="8">
        <v>1</v>
      </c>
      <c r="IW39" s="8">
        <v>1</v>
      </c>
      <c r="IX39" s="8">
        <v>1</v>
      </c>
      <c r="IY39" s="8">
        <v>1</v>
      </c>
      <c r="IZ39" s="38"/>
      <c r="JA39" s="41"/>
      <c r="JB39" s="41"/>
      <c r="JC39" s="8">
        <v>1</v>
      </c>
      <c r="JD39" s="8">
        <v>1</v>
      </c>
      <c r="JE39" s="8">
        <v>1</v>
      </c>
      <c r="JF39" s="8">
        <v>1</v>
      </c>
      <c r="JG39" s="8">
        <v>1</v>
      </c>
      <c r="JH39" s="41"/>
      <c r="JI39" s="41"/>
      <c r="JJ39" s="8">
        <v>1</v>
      </c>
      <c r="JK39" s="8">
        <v>1</v>
      </c>
      <c r="JL39" s="8">
        <v>1</v>
      </c>
      <c r="JM39" s="8">
        <v>1</v>
      </c>
      <c r="JN39" s="8">
        <v>1</v>
      </c>
      <c r="JO39" s="41"/>
      <c r="JP39" s="41"/>
      <c r="JQ39" s="8">
        <v>1</v>
      </c>
      <c r="JR39" s="8">
        <v>1</v>
      </c>
      <c r="JS39" s="8">
        <v>1</v>
      </c>
      <c r="JT39" s="8">
        <v>1</v>
      </c>
      <c r="JU39" s="8">
        <v>1</v>
      </c>
      <c r="JV39" s="41"/>
      <c r="JW39" s="41"/>
      <c r="JX39" s="8">
        <v>1</v>
      </c>
      <c r="JY39" s="8">
        <v>1</v>
      </c>
      <c r="JZ39" s="8">
        <v>1</v>
      </c>
      <c r="KA39" s="8">
        <v>1</v>
      </c>
      <c r="KB39" s="8">
        <v>1</v>
      </c>
      <c r="KC39" s="41"/>
      <c r="KD39" s="41"/>
      <c r="KE39" s="8">
        <v>1</v>
      </c>
      <c r="KF39" s="8">
        <v>1</v>
      </c>
      <c r="KG39" s="8">
        <v>1</v>
      </c>
      <c r="KH39" s="8">
        <v>1</v>
      </c>
      <c r="KI39" s="8">
        <v>1</v>
      </c>
      <c r="KJ39" s="41"/>
      <c r="KK39" s="41"/>
      <c r="KL39" s="8">
        <v>1</v>
      </c>
      <c r="KM39" s="8">
        <v>1</v>
      </c>
      <c r="KN39" s="8">
        <v>1</v>
      </c>
      <c r="KO39" s="8">
        <v>1</v>
      </c>
      <c r="KP39" s="8">
        <v>1</v>
      </c>
      <c r="KQ39" s="41"/>
      <c r="KR39" s="41"/>
      <c r="KS39" s="8">
        <v>1</v>
      </c>
      <c r="KT39" s="8">
        <v>1</v>
      </c>
      <c r="KU39" s="8">
        <v>1</v>
      </c>
      <c r="KV39" s="8">
        <v>1</v>
      </c>
      <c r="KW39" s="8">
        <v>1</v>
      </c>
      <c r="KX39" s="41"/>
      <c r="KY39" s="41"/>
      <c r="KZ39" s="8">
        <v>1</v>
      </c>
      <c r="LA39" s="8">
        <v>1</v>
      </c>
      <c r="LB39" s="8">
        <v>1</v>
      </c>
      <c r="LC39" s="8">
        <v>1</v>
      </c>
      <c r="LD39" s="8">
        <v>1</v>
      </c>
      <c r="LE39" s="41"/>
      <c r="LF39" s="41"/>
      <c r="LG39" s="8">
        <v>1</v>
      </c>
      <c r="LH39" s="8">
        <v>1</v>
      </c>
      <c r="LI39" s="8">
        <v>1</v>
      </c>
      <c r="LJ39" s="8">
        <v>1</v>
      </c>
      <c r="LK39" s="8">
        <v>1</v>
      </c>
      <c r="LL39" s="41"/>
      <c r="LM39" s="41"/>
      <c r="LN39" s="8">
        <v>1</v>
      </c>
      <c r="LO39" s="8">
        <v>1</v>
      </c>
      <c r="LP39" s="8">
        <v>1</v>
      </c>
      <c r="LQ39" s="8">
        <v>1</v>
      </c>
      <c r="LR39" s="8">
        <v>1</v>
      </c>
      <c r="LS39" s="41"/>
      <c r="LT39" s="41"/>
      <c r="LU39" s="8">
        <v>1</v>
      </c>
      <c r="LV39" s="8">
        <v>1</v>
      </c>
      <c r="LW39" s="8">
        <v>1</v>
      </c>
      <c r="LX39" s="8">
        <v>1</v>
      </c>
      <c r="LY39" s="8">
        <v>1</v>
      </c>
      <c r="LZ39" s="41"/>
      <c r="MA39" s="41"/>
      <c r="MB39" s="8">
        <v>1</v>
      </c>
      <c r="MC39" s="8">
        <v>1</v>
      </c>
      <c r="MD39" s="8">
        <v>1</v>
      </c>
      <c r="ME39" s="8">
        <v>1</v>
      </c>
      <c r="MF39" s="8">
        <v>1</v>
      </c>
      <c r="MG39" s="41"/>
      <c r="MH39" s="41"/>
      <c r="MI39" s="8">
        <v>1</v>
      </c>
      <c r="MJ39" s="8">
        <v>1</v>
      </c>
      <c r="MK39" s="8">
        <v>1</v>
      </c>
      <c r="ML39" s="8">
        <v>1</v>
      </c>
      <c r="MM39" s="8">
        <v>1</v>
      </c>
      <c r="MN39" s="41"/>
      <c r="MO39" s="41"/>
      <c r="MP39" s="8">
        <v>1</v>
      </c>
      <c r="MQ39" s="8">
        <v>1</v>
      </c>
      <c r="MR39" s="8">
        <v>1</v>
      </c>
      <c r="MS39" s="8">
        <v>1</v>
      </c>
      <c r="MT39" s="8">
        <v>1</v>
      </c>
      <c r="MU39" s="41"/>
      <c r="MV39" s="41"/>
      <c r="MW39" s="8">
        <v>1</v>
      </c>
      <c r="MX39" s="8">
        <v>1</v>
      </c>
      <c r="MY39" s="8">
        <v>1</v>
      </c>
      <c r="MZ39" s="8">
        <v>1</v>
      </c>
      <c r="NA39" s="8">
        <v>1</v>
      </c>
      <c r="NB39" s="41"/>
      <c r="NC39" s="41"/>
      <c r="ND39" s="8">
        <v>1</v>
      </c>
      <c r="NE39" s="8">
        <v>1</v>
      </c>
      <c r="NF39" s="8">
        <v>1</v>
      </c>
      <c r="NG39" s="8">
        <v>1</v>
      </c>
      <c r="NH39" s="8">
        <v>1</v>
      </c>
      <c r="NI39" s="41"/>
      <c r="NJ39" s="41"/>
      <c r="NK39" s="8">
        <v>1</v>
      </c>
      <c r="NL39" s="8">
        <v>1</v>
      </c>
      <c r="NM39" s="8">
        <v>1</v>
      </c>
      <c r="NN39" s="8">
        <v>1</v>
      </c>
      <c r="NO39" s="8">
        <v>1</v>
      </c>
      <c r="NP39" s="40"/>
      <c r="NQ39" s="40"/>
      <c r="NR39" s="8">
        <v>1</v>
      </c>
      <c r="NS39" s="8">
        <v>1</v>
      </c>
      <c r="NT39" s="8">
        <v>1</v>
      </c>
      <c r="NU39" s="8">
        <v>1</v>
      </c>
      <c r="NV39" s="8">
        <v>1</v>
      </c>
      <c r="NW39" s="40"/>
      <c r="NX39" s="40"/>
      <c r="NY39" s="8">
        <v>1</v>
      </c>
      <c r="NZ39" s="8">
        <v>1</v>
      </c>
      <c r="OA39" s="8">
        <v>1</v>
      </c>
      <c r="OB39" s="8"/>
      <c r="OC39" s="8">
        <v>1</v>
      </c>
      <c r="OD39" s="41"/>
      <c r="OE39" s="41"/>
      <c r="OF39" s="8">
        <v>1</v>
      </c>
      <c r="OG39" s="8">
        <v>1</v>
      </c>
      <c r="OH39" s="8">
        <v>1</v>
      </c>
      <c r="OI39" s="47"/>
    </row>
    <row r="40" spans="1:451" s="43" customFormat="1" ht="21" x14ac:dyDescent="0.3">
      <c r="A40" s="61" t="s">
        <v>533</v>
      </c>
      <c r="B40" s="62" t="s">
        <v>435</v>
      </c>
      <c r="C40" s="45"/>
      <c r="D40" s="8">
        <v>1</v>
      </c>
      <c r="E40" s="8">
        <v>1</v>
      </c>
      <c r="F40" s="8">
        <v>1</v>
      </c>
      <c r="G40" s="8">
        <v>1</v>
      </c>
      <c r="H40" s="8">
        <v>1</v>
      </c>
      <c r="I40" s="46"/>
      <c r="J40" s="46"/>
      <c r="K40" s="8">
        <v>1</v>
      </c>
      <c r="L40" s="8">
        <v>1</v>
      </c>
      <c r="M40" s="8">
        <v>1</v>
      </c>
      <c r="N40" s="8">
        <v>1</v>
      </c>
      <c r="O40" s="8">
        <v>1</v>
      </c>
      <c r="P40" s="46"/>
      <c r="Q40" s="46"/>
      <c r="R40" s="8">
        <v>1</v>
      </c>
      <c r="S40" s="8">
        <v>1</v>
      </c>
      <c r="T40" s="8">
        <v>1</v>
      </c>
      <c r="U40" s="8">
        <v>1</v>
      </c>
      <c r="V40" s="8">
        <v>1</v>
      </c>
      <c r="W40" s="46"/>
      <c r="X40" s="46"/>
      <c r="Y40" s="8">
        <v>0</v>
      </c>
      <c r="Z40" s="8">
        <v>0</v>
      </c>
      <c r="AA40" s="8"/>
      <c r="AB40" s="8">
        <v>0</v>
      </c>
      <c r="AC40" s="8">
        <v>0</v>
      </c>
      <c r="AD40" s="46"/>
      <c r="AE40" s="46"/>
      <c r="AF40" s="8">
        <v>1</v>
      </c>
      <c r="AG40" s="8">
        <v>1</v>
      </c>
      <c r="AH40" s="38"/>
      <c r="AI40" s="8">
        <v>1</v>
      </c>
      <c r="AJ40" s="8">
        <v>1</v>
      </c>
      <c r="AK40" s="8"/>
      <c r="AL40" s="8"/>
      <c r="AM40" s="109">
        <v>1</v>
      </c>
      <c r="AN40" s="109">
        <v>1</v>
      </c>
      <c r="AO40" s="8">
        <v>1</v>
      </c>
      <c r="AP40" s="8">
        <v>1</v>
      </c>
      <c r="AQ40" s="8">
        <v>1</v>
      </c>
      <c r="AR40" s="39"/>
      <c r="AS40" s="39"/>
      <c r="AT40" s="8">
        <v>1</v>
      </c>
      <c r="AU40" s="8">
        <v>1</v>
      </c>
      <c r="AV40" s="8">
        <v>1</v>
      </c>
      <c r="AW40" s="8">
        <v>1</v>
      </c>
      <c r="AX40" s="8">
        <v>1</v>
      </c>
      <c r="AY40" s="39"/>
      <c r="AZ40" s="39"/>
      <c r="BA40" s="39">
        <v>1</v>
      </c>
      <c r="BB40" s="39">
        <v>1</v>
      </c>
      <c r="BC40" s="39">
        <v>1</v>
      </c>
      <c r="BD40" s="39">
        <v>1</v>
      </c>
      <c r="BE40" s="39">
        <v>1</v>
      </c>
      <c r="BF40" s="39"/>
      <c r="BG40" s="39"/>
      <c r="BH40" s="39">
        <v>1</v>
      </c>
      <c r="BI40" s="39">
        <v>1</v>
      </c>
      <c r="BJ40" s="39">
        <v>1</v>
      </c>
      <c r="BK40" s="39">
        <v>1</v>
      </c>
      <c r="BL40" s="39">
        <v>1</v>
      </c>
      <c r="BM40" s="40"/>
      <c r="BN40" s="40"/>
      <c r="BO40" s="8">
        <v>1</v>
      </c>
      <c r="BP40" s="8">
        <v>1</v>
      </c>
      <c r="BQ40" s="8">
        <v>1</v>
      </c>
      <c r="BR40" s="8">
        <v>1</v>
      </c>
      <c r="BS40" s="8">
        <v>1</v>
      </c>
      <c r="BT40" s="40"/>
      <c r="BU40" s="40"/>
      <c r="BV40" s="8">
        <v>1</v>
      </c>
      <c r="BW40" s="8">
        <v>1</v>
      </c>
      <c r="BX40" s="8">
        <v>1</v>
      </c>
      <c r="BY40" s="8">
        <v>1</v>
      </c>
      <c r="BZ40" s="8">
        <v>1</v>
      </c>
      <c r="CA40" s="40"/>
      <c r="CB40" s="40"/>
      <c r="CC40" s="8">
        <v>1</v>
      </c>
      <c r="CD40" s="8">
        <v>1</v>
      </c>
      <c r="CE40" s="8">
        <v>1</v>
      </c>
      <c r="CF40" s="8">
        <v>1</v>
      </c>
      <c r="CG40" s="8">
        <v>1</v>
      </c>
      <c r="CH40" s="40"/>
      <c r="CI40" s="40"/>
      <c r="CJ40" s="8">
        <v>1</v>
      </c>
      <c r="CK40" s="8">
        <v>1</v>
      </c>
      <c r="CL40" s="8">
        <v>1</v>
      </c>
      <c r="CM40" s="8">
        <v>1</v>
      </c>
      <c r="CN40" s="8">
        <v>1</v>
      </c>
      <c r="CO40" s="40"/>
      <c r="CP40" s="40"/>
      <c r="CQ40" s="8">
        <v>0</v>
      </c>
      <c r="CR40" s="8">
        <v>0</v>
      </c>
      <c r="CS40" s="8">
        <v>0</v>
      </c>
      <c r="CT40" s="8">
        <v>0</v>
      </c>
      <c r="CU40" s="8">
        <v>0</v>
      </c>
      <c r="CV40" s="40"/>
      <c r="CW40" s="40"/>
      <c r="CX40" s="8">
        <v>1</v>
      </c>
      <c r="CY40" s="8">
        <v>1</v>
      </c>
      <c r="CZ40" s="8">
        <v>1</v>
      </c>
      <c r="DA40" s="8">
        <v>1</v>
      </c>
      <c r="DB40" s="8">
        <v>1</v>
      </c>
      <c r="DC40" s="40"/>
      <c r="DD40" s="40"/>
      <c r="DE40" s="8">
        <v>1</v>
      </c>
      <c r="DF40" s="8">
        <v>1</v>
      </c>
      <c r="DG40" s="8">
        <v>1</v>
      </c>
      <c r="DH40" s="8">
        <v>1</v>
      </c>
      <c r="DI40" s="8">
        <v>1</v>
      </c>
      <c r="DJ40" s="40"/>
      <c r="DK40" s="40"/>
      <c r="DL40" s="8">
        <v>1</v>
      </c>
      <c r="DM40" s="8">
        <v>1</v>
      </c>
      <c r="DN40" s="8">
        <v>1</v>
      </c>
      <c r="DO40" s="8">
        <v>1</v>
      </c>
      <c r="DP40" s="8">
        <v>1</v>
      </c>
      <c r="DQ40" s="41"/>
      <c r="DR40" s="41"/>
      <c r="DS40" s="8">
        <v>1</v>
      </c>
      <c r="DT40" s="8">
        <v>1</v>
      </c>
      <c r="DU40" s="8">
        <v>1</v>
      </c>
      <c r="DV40" s="8">
        <v>1</v>
      </c>
      <c r="DW40" s="8">
        <v>1</v>
      </c>
      <c r="DX40" s="41"/>
      <c r="DY40" s="41"/>
      <c r="DZ40" s="8">
        <v>1</v>
      </c>
      <c r="EA40" s="8">
        <v>1</v>
      </c>
      <c r="EB40" s="8">
        <v>1</v>
      </c>
      <c r="EC40" s="8">
        <v>1</v>
      </c>
      <c r="ED40" s="8">
        <v>1</v>
      </c>
      <c r="EE40" s="41"/>
      <c r="EF40" s="41"/>
      <c r="EG40" s="8">
        <v>1</v>
      </c>
      <c r="EH40" s="8">
        <v>1</v>
      </c>
      <c r="EI40" s="8">
        <v>1</v>
      </c>
      <c r="EJ40" s="8">
        <v>1</v>
      </c>
      <c r="EK40" s="8">
        <v>1</v>
      </c>
      <c r="EL40" s="41"/>
      <c r="EM40" s="41"/>
      <c r="EN40" s="38"/>
      <c r="EO40" s="8">
        <v>1</v>
      </c>
      <c r="EP40" s="8">
        <v>1</v>
      </c>
      <c r="EQ40" s="8">
        <v>1</v>
      </c>
      <c r="ER40" s="8">
        <v>1</v>
      </c>
      <c r="ES40" s="41"/>
      <c r="ET40" s="41"/>
      <c r="EU40" s="8">
        <v>1</v>
      </c>
      <c r="EV40" s="8">
        <v>1</v>
      </c>
      <c r="EW40" s="8">
        <v>1</v>
      </c>
      <c r="EX40" s="38"/>
      <c r="EY40" s="8">
        <v>1</v>
      </c>
      <c r="EZ40" s="41"/>
      <c r="FA40" s="41"/>
      <c r="FB40" s="8">
        <v>1</v>
      </c>
      <c r="FC40" s="8">
        <v>1</v>
      </c>
      <c r="FD40" s="8">
        <v>1</v>
      </c>
      <c r="FE40" s="38"/>
      <c r="FF40" s="8">
        <v>1</v>
      </c>
      <c r="FG40" s="41"/>
      <c r="FH40" s="41"/>
      <c r="FI40" s="8">
        <v>1</v>
      </c>
      <c r="FJ40" s="8">
        <v>1</v>
      </c>
      <c r="FK40" s="8">
        <v>1</v>
      </c>
      <c r="FL40" s="8">
        <v>1</v>
      </c>
      <c r="FM40" s="8">
        <v>1</v>
      </c>
      <c r="FN40" s="41"/>
      <c r="FO40" s="41"/>
      <c r="FP40" s="8">
        <v>1</v>
      </c>
      <c r="FQ40" s="8">
        <v>1</v>
      </c>
      <c r="FR40" s="8">
        <v>1</v>
      </c>
      <c r="FS40" s="8">
        <v>1</v>
      </c>
      <c r="FT40" s="8">
        <v>1</v>
      </c>
      <c r="FU40" s="41"/>
      <c r="FV40" s="41"/>
      <c r="FW40" s="8">
        <v>1</v>
      </c>
      <c r="FX40" s="8">
        <v>1</v>
      </c>
      <c r="FY40" s="8">
        <v>1</v>
      </c>
      <c r="FZ40" s="38"/>
      <c r="GA40" s="8">
        <v>1</v>
      </c>
      <c r="GB40" s="41"/>
      <c r="GC40" s="41"/>
      <c r="GD40" s="8">
        <v>1</v>
      </c>
      <c r="GE40" s="8">
        <v>1</v>
      </c>
      <c r="GF40" s="8">
        <v>1</v>
      </c>
      <c r="GG40" s="8">
        <v>1</v>
      </c>
      <c r="GH40" s="8">
        <v>1</v>
      </c>
      <c r="GI40" s="41"/>
      <c r="GJ40" s="41"/>
      <c r="GK40" s="38"/>
      <c r="GL40" s="8">
        <v>1</v>
      </c>
      <c r="GM40" s="8">
        <v>1</v>
      </c>
      <c r="GN40" s="8">
        <v>1</v>
      </c>
      <c r="GO40" s="8">
        <v>1</v>
      </c>
      <c r="GP40" s="41"/>
      <c r="GQ40" s="41"/>
      <c r="GR40" s="8">
        <v>1</v>
      </c>
      <c r="GS40" s="8">
        <v>1</v>
      </c>
      <c r="GT40" s="8">
        <v>1</v>
      </c>
      <c r="GU40" s="8">
        <v>1</v>
      </c>
      <c r="GV40" s="8">
        <v>1</v>
      </c>
      <c r="GW40" s="41"/>
      <c r="GX40" s="41"/>
      <c r="GY40" s="8">
        <v>1</v>
      </c>
      <c r="GZ40" s="8">
        <v>1</v>
      </c>
      <c r="HA40" s="8">
        <v>1</v>
      </c>
      <c r="HB40" s="8">
        <v>1</v>
      </c>
      <c r="HC40" s="8">
        <v>1</v>
      </c>
      <c r="HD40" s="41"/>
      <c r="HE40" s="41"/>
      <c r="HF40" s="8">
        <v>1</v>
      </c>
      <c r="HG40" s="8">
        <v>1</v>
      </c>
      <c r="HH40" s="8">
        <v>1</v>
      </c>
      <c r="HI40" s="8">
        <v>1</v>
      </c>
      <c r="HJ40" s="8">
        <v>1</v>
      </c>
      <c r="HK40" s="41"/>
      <c r="HL40" s="41"/>
      <c r="HM40" s="8">
        <v>1</v>
      </c>
      <c r="HN40" s="8">
        <v>1</v>
      </c>
      <c r="HO40" s="8">
        <v>1</v>
      </c>
      <c r="HP40" s="8">
        <v>1</v>
      </c>
      <c r="HQ40" s="8">
        <v>1</v>
      </c>
      <c r="HR40" s="41"/>
      <c r="HS40" s="41"/>
      <c r="HT40" s="38"/>
      <c r="HU40" s="8">
        <v>1</v>
      </c>
      <c r="HV40" s="8">
        <v>1</v>
      </c>
      <c r="HW40" s="8">
        <v>1</v>
      </c>
      <c r="HX40" s="8">
        <v>1</v>
      </c>
      <c r="HY40" s="41"/>
      <c r="HZ40" s="41"/>
      <c r="IA40" s="8">
        <v>1</v>
      </c>
      <c r="IB40" s="8">
        <v>1</v>
      </c>
      <c r="IC40" s="8">
        <v>1</v>
      </c>
      <c r="ID40" s="8">
        <v>1</v>
      </c>
      <c r="IE40" s="8">
        <v>1</v>
      </c>
      <c r="IF40" s="41"/>
      <c r="IG40" s="41"/>
      <c r="IH40" s="8">
        <v>1</v>
      </c>
      <c r="II40" s="8">
        <v>1</v>
      </c>
      <c r="IJ40" s="8">
        <v>1</v>
      </c>
      <c r="IK40" s="8">
        <v>1</v>
      </c>
      <c r="IL40" s="8">
        <v>1</v>
      </c>
      <c r="IM40" s="41"/>
      <c r="IN40" s="41"/>
      <c r="IO40" s="8">
        <v>1</v>
      </c>
      <c r="IP40" s="8">
        <v>1</v>
      </c>
      <c r="IQ40" s="8">
        <v>1</v>
      </c>
      <c r="IR40" s="8">
        <v>1</v>
      </c>
      <c r="IS40" s="8">
        <v>1</v>
      </c>
      <c r="IT40" s="41"/>
      <c r="IU40" s="41"/>
      <c r="IV40" s="8">
        <v>1</v>
      </c>
      <c r="IW40" s="8">
        <v>1</v>
      </c>
      <c r="IX40" s="8">
        <v>1</v>
      </c>
      <c r="IY40" s="8">
        <v>1</v>
      </c>
      <c r="IZ40" s="38"/>
      <c r="JA40" s="41"/>
      <c r="JB40" s="41"/>
      <c r="JC40" s="8">
        <v>1</v>
      </c>
      <c r="JD40" s="8">
        <v>1</v>
      </c>
      <c r="JE40" s="8">
        <v>1</v>
      </c>
      <c r="JF40" s="8">
        <v>1</v>
      </c>
      <c r="JG40" s="8">
        <v>1</v>
      </c>
      <c r="JH40" s="41"/>
      <c r="JI40" s="41"/>
      <c r="JJ40" s="8">
        <v>1</v>
      </c>
      <c r="JK40" s="8">
        <v>1</v>
      </c>
      <c r="JL40" s="8">
        <v>1</v>
      </c>
      <c r="JM40" s="8">
        <v>1</v>
      </c>
      <c r="JN40" s="8">
        <v>1</v>
      </c>
      <c r="JO40" s="41"/>
      <c r="JP40" s="41"/>
      <c r="JQ40" s="8">
        <v>1</v>
      </c>
      <c r="JR40" s="8">
        <v>1</v>
      </c>
      <c r="JS40" s="8">
        <v>1</v>
      </c>
      <c r="JT40" s="8">
        <v>1</v>
      </c>
      <c r="JU40" s="8">
        <v>1</v>
      </c>
      <c r="JV40" s="41"/>
      <c r="JW40" s="41"/>
      <c r="JX40" s="8">
        <v>1</v>
      </c>
      <c r="JY40" s="8">
        <v>1</v>
      </c>
      <c r="JZ40" s="8">
        <v>1</v>
      </c>
      <c r="KA40" s="8">
        <v>1</v>
      </c>
      <c r="KB40" s="8">
        <v>1</v>
      </c>
      <c r="KC40" s="41"/>
      <c r="KD40" s="41"/>
      <c r="KE40" s="8">
        <v>1</v>
      </c>
      <c r="KF40" s="8">
        <v>1</v>
      </c>
      <c r="KG40" s="8">
        <v>1</v>
      </c>
      <c r="KH40" s="8">
        <v>1</v>
      </c>
      <c r="KI40" s="8">
        <v>1</v>
      </c>
      <c r="KJ40" s="41"/>
      <c r="KK40" s="41"/>
      <c r="KL40" s="8">
        <v>1</v>
      </c>
      <c r="KM40" s="8">
        <v>1</v>
      </c>
      <c r="KN40" s="8">
        <v>1</v>
      </c>
      <c r="KO40" s="8">
        <v>1</v>
      </c>
      <c r="KP40" s="8">
        <v>1</v>
      </c>
      <c r="KQ40" s="41"/>
      <c r="KR40" s="41"/>
      <c r="KS40" s="8">
        <v>1</v>
      </c>
      <c r="KT40" s="8">
        <v>1</v>
      </c>
      <c r="KU40" s="8">
        <v>1</v>
      </c>
      <c r="KV40" s="8">
        <v>1</v>
      </c>
      <c r="KW40" s="8">
        <v>1</v>
      </c>
      <c r="KX40" s="41"/>
      <c r="KY40" s="41"/>
      <c r="KZ40" s="8">
        <v>1</v>
      </c>
      <c r="LA40" s="8">
        <v>1</v>
      </c>
      <c r="LB40" s="8">
        <v>1</v>
      </c>
      <c r="LC40" s="8">
        <v>1</v>
      </c>
      <c r="LD40" s="8">
        <v>1</v>
      </c>
      <c r="LE40" s="41"/>
      <c r="LF40" s="41"/>
      <c r="LG40" s="8">
        <v>1</v>
      </c>
      <c r="LH40" s="8">
        <v>1</v>
      </c>
      <c r="LI40" s="8">
        <v>1</v>
      </c>
      <c r="LJ40" s="8">
        <v>1</v>
      </c>
      <c r="LK40" s="8">
        <v>1</v>
      </c>
      <c r="LL40" s="41"/>
      <c r="LM40" s="41"/>
      <c r="LN40" s="8">
        <v>1</v>
      </c>
      <c r="LO40" s="8">
        <v>1</v>
      </c>
      <c r="LP40" s="8">
        <v>1</v>
      </c>
      <c r="LQ40" s="8">
        <v>1</v>
      </c>
      <c r="LR40" s="8">
        <v>1</v>
      </c>
      <c r="LS40" s="41"/>
      <c r="LT40" s="41"/>
      <c r="LU40" s="8">
        <v>1</v>
      </c>
      <c r="LV40" s="8">
        <v>1</v>
      </c>
      <c r="LW40" s="8">
        <v>1</v>
      </c>
      <c r="LX40" s="8">
        <v>1</v>
      </c>
      <c r="LY40" s="8">
        <v>1</v>
      </c>
      <c r="LZ40" s="41"/>
      <c r="MA40" s="41"/>
      <c r="MB40" s="8">
        <v>1</v>
      </c>
      <c r="MC40" s="8">
        <v>1</v>
      </c>
      <c r="MD40" s="8">
        <v>1</v>
      </c>
      <c r="ME40" s="8">
        <v>1</v>
      </c>
      <c r="MF40" s="8">
        <v>1</v>
      </c>
      <c r="MG40" s="41"/>
      <c r="MH40" s="41"/>
      <c r="MI40" s="8">
        <v>1</v>
      </c>
      <c r="MJ40" s="8">
        <v>1</v>
      </c>
      <c r="MK40" s="8">
        <v>1</v>
      </c>
      <c r="ML40" s="8">
        <v>1</v>
      </c>
      <c r="MM40" s="8">
        <v>1</v>
      </c>
      <c r="MN40" s="41"/>
      <c r="MO40" s="41"/>
      <c r="MP40" s="8">
        <v>1</v>
      </c>
      <c r="MQ40" s="8">
        <v>1</v>
      </c>
      <c r="MR40" s="8">
        <v>1</v>
      </c>
      <c r="MS40" s="8">
        <v>1</v>
      </c>
      <c r="MT40" s="8">
        <v>1</v>
      </c>
      <c r="MU40" s="41"/>
      <c r="MV40" s="41"/>
      <c r="MW40" s="8">
        <v>1</v>
      </c>
      <c r="MX40" s="8">
        <v>1</v>
      </c>
      <c r="MY40" s="8">
        <v>1</v>
      </c>
      <c r="MZ40" s="8">
        <v>1</v>
      </c>
      <c r="NA40" s="8">
        <v>1</v>
      </c>
      <c r="NB40" s="41"/>
      <c r="NC40" s="41"/>
      <c r="ND40" s="8">
        <v>1</v>
      </c>
      <c r="NE40" s="8">
        <v>1</v>
      </c>
      <c r="NF40" s="8">
        <v>1</v>
      </c>
      <c r="NG40" s="8">
        <v>1</v>
      </c>
      <c r="NH40" s="8">
        <v>1</v>
      </c>
      <c r="NI40" s="41"/>
      <c r="NJ40" s="41"/>
      <c r="NK40" s="8">
        <v>1</v>
      </c>
      <c r="NL40" s="8">
        <v>1</v>
      </c>
      <c r="NM40" s="8">
        <v>1</v>
      </c>
      <c r="NN40" s="8">
        <v>1</v>
      </c>
      <c r="NO40" s="8">
        <v>1</v>
      </c>
      <c r="NP40" s="40"/>
      <c r="NQ40" s="40"/>
      <c r="NR40" s="8">
        <v>1</v>
      </c>
      <c r="NS40" s="8">
        <v>1</v>
      </c>
      <c r="NT40" s="8">
        <v>1</v>
      </c>
      <c r="NU40" s="8">
        <v>1</v>
      </c>
      <c r="NV40" s="8">
        <v>1</v>
      </c>
      <c r="NW40" s="40"/>
      <c r="NX40" s="40"/>
      <c r="NY40" s="8">
        <v>1</v>
      </c>
      <c r="NZ40" s="8">
        <v>1</v>
      </c>
      <c r="OA40" s="8">
        <v>1</v>
      </c>
      <c r="OB40" s="8"/>
      <c r="OC40" s="8">
        <v>1</v>
      </c>
      <c r="OD40" s="41"/>
      <c r="OE40" s="41"/>
      <c r="OF40" s="8">
        <v>1</v>
      </c>
      <c r="OG40" s="8">
        <v>1</v>
      </c>
      <c r="OH40" s="8">
        <v>1</v>
      </c>
      <c r="OI40" s="32"/>
      <c r="OJ40" s="33"/>
      <c r="OK40" s="33"/>
      <c r="OL40" s="33"/>
      <c r="OM40" s="33"/>
      <c r="ON40" s="33"/>
      <c r="OO40" s="33"/>
      <c r="OP40" s="33"/>
      <c r="OQ40" s="33"/>
      <c r="OR40" s="33"/>
      <c r="OS40" s="33"/>
      <c r="OT40" s="33"/>
      <c r="OU40" s="33"/>
      <c r="OV40" s="33"/>
      <c r="OW40" s="33"/>
      <c r="OX40" s="33"/>
      <c r="OY40" s="33"/>
      <c r="OZ40" s="33"/>
      <c r="PA40" s="33"/>
      <c r="PB40" s="33"/>
      <c r="PC40" s="33"/>
      <c r="PD40" s="33"/>
      <c r="PE40" s="33"/>
      <c r="PF40" s="33"/>
      <c r="PG40" s="33"/>
      <c r="PH40" s="33"/>
      <c r="PI40" s="33"/>
      <c r="PJ40" s="33"/>
      <c r="PK40" s="33"/>
      <c r="PL40" s="33"/>
      <c r="PM40" s="33"/>
      <c r="PN40" s="33"/>
      <c r="PO40" s="33"/>
      <c r="PP40" s="33"/>
      <c r="PQ40" s="33"/>
      <c r="PR40" s="33"/>
      <c r="PS40" s="33"/>
      <c r="PT40" s="33"/>
      <c r="PU40" s="42"/>
      <c r="PV40" s="42"/>
      <c r="PW40" s="42"/>
      <c r="PX40" s="42"/>
      <c r="PY40" s="42"/>
      <c r="PZ40" s="42"/>
      <c r="QA40" s="42"/>
      <c r="QB40" s="42"/>
      <c r="QC40" s="42"/>
      <c r="QD40" s="42"/>
      <c r="QE40" s="42"/>
      <c r="QF40" s="42"/>
      <c r="QG40" s="42"/>
      <c r="QH40" s="42"/>
      <c r="QI40" s="42"/>
    </row>
    <row r="41" spans="1:451" s="31" customFormat="1" ht="21" x14ac:dyDescent="0.3">
      <c r="A41" s="61" t="s">
        <v>534</v>
      </c>
      <c r="B41" s="62" t="s">
        <v>435</v>
      </c>
      <c r="C41" s="45"/>
      <c r="D41" s="8">
        <v>1</v>
      </c>
      <c r="E41" s="8">
        <v>1</v>
      </c>
      <c r="F41" s="8">
        <v>1</v>
      </c>
      <c r="G41" s="8">
        <v>1</v>
      </c>
      <c r="H41" s="8">
        <v>1</v>
      </c>
      <c r="I41" s="46"/>
      <c r="J41" s="46"/>
      <c r="K41" s="8">
        <v>1</v>
      </c>
      <c r="L41" s="8">
        <v>1</v>
      </c>
      <c r="M41" s="8">
        <v>1</v>
      </c>
      <c r="N41" s="8">
        <v>1</v>
      </c>
      <c r="O41" s="8">
        <v>1</v>
      </c>
      <c r="P41" s="46"/>
      <c r="Q41" s="46"/>
      <c r="R41" s="8">
        <v>1</v>
      </c>
      <c r="S41" s="8">
        <v>1</v>
      </c>
      <c r="T41" s="8">
        <v>1</v>
      </c>
      <c r="U41" s="8">
        <v>1</v>
      </c>
      <c r="V41" s="8">
        <v>1</v>
      </c>
      <c r="W41" s="46"/>
      <c r="X41" s="46"/>
      <c r="Y41" s="8">
        <v>1</v>
      </c>
      <c r="Z41" s="8">
        <v>0</v>
      </c>
      <c r="AA41" s="8"/>
      <c r="AB41" s="8">
        <v>0</v>
      </c>
      <c r="AC41" s="8">
        <v>0</v>
      </c>
      <c r="AD41" s="46"/>
      <c r="AE41" s="46"/>
      <c r="AF41" s="8">
        <v>1</v>
      </c>
      <c r="AG41" s="8">
        <v>1</v>
      </c>
      <c r="AH41" s="38"/>
      <c r="AI41" s="8">
        <v>1</v>
      </c>
      <c r="AJ41" s="8">
        <v>1</v>
      </c>
      <c r="AK41" s="8"/>
      <c r="AL41" s="8"/>
      <c r="AM41" s="109">
        <v>1</v>
      </c>
      <c r="AN41" s="109">
        <v>1</v>
      </c>
      <c r="AO41" s="8">
        <v>1</v>
      </c>
      <c r="AP41" s="8">
        <v>1</v>
      </c>
      <c r="AQ41" s="8">
        <v>1</v>
      </c>
      <c r="AR41" s="39"/>
      <c r="AS41" s="39"/>
      <c r="AT41" s="8">
        <v>1</v>
      </c>
      <c r="AU41" s="8">
        <v>1</v>
      </c>
      <c r="AV41" s="8">
        <v>1</v>
      </c>
      <c r="AW41" s="8">
        <v>1</v>
      </c>
      <c r="AX41" s="8">
        <v>1</v>
      </c>
      <c r="AY41" s="39"/>
      <c r="AZ41" s="39"/>
      <c r="BA41" s="39">
        <v>1</v>
      </c>
      <c r="BB41" s="39">
        <v>1</v>
      </c>
      <c r="BC41" s="39">
        <v>1</v>
      </c>
      <c r="BD41" s="39">
        <v>1</v>
      </c>
      <c r="BE41" s="39">
        <v>1</v>
      </c>
      <c r="BF41" s="39"/>
      <c r="BG41" s="39"/>
      <c r="BH41" s="39">
        <v>1</v>
      </c>
      <c r="BI41" s="39">
        <v>1</v>
      </c>
      <c r="BJ41" s="39">
        <v>1</v>
      </c>
      <c r="BK41" s="39">
        <v>1</v>
      </c>
      <c r="BL41" s="39">
        <v>1</v>
      </c>
      <c r="BM41" s="40"/>
      <c r="BN41" s="40"/>
      <c r="BO41" s="8">
        <v>1</v>
      </c>
      <c r="BP41" s="8">
        <v>1</v>
      </c>
      <c r="BQ41" s="8">
        <v>1</v>
      </c>
      <c r="BR41" s="8">
        <v>1</v>
      </c>
      <c r="BS41" s="8">
        <v>1</v>
      </c>
      <c r="BT41" s="40"/>
      <c r="BU41" s="40"/>
      <c r="BV41" s="8">
        <v>1</v>
      </c>
      <c r="BW41" s="8">
        <v>1</v>
      </c>
      <c r="BX41" s="8">
        <v>1</v>
      </c>
      <c r="BY41" s="8">
        <v>1</v>
      </c>
      <c r="BZ41" s="8">
        <v>1</v>
      </c>
      <c r="CA41" s="40"/>
      <c r="CB41" s="40"/>
      <c r="CC41" s="8">
        <v>1</v>
      </c>
      <c r="CD41" s="8">
        <v>1</v>
      </c>
      <c r="CE41" s="8">
        <v>1</v>
      </c>
      <c r="CF41" s="8">
        <v>1</v>
      </c>
      <c r="CG41" s="8">
        <v>1</v>
      </c>
      <c r="CH41" s="40"/>
      <c r="CI41" s="40"/>
      <c r="CJ41" s="8">
        <v>1</v>
      </c>
      <c r="CK41" s="8">
        <v>1</v>
      </c>
      <c r="CL41" s="8">
        <v>1</v>
      </c>
      <c r="CM41" s="8">
        <v>1</v>
      </c>
      <c r="CN41" s="8">
        <v>1</v>
      </c>
      <c r="CO41" s="40"/>
      <c r="CP41" s="40"/>
      <c r="CQ41" s="8">
        <v>1</v>
      </c>
      <c r="CR41" s="8">
        <v>1</v>
      </c>
      <c r="CS41" s="8">
        <v>1</v>
      </c>
      <c r="CT41" s="8">
        <v>1</v>
      </c>
      <c r="CU41" s="8">
        <v>1</v>
      </c>
      <c r="CV41" s="40"/>
      <c r="CW41" s="40"/>
      <c r="CX41" s="8">
        <v>1</v>
      </c>
      <c r="CY41" s="8">
        <v>1</v>
      </c>
      <c r="CZ41" s="8">
        <v>1</v>
      </c>
      <c r="DA41" s="8">
        <v>1</v>
      </c>
      <c r="DB41" s="8">
        <v>1</v>
      </c>
      <c r="DC41" s="40"/>
      <c r="DD41" s="40"/>
      <c r="DE41" s="8">
        <v>1</v>
      </c>
      <c r="DF41" s="8">
        <v>1</v>
      </c>
      <c r="DG41" s="8">
        <v>1</v>
      </c>
      <c r="DH41" s="8">
        <v>1</v>
      </c>
      <c r="DI41" s="8">
        <v>1</v>
      </c>
      <c r="DJ41" s="40"/>
      <c r="DK41" s="40"/>
      <c r="DL41" s="8">
        <v>1</v>
      </c>
      <c r="DM41" s="8">
        <v>1</v>
      </c>
      <c r="DN41" s="8">
        <v>1</v>
      </c>
      <c r="DO41" s="8">
        <v>1</v>
      </c>
      <c r="DP41" s="8">
        <v>1</v>
      </c>
      <c r="DQ41" s="41"/>
      <c r="DR41" s="41"/>
      <c r="DS41" s="8">
        <v>1</v>
      </c>
      <c r="DT41" s="8">
        <v>1</v>
      </c>
      <c r="DU41" s="8">
        <v>1</v>
      </c>
      <c r="DV41" s="8">
        <v>1</v>
      </c>
      <c r="DW41" s="8">
        <v>1</v>
      </c>
      <c r="DX41" s="41"/>
      <c r="DY41" s="41"/>
      <c r="DZ41" s="8">
        <v>1</v>
      </c>
      <c r="EA41" s="8">
        <v>1</v>
      </c>
      <c r="EB41" s="8">
        <v>1</v>
      </c>
      <c r="EC41" s="8">
        <v>1</v>
      </c>
      <c r="ED41" s="8">
        <v>1</v>
      </c>
      <c r="EE41" s="41"/>
      <c r="EF41" s="41"/>
      <c r="EG41" s="8">
        <v>1</v>
      </c>
      <c r="EH41" s="8">
        <v>1</v>
      </c>
      <c r="EI41" s="8">
        <v>1</v>
      </c>
      <c r="EJ41" s="8">
        <v>1</v>
      </c>
      <c r="EK41" s="8">
        <v>1</v>
      </c>
      <c r="EL41" s="41"/>
      <c r="EM41" s="41"/>
      <c r="EN41" s="38"/>
      <c r="EO41" s="8">
        <v>1</v>
      </c>
      <c r="EP41" s="8">
        <v>1</v>
      </c>
      <c r="EQ41" s="8">
        <v>1</v>
      </c>
      <c r="ER41" s="8">
        <v>1</v>
      </c>
      <c r="ES41" s="41"/>
      <c r="ET41" s="41"/>
      <c r="EU41" s="8">
        <v>1</v>
      </c>
      <c r="EV41" s="8">
        <v>1</v>
      </c>
      <c r="EW41" s="8">
        <v>1</v>
      </c>
      <c r="EX41" s="38"/>
      <c r="EY41" s="8">
        <v>1</v>
      </c>
      <c r="EZ41" s="41"/>
      <c r="FA41" s="41"/>
      <c r="FB41" s="8">
        <v>1</v>
      </c>
      <c r="FC41" s="8">
        <v>1</v>
      </c>
      <c r="FD41" s="8">
        <v>1</v>
      </c>
      <c r="FE41" s="38"/>
      <c r="FF41" s="8">
        <v>1</v>
      </c>
      <c r="FG41" s="41"/>
      <c r="FH41" s="41"/>
      <c r="FI41" s="8">
        <v>1</v>
      </c>
      <c r="FJ41" s="8">
        <v>1</v>
      </c>
      <c r="FK41" s="8">
        <v>1</v>
      </c>
      <c r="FL41" s="8">
        <v>1</v>
      </c>
      <c r="FM41" s="8">
        <v>1</v>
      </c>
      <c r="FN41" s="41"/>
      <c r="FO41" s="41"/>
      <c r="FP41" s="8">
        <v>1</v>
      </c>
      <c r="FQ41" s="8">
        <v>1</v>
      </c>
      <c r="FR41" s="8">
        <v>1</v>
      </c>
      <c r="FS41" s="8">
        <v>1</v>
      </c>
      <c r="FT41" s="8">
        <v>1</v>
      </c>
      <c r="FU41" s="41"/>
      <c r="FV41" s="41"/>
      <c r="FW41" s="8">
        <v>1</v>
      </c>
      <c r="FX41" s="8">
        <v>1</v>
      </c>
      <c r="FY41" s="8">
        <v>1</v>
      </c>
      <c r="FZ41" s="38"/>
      <c r="GA41" s="8">
        <v>1</v>
      </c>
      <c r="GB41" s="41"/>
      <c r="GC41" s="41"/>
      <c r="GD41" s="8">
        <v>1</v>
      </c>
      <c r="GE41" s="8">
        <v>1</v>
      </c>
      <c r="GF41" s="8">
        <v>1</v>
      </c>
      <c r="GG41" s="8">
        <v>1</v>
      </c>
      <c r="GH41" s="8">
        <v>1</v>
      </c>
      <c r="GI41" s="41"/>
      <c r="GJ41" s="41"/>
      <c r="GK41" s="38"/>
      <c r="GL41" s="8">
        <v>1</v>
      </c>
      <c r="GM41" s="8">
        <v>1</v>
      </c>
      <c r="GN41" s="8">
        <v>1</v>
      </c>
      <c r="GO41" s="8">
        <v>1</v>
      </c>
      <c r="GP41" s="41"/>
      <c r="GQ41" s="41"/>
      <c r="GR41" s="8">
        <v>1</v>
      </c>
      <c r="GS41" s="8">
        <v>1</v>
      </c>
      <c r="GT41" s="8">
        <v>1</v>
      </c>
      <c r="GU41" s="8">
        <v>1</v>
      </c>
      <c r="GV41" s="8">
        <v>1</v>
      </c>
      <c r="GW41" s="41"/>
      <c r="GX41" s="41"/>
      <c r="GY41" s="8">
        <v>1</v>
      </c>
      <c r="GZ41" s="8">
        <v>1</v>
      </c>
      <c r="HA41" s="8">
        <v>1</v>
      </c>
      <c r="HB41" s="8">
        <v>1</v>
      </c>
      <c r="HC41" s="8">
        <v>1</v>
      </c>
      <c r="HD41" s="41"/>
      <c r="HE41" s="41"/>
      <c r="HF41" s="8">
        <v>1</v>
      </c>
      <c r="HG41" s="8">
        <v>1</v>
      </c>
      <c r="HH41" s="8">
        <v>1</v>
      </c>
      <c r="HI41" s="8">
        <v>1</v>
      </c>
      <c r="HJ41" s="8">
        <v>1</v>
      </c>
      <c r="HK41" s="41"/>
      <c r="HL41" s="41"/>
      <c r="HM41" s="8">
        <v>1</v>
      </c>
      <c r="HN41" s="8">
        <v>1</v>
      </c>
      <c r="HO41" s="8">
        <v>1</v>
      </c>
      <c r="HP41" s="8">
        <v>1</v>
      </c>
      <c r="HQ41" s="8">
        <v>1</v>
      </c>
      <c r="HR41" s="41"/>
      <c r="HS41" s="41"/>
      <c r="HT41" s="38"/>
      <c r="HU41" s="8">
        <v>1</v>
      </c>
      <c r="HV41" s="8">
        <v>1</v>
      </c>
      <c r="HW41" s="8">
        <v>1</v>
      </c>
      <c r="HX41" s="8">
        <v>1</v>
      </c>
      <c r="HY41" s="41"/>
      <c r="HZ41" s="41"/>
      <c r="IA41" s="8">
        <v>1</v>
      </c>
      <c r="IB41" s="8">
        <v>1</v>
      </c>
      <c r="IC41" s="8">
        <v>1</v>
      </c>
      <c r="ID41" s="8">
        <v>1</v>
      </c>
      <c r="IE41" s="8">
        <v>1</v>
      </c>
      <c r="IF41" s="41"/>
      <c r="IG41" s="41"/>
      <c r="IH41" s="8">
        <v>1</v>
      </c>
      <c r="II41" s="8">
        <v>1</v>
      </c>
      <c r="IJ41" s="8">
        <v>1</v>
      </c>
      <c r="IK41" s="8">
        <v>1</v>
      </c>
      <c r="IL41" s="8">
        <v>1</v>
      </c>
      <c r="IM41" s="41"/>
      <c r="IN41" s="41"/>
      <c r="IO41" s="8">
        <v>1</v>
      </c>
      <c r="IP41" s="8">
        <v>1</v>
      </c>
      <c r="IQ41" s="8">
        <v>1</v>
      </c>
      <c r="IR41" s="8">
        <v>1</v>
      </c>
      <c r="IS41" s="8">
        <v>1</v>
      </c>
      <c r="IT41" s="41"/>
      <c r="IU41" s="41"/>
      <c r="IV41" s="8">
        <v>1</v>
      </c>
      <c r="IW41" s="8">
        <v>1</v>
      </c>
      <c r="IX41" s="8">
        <v>1</v>
      </c>
      <c r="IY41" s="8">
        <v>1</v>
      </c>
      <c r="IZ41" s="38"/>
      <c r="JA41" s="41"/>
      <c r="JB41" s="41"/>
      <c r="JC41" s="8">
        <v>1</v>
      </c>
      <c r="JD41" s="8">
        <v>1</v>
      </c>
      <c r="JE41" s="8">
        <v>1</v>
      </c>
      <c r="JF41" s="8">
        <v>1</v>
      </c>
      <c r="JG41" s="8">
        <v>1</v>
      </c>
      <c r="JH41" s="41"/>
      <c r="JI41" s="41"/>
      <c r="JJ41" s="8">
        <v>1</v>
      </c>
      <c r="JK41" s="8">
        <v>1</v>
      </c>
      <c r="JL41" s="8">
        <v>1</v>
      </c>
      <c r="JM41" s="8">
        <v>1</v>
      </c>
      <c r="JN41" s="8">
        <v>1</v>
      </c>
      <c r="JO41" s="41"/>
      <c r="JP41" s="41"/>
      <c r="JQ41" s="8">
        <v>1</v>
      </c>
      <c r="JR41" s="8">
        <v>1</v>
      </c>
      <c r="JS41" s="8">
        <v>1</v>
      </c>
      <c r="JT41" s="8">
        <v>1</v>
      </c>
      <c r="JU41" s="8">
        <v>1</v>
      </c>
      <c r="JV41" s="41"/>
      <c r="JW41" s="41"/>
      <c r="JX41" s="8">
        <v>1</v>
      </c>
      <c r="JY41" s="8">
        <v>1</v>
      </c>
      <c r="JZ41" s="8">
        <v>1</v>
      </c>
      <c r="KA41" s="8">
        <v>1</v>
      </c>
      <c r="KB41" s="8">
        <v>1</v>
      </c>
      <c r="KC41" s="41"/>
      <c r="KD41" s="41"/>
      <c r="KE41" s="8">
        <v>1</v>
      </c>
      <c r="KF41" s="8">
        <v>1</v>
      </c>
      <c r="KG41" s="8">
        <v>1</v>
      </c>
      <c r="KH41" s="8">
        <v>1</v>
      </c>
      <c r="KI41" s="8">
        <v>1</v>
      </c>
      <c r="KJ41" s="41"/>
      <c r="KK41" s="41"/>
      <c r="KL41" s="8">
        <v>1</v>
      </c>
      <c r="KM41" s="8">
        <v>1</v>
      </c>
      <c r="KN41" s="8">
        <v>1</v>
      </c>
      <c r="KO41" s="8">
        <v>1</v>
      </c>
      <c r="KP41" s="8">
        <v>1</v>
      </c>
      <c r="KQ41" s="41"/>
      <c r="KR41" s="41"/>
      <c r="KS41" s="8">
        <v>1</v>
      </c>
      <c r="KT41" s="8">
        <v>1</v>
      </c>
      <c r="KU41" s="8">
        <v>1</v>
      </c>
      <c r="KV41" s="8">
        <v>1</v>
      </c>
      <c r="KW41" s="8">
        <v>1</v>
      </c>
      <c r="KX41" s="41"/>
      <c r="KY41" s="41"/>
      <c r="KZ41" s="8">
        <v>1</v>
      </c>
      <c r="LA41" s="8">
        <v>1</v>
      </c>
      <c r="LB41" s="8">
        <v>1</v>
      </c>
      <c r="LC41" s="8">
        <v>1</v>
      </c>
      <c r="LD41" s="8">
        <v>1</v>
      </c>
      <c r="LE41" s="41"/>
      <c r="LF41" s="41"/>
      <c r="LG41" s="8">
        <v>1</v>
      </c>
      <c r="LH41" s="8">
        <v>1</v>
      </c>
      <c r="LI41" s="8">
        <v>1</v>
      </c>
      <c r="LJ41" s="8">
        <v>1</v>
      </c>
      <c r="LK41" s="8">
        <v>1</v>
      </c>
      <c r="LL41" s="41"/>
      <c r="LM41" s="41"/>
      <c r="LN41" s="8">
        <v>1</v>
      </c>
      <c r="LO41" s="8">
        <v>1</v>
      </c>
      <c r="LP41" s="8">
        <v>1</v>
      </c>
      <c r="LQ41" s="8">
        <v>1</v>
      </c>
      <c r="LR41" s="8">
        <v>1</v>
      </c>
      <c r="LS41" s="41"/>
      <c r="LT41" s="41"/>
      <c r="LU41" s="8">
        <v>1</v>
      </c>
      <c r="LV41" s="8">
        <v>1</v>
      </c>
      <c r="LW41" s="8">
        <v>1</v>
      </c>
      <c r="LX41" s="8">
        <v>1</v>
      </c>
      <c r="LY41" s="8">
        <v>1</v>
      </c>
      <c r="LZ41" s="41"/>
      <c r="MA41" s="41"/>
      <c r="MB41" s="8">
        <v>1</v>
      </c>
      <c r="MC41" s="8">
        <v>1</v>
      </c>
      <c r="MD41" s="8">
        <v>1</v>
      </c>
      <c r="ME41" s="8">
        <v>1</v>
      </c>
      <c r="MF41" s="8">
        <v>1</v>
      </c>
      <c r="MG41" s="41"/>
      <c r="MH41" s="41"/>
      <c r="MI41" s="8">
        <v>1</v>
      </c>
      <c r="MJ41" s="8">
        <v>1</v>
      </c>
      <c r="MK41" s="8">
        <v>1</v>
      </c>
      <c r="ML41" s="8">
        <v>1</v>
      </c>
      <c r="MM41" s="8">
        <v>1</v>
      </c>
      <c r="MN41" s="41"/>
      <c r="MO41" s="41"/>
      <c r="MP41" s="8">
        <v>1</v>
      </c>
      <c r="MQ41" s="8">
        <v>1</v>
      </c>
      <c r="MR41" s="8">
        <v>1</v>
      </c>
      <c r="MS41" s="8">
        <v>1</v>
      </c>
      <c r="MT41" s="8">
        <v>1</v>
      </c>
      <c r="MU41" s="41"/>
      <c r="MV41" s="41"/>
      <c r="MW41" s="8">
        <v>1</v>
      </c>
      <c r="MX41" s="8">
        <v>1</v>
      </c>
      <c r="MY41" s="8">
        <v>1</v>
      </c>
      <c r="MZ41" s="8">
        <v>1</v>
      </c>
      <c r="NA41" s="8">
        <v>1</v>
      </c>
      <c r="NB41" s="41"/>
      <c r="NC41" s="41"/>
      <c r="ND41" s="8">
        <v>1</v>
      </c>
      <c r="NE41" s="8">
        <v>1</v>
      </c>
      <c r="NF41" s="8">
        <v>1</v>
      </c>
      <c r="NG41" s="8">
        <v>1</v>
      </c>
      <c r="NH41" s="8">
        <v>1</v>
      </c>
      <c r="NI41" s="41"/>
      <c r="NJ41" s="41"/>
      <c r="NK41" s="8">
        <v>1</v>
      </c>
      <c r="NL41" s="8">
        <v>1</v>
      </c>
      <c r="NM41" s="8">
        <v>1</v>
      </c>
      <c r="NN41" s="8">
        <v>1</v>
      </c>
      <c r="NO41" s="8">
        <v>1</v>
      </c>
      <c r="NP41" s="40"/>
      <c r="NQ41" s="40"/>
      <c r="NR41" s="8">
        <v>1</v>
      </c>
      <c r="NS41" s="8">
        <v>1</v>
      </c>
      <c r="NT41" s="8">
        <v>1</v>
      </c>
      <c r="NU41" s="8">
        <v>1</v>
      </c>
      <c r="NV41" s="8">
        <v>1</v>
      </c>
      <c r="NW41" s="40"/>
      <c r="NX41" s="40"/>
      <c r="NY41" s="8">
        <v>1</v>
      </c>
      <c r="NZ41" s="8">
        <v>1</v>
      </c>
      <c r="OA41" s="8">
        <v>1</v>
      </c>
      <c r="OB41" s="8"/>
      <c r="OC41" s="8">
        <v>1</v>
      </c>
      <c r="OD41" s="41"/>
      <c r="OE41" s="41"/>
      <c r="OF41" s="8">
        <v>1</v>
      </c>
      <c r="OG41" s="8">
        <v>1</v>
      </c>
      <c r="OH41" s="8">
        <v>1</v>
      </c>
      <c r="OI41" s="47"/>
    </row>
    <row r="42" spans="1:451" s="31" customFormat="1" ht="21" x14ac:dyDescent="0.3">
      <c r="A42" s="61" t="s">
        <v>535</v>
      </c>
      <c r="B42" s="62" t="s">
        <v>435</v>
      </c>
      <c r="C42" s="45"/>
      <c r="D42" s="8">
        <v>1</v>
      </c>
      <c r="E42" s="8">
        <v>1</v>
      </c>
      <c r="F42" s="8">
        <v>1</v>
      </c>
      <c r="G42" s="8">
        <v>1</v>
      </c>
      <c r="H42" s="8">
        <v>1</v>
      </c>
      <c r="I42" s="46"/>
      <c r="J42" s="46"/>
      <c r="K42" s="8">
        <v>0</v>
      </c>
      <c r="L42" s="8">
        <v>1</v>
      </c>
      <c r="M42" s="8">
        <v>1</v>
      </c>
      <c r="N42" s="8">
        <v>1</v>
      </c>
      <c r="O42" s="8">
        <v>1</v>
      </c>
      <c r="P42" s="46"/>
      <c r="Q42" s="46"/>
      <c r="R42" s="8">
        <v>1</v>
      </c>
      <c r="S42" s="8">
        <v>1</v>
      </c>
      <c r="T42" s="8">
        <v>1</v>
      </c>
      <c r="U42" s="8">
        <v>1</v>
      </c>
      <c r="V42" s="8">
        <v>1</v>
      </c>
      <c r="W42" s="46"/>
      <c r="X42" s="46"/>
      <c r="Y42" s="8">
        <v>0</v>
      </c>
      <c r="Z42" s="8">
        <v>0</v>
      </c>
      <c r="AA42" s="8"/>
      <c r="AB42" s="8">
        <v>0</v>
      </c>
      <c r="AC42" s="8">
        <v>0</v>
      </c>
      <c r="AD42" s="46"/>
      <c r="AE42" s="46"/>
      <c r="AF42" s="8">
        <v>0</v>
      </c>
      <c r="AG42" s="8">
        <v>0</v>
      </c>
      <c r="AH42" s="38"/>
      <c r="AI42" s="8">
        <v>0</v>
      </c>
      <c r="AJ42" s="8">
        <v>0</v>
      </c>
      <c r="AK42" s="8"/>
      <c r="AL42" s="8"/>
      <c r="AM42" s="109">
        <v>1</v>
      </c>
      <c r="AN42" s="109">
        <v>1</v>
      </c>
      <c r="AO42" s="8">
        <v>1</v>
      </c>
      <c r="AP42" s="8">
        <v>1</v>
      </c>
      <c r="AQ42" s="8">
        <v>1</v>
      </c>
      <c r="AR42" s="39"/>
      <c r="AS42" s="39"/>
      <c r="AT42" s="8">
        <v>0</v>
      </c>
      <c r="AU42" s="8">
        <v>0</v>
      </c>
      <c r="AV42" s="8">
        <v>0</v>
      </c>
      <c r="AW42" s="8">
        <v>0</v>
      </c>
      <c r="AX42" s="8">
        <v>0</v>
      </c>
      <c r="AY42" s="39"/>
      <c r="AZ42" s="39"/>
      <c r="BA42">
        <v>0</v>
      </c>
      <c r="BB42">
        <v>0</v>
      </c>
      <c r="BC42">
        <v>0</v>
      </c>
      <c r="BD42">
        <v>0</v>
      </c>
      <c r="BE42">
        <v>0</v>
      </c>
      <c r="BF42" s="39"/>
      <c r="BG42" s="39"/>
      <c r="BH42" s="39">
        <v>0</v>
      </c>
      <c r="BI42" s="39">
        <v>0</v>
      </c>
      <c r="BJ42" s="39">
        <v>0</v>
      </c>
      <c r="BK42" s="39">
        <v>0</v>
      </c>
      <c r="BL42" s="39">
        <v>0</v>
      </c>
      <c r="BM42" s="40"/>
      <c r="BN42" s="40"/>
      <c r="BO42" s="8">
        <v>0</v>
      </c>
      <c r="BP42" s="8">
        <v>0</v>
      </c>
      <c r="BQ42" s="8">
        <v>0</v>
      </c>
      <c r="BR42" s="8">
        <v>0</v>
      </c>
      <c r="BS42" s="8">
        <v>0</v>
      </c>
      <c r="BT42" s="40"/>
      <c r="BU42" s="40"/>
      <c r="BV42" s="8">
        <v>0</v>
      </c>
      <c r="BW42" s="8">
        <v>0</v>
      </c>
      <c r="BX42" s="8">
        <v>0</v>
      </c>
      <c r="BY42" s="8">
        <v>0</v>
      </c>
      <c r="BZ42" s="8">
        <v>0</v>
      </c>
      <c r="CA42" s="40"/>
      <c r="CB42" s="40"/>
      <c r="CC42" s="8">
        <v>0</v>
      </c>
      <c r="CD42" s="8">
        <v>0</v>
      </c>
      <c r="CE42" s="8">
        <v>0</v>
      </c>
      <c r="CF42" s="8">
        <v>0</v>
      </c>
      <c r="CG42" s="8">
        <v>0</v>
      </c>
      <c r="CH42" s="40"/>
      <c r="CI42" s="40"/>
      <c r="CJ42" s="8">
        <v>0</v>
      </c>
      <c r="CK42" s="8">
        <v>0</v>
      </c>
      <c r="CL42" s="8">
        <v>0</v>
      </c>
      <c r="CM42" s="8">
        <v>0</v>
      </c>
      <c r="CN42" s="8">
        <v>0</v>
      </c>
      <c r="CO42" s="40"/>
      <c r="CP42" s="40"/>
      <c r="CQ42" s="8">
        <v>1</v>
      </c>
      <c r="CR42" s="8">
        <v>1</v>
      </c>
      <c r="CS42" s="8">
        <v>1</v>
      </c>
      <c r="CT42" s="8">
        <v>1</v>
      </c>
      <c r="CU42" s="8">
        <v>1</v>
      </c>
      <c r="CV42" s="40"/>
      <c r="CW42" s="40"/>
      <c r="CX42" s="8">
        <v>1</v>
      </c>
      <c r="CY42" s="8">
        <v>1</v>
      </c>
      <c r="CZ42" s="8">
        <v>1</v>
      </c>
      <c r="DA42" s="8">
        <v>1</v>
      </c>
      <c r="DB42" s="8">
        <v>1</v>
      </c>
      <c r="DC42" s="40"/>
      <c r="DD42" s="40"/>
      <c r="DE42" s="8">
        <v>1</v>
      </c>
      <c r="DF42" s="8">
        <v>1</v>
      </c>
      <c r="DG42" s="8">
        <v>1</v>
      </c>
      <c r="DH42" s="8">
        <v>1</v>
      </c>
      <c r="DI42" s="8">
        <v>1</v>
      </c>
      <c r="DJ42" s="40"/>
      <c r="DK42" s="40"/>
      <c r="DL42" s="8">
        <v>1</v>
      </c>
      <c r="DM42" s="8">
        <v>1</v>
      </c>
      <c r="DN42" s="8">
        <v>1</v>
      </c>
      <c r="DO42" s="8">
        <v>1</v>
      </c>
      <c r="DP42" s="8">
        <v>1</v>
      </c>
      <c r="DQ42" s="41"/>
      <c r="DR42" s="41"/>
      <c r="DS42" s="8">
        <v>1</v>
      </c>
      <c r="DT42" s="8">
        <v>1</v>
      </c>
      <c r="DU42" s="8">
        <v>1</v>
      </c>
      <c r="DV42" s="8">
        <v>1</v>
      </c>
      <c r="DW42" s="8">
        <v>1</v>
      </c>
      <c r="DX42" s="41"/>
      <c r="DY42" s="41"/>
      <c r="DZ42" s="8">
        <v>1</v>
      </c>
      <c r="EA42" s="8">
        <v>1</v>
      </c>
      <c r="EB42" s="8">
        <v>1</v>
      </c>
      <c r="EC42" s="8">
        <v>1</v>
      </c>
      <c r="ED42" s="8">
        <v>1</v>
      </c>
      <c r="EE42" s="41"/>
      <c r="EF42" s="41"/>
      <c r="EG42" s="8">
        <v>1</v>
      </c>
      <c r="EH42" s="8">
        <v>1</v>
      </c>
      <c r="EI42" s="8">
        <v>1</v>
      </c>
      <c r="EJ42" s="8">
        <v>1</v>
      </c>
      <c r="EK42" s="8">
        <v>1</v>
      </c>
      <c r="EL42" s="41"/>
      <c r="EM42" s="41"/>
      <c r="EN42" s="38"/>
      <c r="EO42" s="8">
        <v>1</v>
      </c>
      <c r="EP42" s="8">
        <v>1</v>
      </c>
      <c r="EQ42" s="8">
        <v>1</v>
      </c>
      <c r="ER42" s="8">
        <v>1</v>
      </c>
      <c r="ES42" s="41"/>
      <c r="ET42" s="41"/>
      <c r="EU42" s="8">
        <v>1</v>
      </c>
      <c r="EV42" s="8">
        <v>1</v>
      </c>
      <c r="EW42" s="8">
        <v>1</v>
      </c>
      <c r="EX42" s="38"/>
      <c r="EY42" s="8">
        <v>1</v>
      </c>
      <c r="EZ42" s="41"/>
      <c r="FA42" s="41"/>
      <c r="FB42" s="8">
        <v>1</v>
      </c>
      <c r="FC42" s="8">
        <v>1</v>
      </c>
      <c r="FD42" s="8">
        <v>1</v>
      </c>
      <c r="FE42" s="38"/>
      <c r="FF42" s="8">
        <v>1</v>
      </c>
      <c r="FG42" s="41"/>
      <c r="FH42" s="41"/>
      <c r="FI42" s="8">
        <v>1</v>
      </c>
      <c r="FJ42" s="8">
        <v>1</v>
      </c>
      <c r="FK42" s="8">
        <v>1</v>
      </c>
      <c r="FL42" s="8">
        <v>1</v>
      </c>
      <c r="FM42" s="8">
        <v>1</v>
      </c>
      <c r="FN42" s="41"/>
      <c r="FO42" s="41"/>
      <c r="FP42" s="8">
        <v>1</v>
      </c>
      <c r="FQ42" s="8">
        <v>1</v>
      </c>
      <c r="FR42" s="8">
        <v>1</v>
      </c>
      <c r="FS42" s="8">
        <v>1</v>
      </c>
      <c r="FT42" s="8">
        <v>1</v>
      </c>
      <c r="FU42" s="41"/>
      <c r="FV42" s="41"/>
      <c r="FW42" s="8">
        <v>1</v>
      </c>
      <c r="FX42" s="8">
        <v>1</v>
      </c>
      <c r="FY42" s="8">
        <v>1</v>
      </c>
      <c r="FZ42" s="38"/>
      <c r="GA42" s="8">
        <v>1</v>
      </c>
      <c r="GB42" s="41"/>
      <c r="GC42" s="41"/>
      <c r="GD42" s="8">
        <v>1</v>
      </c>
      <c r="GE42" s="8">
        <v>1</v>
      </c>
      <c r="GF42" s="8">
        <v>1</v>
      </c>
      <c r="GG42" s="8">
        <v>1</v>
      </c>
      <c r="GH42" s="8">
        <v>1</v>
      </c>
      <c r="GI42" s="41"/>
      <c r="GJ42" s="41"/>
      <c r="GK42" s="38"/>
      <c r="GL42" s="8">
        <v>1</v>
      </c>
      <c r="GM42" s="8">
        <v>1</v>
      </c>
      <c r="GN42" s="8">
        <v>1</v>
      </c>
      <c r="GO42" s="8">
        <v>1</v>
      </c>
      <c r="GP42" s="41"/>
      <c r="GQ42" s="41"/>
      <c r="GR42" s="8">
        <v>1</v>
      </c>
      <c r="GS42" s="8">
        <v>1</v>
      </c>
      <c r="GT42" s="8">
        <v>1</v>
      </c>
      <c r="GU42" s="8">
        <v>1</v>
      </c>
      <c r="GV42" s="8">
        <v>1</v>
      </c>
      <c r="GW42" s="41"/>
      <c r="GX42" s="41"/>
      <c r="GY42" s="8">
        <v>1</v>
      </c>
      <c r="GZ42" s="8">
        <v>1</v>
      </c>
      <c r="HA42" s="8">
        <v>1</v>
      </c>
      <c r="HB42" s="8">
        <v>1</v>
      </c>
      <c r="HC42" s="8">
        <v>1</v>
      </c>
      <c r="HD42" s="41"/>
      <c r="HE42" s="41"/>
      <c r="HF42" s="8">
        <v>1</v>
      </c>
      <c r="HG42" s="8">
        <v>1</v>
      </c>
      <c r="HH42" s="8">
        <v>1</v>
      </c>
      <c r="HI42" s="8">
        <v>1</v>
      </c>
      <c r="HJ42" s="8">
        <v>1</v>
      </c>
      <c r="HK42" s="41"/>
      <c r="HL42" s="41"/>
      <c r="HM42" s="8">
        <v>1</v>
      </c>
      <c r="HN42" s="8">
        <v>1</v>
      </c>
      <c r="HO42" s="8">
        <v>1</v>
      </c>
      <c r="HP42" s="8">
        <v>1</v>
      </c>
      <c r="HQ42" s="8">
        <v>1</v>
      </c>
      <c r="HR42" s="41"/>
      <c r="HS42" s="41"/>
      <c r="HT42" s="38"/>
      <c r="HU42" s="8">
        <v>1</v>
      </c>
      <c r="HV42" s="8">
        <v>1</v>
      </c>
      <c r="HW42" s="8">
        <v>1</v>
      </c>
      <c r="HX42" s="8">
        <v>1</v>
      </c>
      <c r="HY42" s="41"/>
      <c r="HZ42" s="41"/>
      <c r="IA42" s="8">
        <v>1</v>
      </c>
      <c r="IB42" s="8">
        <v>1</v>
      </c>
      <c r="IC42" s="8">
        <v>1</v>
      </c>
      <c r="ID42" s="8">
        <v>1</v>
      </c>
      <c r="IE42" s="8">
        <v>1</v>
      </c>
      <c r="IF42" s="41"/>
      <c r="IG42" s="41"/>
      <c r="IH42" s="8">
        <v>1</v>
      </c>
      <c r="II42" s="8">
        <v>1</v>
      </c>
      <c r="IJ42" s="8">
        <v>1</v>
      </c>
      <c r="IK42" s="8">
        <v>1</v>
      </c>
      <c r="IL42" s="8">
        <v>1</v>
      </c>
      <c r="IM42" s="41"/>
      <c r="IN42" s="41"/>
      <c r="IO42" s="8">
        <v>1</v>
      </c>
      <c r="IP42" s="8">
        <v>1</v>
      </c>
      <c r="IQ42" s="8">
        <v>1</v>
      </c>
      <c r="IR42" s="8">
        <v>1</v>
      </c>
      <c r="IS42" s="8">
        <v>1</v>
      </c>
      <c r="IT42" s="41"/>
      <c r="IU42" s="41"/>
      <c r="IV42" s="8">
        <v>1</v>
      </c>
      <c r="IW42" s="8">
        <v>1</v>
      </c>
      <c r="IX42" s="8">
        <v>1</v>
      </c>
      <c r="IY42" s="8">
        <v>1</v>
      </c>
      <c r="IZ42" s="38"/>
      <c r="JA42" s="41"/>
      <c r="JB42" s="41"/>
      <c r="JC42" s="8">
        <v>1</v>
      </c>
      <c r="JD42" s="8">
        <v>1</v>
      </c>
      <c r="JE42" s="8">
        <v>1</v>
      </c>
      <c r="JF42" s="8">
        <v>1</v>
      </c>
      <c r="JG42" s="8">
        <v>1</v>
      </c>
      <c r="JH42" s="41"/>
      <c r="JI42" s="41"/>
      <c r="JJ42" s="8">
        <v>1</v>
      </c>
      <c r="JK42" s="8">
        <v>1</v>
      </c>
      <c r="JL42" s="8">
        <v>1</v>
      </c>
      <c r="JM42" s="8">
        <v>1</v>
      </c>
      <c r="JN42" s="8">
        <v>1</v>
      </c>
      <c r="JO42" s="41"/>
      <c r="JP42" s="41"/>
      <c r="JQ42" s="8">
        <v>1</v>
      </c>
      <c r="JR42" s="8">
        <v>1</v>
      </c>
      <c r="JS42" s="8">
        <v>1</v>
      </c>
      <c r="JT42" s="8">
        <v>1</v>
      </c>
      <c r="JU42" s="8">
        <v>1</v>
      </c>
      <c r="JV42" s="41"/>
      <c r="JW42" s="41"/>
      <c r="JX42" s="8">
        <v>1</v>
      </c>
      <c r="JY42" s="8">
        <v>1</v>
      </c>
      <c r="JZ42" s="8">
        <v>1</v>
      </c>
      <c r="KA42" s="8">
        <v>1</v>
      </c>
      <c r="KB42" s="8">
        <v>1</v>
      </c>
      <c r="KC42" s="41"/>
      <c r="KD42" s="41"/>
      <c r="KE42" s="8">
        <v>1</v>
      </c>
      <c r="KF42" s="8">
        <v>1</v>
      </c>
      <c r="KG42" s="8">
        <v>1</v>
      </c>
      <c r="KH42" s="8">
        <v>1</v>
      </c>
      <c r="KI42" s="8">
        <v>1</v>
      </c>
      <c r="KJ42" s="41"/>
      <c r="KK42" s="41"/>
      <c r="KL42" s="8">
        <v>1</v>
      </c>
      <c r="KM42" s="8">
        <v>1</v>
      </c>
      <c r="KN42" s="8">
        <v>1</v>
      </c>
      <c r="KO42" s="8">
        <v>1</v>
      </c>
      <c r="KP42" s="8">
        <v>1</v>
      </c>
      <c r="KQ42" s="41"/>
      <c r="KR42" s="41"/>
      <c r="KS42" s="8">
        <v>1</v>
      </c>
      <c r="KT42" s="8">
        <v>1</v>
      </c>
      <c r="KU42" s="8">
        <v>1</v>
      </c>
      <c r="KV42" s="8">
        <v>1</v>
      </c>
      <c r="KW42" s="8">
        <v>1</v>
      </c>
      <c r="KX42" s="41"/>
      <c r="KY42" s="41"/>
      <c r="KZ42" s="8">
        <v>1</v>
      </c>
      <c r="LA42" s="8">
        <v>1</v>
      </c>
      <c r="LB42" s="8">
        <v>1</v>
      </c>
      <c r="LC42" s="8">
        <v>1</v>
      </c>
      <c r="LD42" s="8">
        <v>1</v>
      </c>
      <c r="LE42" s="41"/>
      <c r="LF42" s="41"/>
      <c r="LG42" s="8">
        <v>1</v>
      </c>
      <c r="LH42" s="8">
        <v>1</v>
      </c>
      <c r="LI42" s="8">
        <v>1</v>
      </c>
      <c r="LJ42" s="8">
        <v>1</v>
      </c>
      <c r="LK42" s="8">
        <v>1</v>
      </c>
      <c r="LL42" s="41"/>
      <c r="LM42" s="41"/>
      <c r="LN42" s="8">
        <v>1</v>
      </c>
      <c r="LO42" s="8">
        <v>1</v>
      </c>
      <c r="LP42" s="8">
        <v>1</v>
      </c>
      <c r="LQ42" s="8">
        <v>1</v>
      </c>
      <c r="LR42" s="8">
        <v>1</v>
      </c>
      <c r="LS42" s="41"/>
      <c r="LT42" s="41"/>
      <c r="LU42" s="8">
        <v>1</v>
      </c>
      <c r="LV42" s="8">
        <v>1</v>
      </c>
      <c r="LW42" s="8">
        <v>1</v>
      </c>
      <c r="LX42" s="8">
        <v>1</v>
      </c>
      <c r="LY42" s="8">
        <v>1</v>
      </c>
      <c r="LZ42" s="41"/>
      <c r="MA42" s="41"/>
      <c r="MB42" s="8">
        <v>1</v>
      </c>
      <c r="MC42" s="8">
        <v>1</v>
      </c>
      <c r="MD42" s="8">
        <v>1</v>
      </c>
      <c r="ME42" s="8">
        <v>1</v>
      </c>
      <c r="MF42" s="8">
        <v>1</v>
      </c>
      <c r="MG42" s="41"/>
      <c r="MH42" s="41"/>
      <c r="MI42" s="8">
        <v>1</v>
      </c>
      <c r="MJ42" s="8">
        <v>1</v>
      </c>
      <c r="MK42" s="8">
        <v>1</v>
      </c>
      <c r="ML42" s="8">
        <v>1</v>
      </c>
      <c r="MM42" s="8">
        <v>1</v>
      </c>
      <c r="MN42" s="41"/>
      <c r="MO42" s="41"/>
      <c r="MP42" s="8">
        <v>1</v>
      </c>
      <c r="MQ42" s="8">
        <v>1</v>
      </c>
      <c r="MR42" s="8">
        <v>1</v>
      </c>
      <c r="MS42" s="8">
        <v>1</v>
      </c>
      <c r="MT42" s="8">
        <v>1</v>
      </c>
      <c r="MU42" s="41"/>
      <c r="MV42" s="41"/>
      <c r="MW42" s="8">
        <v>1</v>
      </c>
      <c r="MX42" s="8">
        <v>1</v>
      </c>
      <c r="MY42" s="8">
        <v>1</v>
      </c>
      <c r="MZ42" s="8">
        <v>1</v>
      </c>
      <c r="NA42" s="8">
        <v>1</v>
      </c>
      <c r="NB42" s="41"/>
      <c r="NC42" s="41"/>
      <c r="ND42" s="8">
        <v>1</v>
      </c>
      <c r="NE42" s="8">
        <v>1</v>
      </c>
      <c r="NF42" s="8">
        <v>1</v>
      </c>
      <c r="NG42" s="8">
        <v>1</v>
      </c>
      <c r="NH42" s="8">
        <v>1</v>
      </c>
      <c r="NI42" s="41"/>
      <c r="NJ42" s="41"/>
      <c r="NK42" s="8">
        <v>1</v>
      </c>
      <c r="NL42" s="8">
        <v>1</v>
      </c>
      <c r="NM42" s="8">
        <v>1</v>
      </c>
      <c r="NN42" s="8">
        <v>1</v>
      </c>
      <c r="NO42" s="8">
        <v>1</v>
      </c>
      <c r="NP42" s="40"/>
      <c r="NQ42" s="40"/>
      <c r="NR42" s="8">
        <v>1</v>
      </c>
      <c r="NS42" s="8">
        <v>1</v>
      </c>
      <c r="NT42" s="8">
        <v>1</v>
      </c>
      <c r="NU42" s="8">
        <v>1</v>
      </c>
      <c r="NV42" s="8">
        <v>1</v>
      </c>
      <c r="NW42" s="40"/>
      <c r="NX42" s="40"/>
      <c r="NY42" s="8">
        <v>1</v>
      </c>
      <c r="NZ42" s="8">
        <v>1</v>
      </c>
      <c r="OA42" s="8">
        <v>1</v>
      </c>
      <c r="OB42" s="8"/>
      <c r="OC42" s="8">
        <v>1</v>
      </c>
      <c r="OD42" s="41"/>
      <c r="OE42" s="41"/>
      <c r="OF42" s="8">
        <v>1</v>
      </c>
      <c r="OG42" s="8">
        <v>1</v>
      </c>
      <c r="OH42" s="8">
        <v>1</v>
      </c>
      <c r="OI42" s="47"/>
    </row>
    <row r="43" spans="1:451" s="31" customFormat="1" ht="21" x14ac:dyDescent="0.3">
      <c r="A43" s="61" t="s">
        <v>536</v>
      </c>
      <c r="B43" s="62" t="s">
        <v>436</v>
      </c>
      <c r="C43" s="45"/>
      <c r="D43" s="8">
        <v>1</v>
      </c>
      <c r="E43" s="8">
        <v>1</v>
      </c>
      <c r="F43" s="8">
        <v>1</v>
      </c>
      <c r="G43" s="8">
        <v>1</v>
      </c>
      <c r="H43" s="8">
        <v>1</v>
      </c>
      <c r="I43" s="46"/>
      <c r="J43" s="46"/>
      <c r="K43" s="8">
        <v>1</v>
      </c>
      <c r="L43" s="8">
        <v>1</v>
      </c>
      <c r="M43" s="8">
        <v>1</v>
      </c>
      <c r="N43" s="8">
        <v>1</v>
      </c>
      <c r="O43" s="8">
        <v>1</v>
      </c>
      <c r="P43" s="46"/>
      <c r="Q43" s="46"/>
      <c r="R43" s="8">
        <v>1</v>
      </c>
      <c r="S43" s="8">
        <v>1</v>
      </c>
      <c r="T43" s="8">
        <v>1</v>
      </c>
      <c r="U43" s="8">
        <v>1</v>
      </c>
      <c r="V43" s="8">
        <v>1</v>
      </c>
      <c r="W43" s="46"/>
      <c r="X43" s="46"/>
      <c r="Y43" s="8">
        <v>1</v>
      </c>
      <c r="Z43" s="8">
        <v>1</v>
      </c>
      <c r="AA43" s="8"/>
      <c r="AB43" s="8">
        <v>1</v>
      </c>
      <c r="AC43" s="8">
        <v>1</v>
      </c>
      <c r="AD43" s="46"/>
      <c r="AE43" s="46"/>
      <c r="AF43" s="8">
        <v>1</v>
      </c>
      <c r="AG43" s="8">
        <v>1</v>
      </c>
      <c r="AH43" s="38"/>
      <c r="AI43" s="8">
        <v>1</v>
      </c>
      <c r="AJ43" s="8">
        <v>1</v>
      </c>
      <c r="AK43" s="8"/>
      <c r="AL43" s="8"/>
      <c r="AM43" s="109">
        <v>1</v>
      </c>
      <c r="AN43" s="109">
        <v>1</v>
      </c>
      <c r="AO43" s="8">
        <v>1</v>
      </c>
      <c r="AP43" s="8">
        <v>1</v>
      </c>
      <c r="AQ43" s="8">
        <v>1</v>
      </c>
      <c r="AR43" s="39"/>
      <c r="AS43" s="39"/>
      <c r="AT43" s="8">
        <v>1</v>
      </c>
      <c r="AU43" s="8">
        <v>1</v>
      </c>
      <c r="AV43" s="8">
        <v>1</v>
      </c>
      <c r="AW43" s="8">
        <v>1</v>
      </c>
      <c r="AX43" s="8">
        <v>1</v>
      </c>
      <c r="AY43" s="39"/>
      <c r="AZ43" s="39"/>
      <c r="BA43" s="39">
        <v>1</v>
      </c>
      <c r="BB43" s="39">
        <v>1</v>
      </c>
      <c r="BC43" s="39">
        <v>1</v>
      </c>
      <c r="BD43" s="39">
        <v>1</v>
      </c>
      <c r="BE43" s="39">
        <v>1</v>
      </c>
      <c r="BF43" s="39"/>
      <c r="BG43" s="39"/>
      <c r="BH43" s="39">
        <v>1</v>
      </c>
      <c r="BI43" s="39">
        <v>1</v>
      </c>
      <c r="BJ43" s="39">
        <v>1</v>
      </c>
      <c r="BK43" s="39">
        <v>1</v>
      </c>
      <c r="BL43" s="39">
        <v>1</v>
      </c>
      <c r="BM43" s="40"/>
      <c r="BN43" s="40"/>
      <c r="BO43" s="8">
        <v>1</v>
      </c>
      <c r="BP43" s="8">
        <v>1</v>
      </c>
      <c r="BQ43" s="8">
        <v>1</v>
      </c>
      <c r="BR43" s="8">
        <v>1</v>
      </c>
      <c r="BS43" s="8">
        <v>1</v>
      </c>
      <c r="BT43" s="40"/>
      <c r="BU43" s="40"/>
      <c r="BV43" s="8">
        <v>1</v>
      </c>
      <c r="BW43" s="8">
        <v>1</v>
      </c>
      <c r="BX43" s="8">
        <v>1</v>
      </c>
      <c r="BY43" s="8">
        <v>1</v>
      </c>
      <c r="BZ43" s="8">
        <v>1</v>
      </c>
      <c r="CA43" s="40"/>
      <c r="CB43" s="40"/>
      <c r="CC43" s="8">
        <v>1</v>
      </c>
      <c r="CD43" s="8">
        <v>1</v>
      </c>
      <c r="CE43" s="8">
        <v>1</v>
      </c>
      <c r="CF43" s="8">
        <v>1</v>
      </c>
      <c r="CG43" s="8">
        <v>1</v>
      </c>
      <c r="CH43" s="40"/>
      <c r="CI43" s="40"/>
      <c r="CJ43" s="8">
        <v>1</v>
      </c>
      <c r="CK43" s="8">
        <v>1</v>
      </c>
      <c r="CL43" s="8">
        <v>1</v>
      </c>
      <c r="CM43" s="8">
        <v>1</v>
      </c>
      <c r="CN43" s="8">
        <v>1</v>
      </c>
      <c r="CO43" s="40"/>
      <c r="CP43" s="40"/>
      <c r="CQ43" s="8">
        <v>1</v>
      </c>
      <c r="CR43" s="8">
        <v>1</v>
      </c>
      <c r="CS43" s="8">
        <v>1</v>
      </c>
      <c r="CT43" s="8">
        <v>1</v>
      </c>
      <c r="CU43" s="8">
        <v>1</v>
      </c>
      <c r="CV43" s="40"/>
      <c r="CW43" s="40"/>
      <c r="CX43" s="8">
        <v>1</v>
      </c>
      <c r="CY43" s="8">
        <v>1</v>
      </c>
      <c r="CZ43" s="8">
        <v>1</v>
      </c>
      <c r="DA43" s="8">
        <v>1</v>
      </c>
      <c r="DB43" s="8">
        <v>1</v>
      </c>
      <c r="DC43" s="40"/>
      <c r="DD43" s="40"/>
      <c r="DE43" s="8">
        <v>1</v>
      </c>
      <c r="DF43" s="8">
        <v>1</v>
      </c>
      <c r="DG43" s="8">
        <v>1</v>
      </c>
      <c r="DH43" s="8">
        <v>1</v>
      </c>
      <c r="DI43" s="8">
        <v>1</v>
      </c>
      <c r="DJ43" s="40"/>
      <c r="DK43" s="40"/>
      <c r="DL43" s="8">
        <v>1</v>
      </c>
      <c r="DM43" s="8">
        <v>1</v>
      </c>
      <c r="DN43" s="8">
        <v>1</v>
      </c>
      <c r="DO43" s="8">
        <v>1</v>
      </c>
      <c r="DP43" s="8">
        <v>1</v>
      </c>
      <c r="DQ43" s="41"/>
      <c r="DR43" s="41"/>
      <c r="DS43" s="8">
        <v>1</v>
      </c>
      <c r="DT43" s="8">
        <v>1</v>
      </c>
      <c r="DU43" s="8">
        <v>1</v>
      </c>
      <c r="DV43" s="8">
        <v>1</v>
      </c>
      <c r="DW43" s="8">
        <v>1</v>
      </c>
      <c r="DX43" s="41"/>
      <c r="DY43" s="41"/>
      <c r="DZ43" s="8">
        <v>1</v>
      </c>
      <c r="EA43" s="8">
        <v>1</v>
      </c>
      <c r="EB43" s="8">
        <v>1</v>
      </c>
      <c r="EC43" s="8">
        <v>1</v>
      </c>
      <c r="ED43" s="8">
        <v>1</v>
      </c>
      <c r="EE43" s="41"/>
      <c r="EF43" s="41"/>
      <c r="EG43" s="8">
        <v>1</v>
      </c>
      <c r="EH43" s="8">
        <v>1</v>
      </c>
      <c r="EI43" s="8">
        <v>1</v>
      </c>
      <c r="EJ43" s="8">
        <v>1</v>
      </c>
      <c r="EK43" s="8">
        <v>1</v>
      </c>
      <c r="EL43" s="41"/>
      <c r="EM43" s="41"/>
      <c r="EN43" s="38"/>
      <c r="EO43" s="8">
        <v>1</v>
      </c>
      <c r="EP43" s="8">
        <v>1</v>
      </c>
      <c r="EQ43" s="8">
        <v>1</v>
      </c>
      <c r="ER43" s="8">
        <v>1</v>
      </c>
      <c r="ES43" s="41"/>
      <c r="ET43" s="41"/>
      <c r="EU43" s="8">
        <v>1</v>
      </c>
      <c r="EV43" s="8">
        <v>1</v>
      </c>
      <c r="EW43" s="8">
        <v>1</v>
      </c>
      <c r="EX43" s="38"/>
      <c r="EY43" s="8">
        <v>1</v>
      </c>
      <c r="EZ43" s="41"/>
      <c r="FA43" s="41"/>
      <c r="FB43" s="8">
        <v>1</v>
      </c>
      <c r="FC43" s="8">
        <v>1</v>
      </c>
      <c r="FD43" s="8">
        <v>1</v>
      </c>
      <c r="FE43" s="38"/>
      <c r="FF43" s="8">
        <v>1</v>
      </c>
      <c r="FG43" s="41"/>
      <c r="FH43" s="41"/>
      <c r="FI43" s="8">
        <v>1</v>
      </c>
      <c r="FJ43" s="8">
        <v>1</v>
      </c>
      <c r="FK43" s="8">
        <v>1</v>
      </c>
      <c r="FL43" s="8">
        <v>1</v>
      </c>
      <c r="FM43" s="8">
        <v>1</v>
      </c>
      <c r="FN43" s="41"/>
      <c r="FO43" s="41"/>
      <c r="FP43" s="8">
        <v>1</v>
      </c>
      <c r="FQ43" s="8">
        <v>1</v>
      </c>
      <c r="FR43" s="8">
        <v>1</v>
      </c>
      <c r="FS43" s="8">
        <v>1</v>
      </c>
      <c r="FT43" s="8">
        <v>1</v>
      </c>
      <c r="FU43" s="41"/>
      <c r="FV43" s="41"/>
      <c r="FW43" s="8">
        <v>1</v>
      </c>
      <c r="FX43" s="8">
        <v>1</v>
      </c>
      <c r="FY43" s="8">
        <v>1</v>
      </c>
      <c r="FZ43" s="38"/>
      <c r="GA43" s="8">
        <v>1</v>
      </c>
      <c r="GB43" s="41"/>
      <c r="GC43" s="41"/>
      <c r="GD43" s="8">
        <v>1</v>
      </c>
      <c r="GE43" s="8">
        <v>1</v>
      </c>
      <c r="GF43" s="8">
        <v>1</v>
      </c>
      <c r="GG43" s="8">
        <v>1</v>
      </c>
      <c r="GH43" s="8">
        <v>1</v>
      </c>
      <c r="GI43" s="41"/>
      <c r="GJ43" s="41"/>
      <c r="GK43" s="38"/>
      <c r="GL43" s="8">
        <v>1</v>
      </c>
      <c r="GM43" s="8">
        <v>1</v>
      </c>
      <c r="GN43" s="8">
        <v>1</v>
      </c>
      <c r="GO43" s="8">
        <v>1</v>
      </c>
      <c r="GP43" s="41"/>
      <c r="GQ43" s="41"/>
      <c r="GR43" s="8">
        <v>1</v>
      </c>
      <c r="GS43" s="8">
        <v>1</v>
      </c>
      <c r="GT43" s="8">
        <v>1</v>
      </c>
      <c r="GU43" s="8">
        <v>1</v>
      </c>
      <c r="GV43" s="8">
        <v>1</v>
      </c>
      <c r="GW43" s="41"/>
      <c r="GX43" s="41"/>
      <c r="GY43" s="8">
        <v>1</v>
      </c>
      <c r="GZ43" s="8">
        <v>1</v>
      </c>
      <c r="HA43" s="8">
        <v>1</v>
      </c>
      <c r="HB43" s="8">
        <v>1</v>
      </c>
      <c r="HC43" s="8">
        <v>1</v>
      </c>
      <c r="HD43" s="41"/>
      <c r="HE43" s="41"/>
      <c r="HF43" s="8">
        <v>1</v>
      </c>
      <c r="HG43" s="8">
        <v>1</v>
      </c>
      <c r="HH43" s="8">
        <v>1</v>
      </c>
      <c r="HI43" s="8">
        <v>1</v>
      </c>
      <c r="HJ43" s="8">
        <v>1</v>
      </c>
      <c r="HK43" s="41"/>
      <c r="HL43" s="41"/>
      <c r="HM43" s="8">
        <v>1</v>
      </c>
      <c r="HN43" s="8">
        <v>1</v>
      </c>
      <c r="HO43" s="8">
        <v>1</v>
      </c>
      <c r="HP43" s="8">
        <v>1</v>
      </c>
      <c r="HQ43" s="8">
        <v>1</v>
      </c>
      <c r="HR43" s="41"/>
      <c r="HS43" s="41"/>
      <c r="HT43" s="38"/>
      <c r="HU43" s="8">
        <v>1</v>
      </c>
      <c r="HV43" s="8">
        <v>1</v>
      </c>
      <c r="HW43" s="8">
        <v>1</v>
      </c>
      <c r="HX43" s="8">
        <v>1</v>
      </c>
      <c r="HY43" s="41"/>
      <c r="HZ43" s="41"/>
      <c r="IA43" s="8">
        <v>1</v>
      </c>
      <c r="IB43" s="8">
        <v>1</v>
      </c>
      <c r="IC43" s="8">
        <v>1</v>
      </c>
      <c r="ID43" s="8">
        <v>1</v>
      </c>
      <c r="IE43" s="8">
        <v>1</v>
      </c>
      <c r="IF43" s="41"/>
      <c r="IG43" s="41"/>
      <c r="IH43" s="8">
        <v>1</v>
      </c>
      <c r="II43" s="8">
        <v>1</v>
      </c>
      <c r="IJ43" s="8">
        <v>1</v>
      </c>
      <c r="IK43" s="8">
        <v>1</v>
      </c>
      <c r="IL43" s="8">
        <v>1</v>
      </c>
      <c r="IM43" s="41"/>
      <c r="IN43" s="41"/>
      <c r="IO43" s="8">
        <v>1</v>
      </c>
      <c r="IP43" s="8">
        <v>1</v>
      </c>
      <c r="IQ43" s="8">
        <v>1</v>
      </c>
      <c r="IR43" s="8">
        <v>1</v>
      </c>
      <c r="IS43" s="8">
        <v>1</v>
      </c>
      <c r="IT43" s="41"/>
      <c r="IU43" s="41"/>
      <c r="IV43" s="8">
        <v>1</v>
      </c>
      <c r="IW43" s="8">
        <v>1</v>
      </c>
      <c r="IX43" s="8">
        <v>1</v>
      </c>
      <c r="IY43" s="8">
        <v>1</v>
      </c>
      <c r="IZ43" s="38"/>
      <c r="JA43" s="41"/>
      <c r="JB43" s="41"/>
      <c r="JC43" s="8">
        <v>1</v>
      </c>
      <c r="JD43" s="8">
        <v>1</v>
      </c>
      <c r="JE43" s="8">
        <v>1</v>
      </c>
      <c r="JF43" s="8">
        <v>1</v>
      </c>
      <c r="JG43" s="8">
        <v>1</v>
      </c>
      <c r="JH43" s="41"/>
      <c r="JI43" s="41"/>
      <c r="JJ43" s="8">
        <v>1</v>
      </c>
      <c r="JK43" s="8">
        <v>1</v>
      </c>
      <c r="JL43" s="8">
        <v>1</v>
      </c>
      <c r="JM43" s="8">
        <v>1</v>
      </c>
      <c r="JN43" s="8">
        <v>1</v>
      </c>
      <c r="JO43" s="41"/>
      <c r="JP43" s="41"/>
      <c r="JQ43" s="8">
        <v>1</v>
      </c>
      <c r="JR43" s="8">
        <v>1</v>
      </c>
      <c r="JS43" s="8">
        <v>1</v>
      </c>
      <c r="JT43" s="8">
        <v>1</v>
      </c>
      <c r="JU43" s="8">
        <v>1</v>
      </c>
      <c r="JV43" s="41"/>
      <c r="JW43" s="41"/>
      <c r="JX43" s="8">
        <v>1</v>
      </c>
      <c r="JY43" s="8">
        <v>1</v>
      </c>
      <c r="JZ43" s="8">
        <v>1</v>
      </c>
      <c r="KA43" s="8">
        <v>1</v>
      </c>
      <c r="KB43" s="8">
        <v>1</v>
      </c>
      <c r="KC43" s="41"/>
      <c r="KD43" s="41"/>
      <c r="KE43" s="8">
        <v>1</v>
      </c>
      <c r="KF43" s="8">
        <v>1</v>
      </c>
      <c r="KG43" s="8">
        <v>1</v>
      </c>
      <c r="KH43" s="8">
        <v>1</v>
      </c>
      <c r="KI43" s="8">
        <v>1</v>
      </c>
      <c r="KJ43" s="41"/>
      <c r="KK43" s="41"/>
      <c r="KL43" s="8">
        <v>1</v>
      </c>
      <c r="KM43" s="8">
        <v>1</v>
      </c>
      <c r="KN43" s="8">
        <v>1</v>
      </c>
      <c r="KO43" s="8">
        <v>1</v>
      </c>
      <c r="KP43" s="8">
        <v>1</v>
      </c>
      <c r="KQ43" s="41"/>
      <c r="KR43" s="41"/>
      <c r="KS43" s="8">
        <v>1</v>
      </c>
      <c r="KT43" s="8">
        <v>1</v>
      </c>
      <c r="KU43" s="8">
        <v>1</v>
      </c>
      <c r="KV43" s="8">
        <v>1</v>
      </c>
      <c r="KW43" s="8">
        <v>1</v>
      </c>
      <c r="KX43" s="41"/>
      <c r="KY43" s="41"/>
      <c r="KZ43" s="8">
        <v>1</v>
      </c>
      <c r="LA43" s="8">
        <v>1</v>
      </c>
      <c r="LB43" s="8">
        <v>1</v>
      </c>
      <c r="LC43" s="8">
        <v>1</v>
      </c>
      <c r="LD43" s="8">
        <v>1</v>
      </c>
      <c r="LE43" s="41"/>
      <c r="LF43" s="41"/>
      <c r="LG43" s="8">
        <v>1</v>
      </c>
      <c r="LH43" s="8">
        <v>1</v>
      </c>
      <c r="LI43" s="8">
        <v>1</v>
      </c>
      <c r="LJ43" s="8">
        <v>1</v>
      </c>
      <c r="LK43" s="8">
        <v>1</v>
      </c>
      <c r="LL43" s="41"/>
      <c r="LM43" s="41"/>
      <c r="LN43" s="8">
        <v>1</v>
      </c>
      <c r="LO43" s="8">
        <v>1</v>
      </c>
      <c r="LP43" s="8">
        <v>1</v>
      </c>
      <c r="LQ43" s="8">
        <v>1</v>
      </c>
      <c r="LR43" s="8">
        <v>1</v>
      </c>
      <c r="LS43" s="41"/>
      <c r="LT43" s="41"/>
      <c r="LU43" s="8">
        <v>1</v>
      </c>
      <c r="LV43" s="8">
        <v>1</v>
      </c>
      <c r="LW43" s="8">
        <v>1</v>
      </c>
      <c r="LX43" s="8">
        <v>1</v>
      </c>
      <c r="LY43" s="8">
        <v>1</v>
      </c>
      <c r="LZ43" s="41"/>
      <c r="MA43" s="41"/>
      <c r="MB43" s="8">
        <v>1</v>
      </c>
      <c r="MC43" s="8">
        <v>1</v>
      </c>
      <c r="MD43" s="8">
        <v>1</v>
      </c>
      <c r="ME43" s="8">
        <v>1</v>
      </c>
      <c r="MF43" s="8">
        <v>1</v>
      </c>
      <c r="MG43" s="41"/>
      <c r="MH43" s="41"/>
      <c r="MI43" s="8">
        <v>1</v>
      </c>
      <c r="MJ43" s="8">
        <v>1</v>
      </c>
      <c r="MK43" s="8">
        <v>1</v>
      </c>
      <c r="ML43" s="8">
        <v>1</v>
      </c>
      <c r="MM43" s="8">
        <v>1</v>
      </c>
      <c r="MN43" s="41"/>
      <c r="MO43" s="41"/>
      <c r="MP43" s="8">
        <v>1</v>
      </c>
      <c r="MQ43" s="8">
        <v>1</v>
      </c>
      <c r="MR43" s="8">
        <v>1</v>
      </c>
      <c r="MS43" s="8">
        <v>1</v>
      </c>
      <c r="MT43" s="8">
        <v>1</v>
      </c>
      <c r="MU43" s="41"/>
      <c r="MV43" s="41"/>
      <c r="MW43" s="8">
        <v>1</v>
      </c>
      <c r="MX43" s="8">
        <v>1</v>
      </c>
      <c r="MY43" s="8">
        <v>1</v>
      </c>
      <c r="MZ43" s="8">
        <v>1</v>
      </c>
      <c r="NA43" s="8">
        <v>1</v>
      </c>
      <c r="NB43" s="41"/>
      <c r="NC43" s="41"/>
      <c r="ND43" s="8">
        <v>1</v>
      </c>
      <c r="NE43" s="8">
        <v>1</v>
      </c>
      <c r="NF43" s="8">
        <v>1</v>
      </c>
      <c r="NG43" s="8">
        <v>1</v>
      </c>
      <c r="NH43" s="8">
        <v>1</v>
      </c>
      <c r="NI43" s="41"/>
      <c r="NJ43" s="41"/>
      <c r="NK43" s="8">
        <v>1</v>
      </c>
      <c r="NL43" s="8">
        <v>1</v>
      </c>
      <c r="NM43" s="8">
        <v>1</v>
      </c>
      <c r="NN43" s="8">
        <v>1</v>
      </c>
      <c r="NO43" s="8">
        <v>1</v>
      </c>
      <c r="NP43" s="40"/>
      <c r="NQ43" s="40"/>
      <c r="NR43" s="8">
        <v>1</v>
      </c>
      <c r="NS43" s="8">
        <v>1</v>
      </c>
      <c r="NT43" s="8">
        <v>1</v>
      </c>
      <c r="NU43" s="8">
        <v>1</v>
      </c>
      <c r="NV43" s="8">
        <v>1</v>
      </c>
      <c r="NW43" s="40"/>
      <c r="NX43" s="40"/>
      <c r="NY43" s="8">
        <v>1</v>
      </c>
      <c r="NZ43" s="8">
        <v>1</v>
      </c>
      <c r="OA43" s="8">
        <v>1</v>
      </c>
      <c r="OB43" s="8"/>
      <c r="OC43" s="8">
        <v>1</v>
      </c>
      <c r="OD43" s="41"/>
      <c r="OE43" s="41"/>
      <c r="OF43" s="8">
        <v>1</v>
      </c>
      <c r="OG43" s="8">
        <v>1</v>
      </c>
      <c r="OH43" s="8">
        <v>1</v>
      </c>
      <c r="OI43" s="47"/>
    </row>
    <row r="44" spans="1:451" s="31" customFormat="1" ht="21" x14ac:dyDescent="0.3">
      <c r="A44" s="61" t="s">
        <v>537</v>
      </c>
      <c r="B44" s="62" t="s">
        <v>436</v>
      </c>
      <c r="C44" s="45"/>
      <c r="D44" s="8">
        <v>1</v>
      </c>
      <c r="E44" s="8">
        <v>1</v>
      </c>
      <c r="F44" s="8">
        <v>1</v>
      </c>
      <c r="G44" s="8">
        <v>1</v>
      </c>
      <c r="H44" s="8">
        <v>1</v>
      </c>
      <c r="I44" s="46"/>
      <c r="J44" s="46"/>
      <c r="K44" s="8">
        <v>1</v>
      </c>
      <c r="L44" s="8">
        <v>1</v>
      </c>
      <c r="M44" s="8">
        <v>1</v>
      </c>
      <c r="N44" s="8">
        <v>1</v>
      </c>
      <c r="O44" s="8">
        <v>1</v>
      </c>
      <c r="P44" s="46"/>
      <c r="Q44" s="46"/>
      <c r="R44" s="8">
        <v>1</v>
      </c>
      <c r="S44" s="8">
        <v>1</v>
      </c>
      <c r="T44" s="8">
        <v>1</v>
      </c>
      <c r="U44" s="8">
        <v>1</v>
      </c>
      <c r="V44" s="8">
        <v>1</v>
      </c>
      <c r="W44" s="46"/>
      <c r="X44" s="46"/>
      <c r="Y44" s="8">
        <v>1</v>
      </c>
      <c r="Z44" s="8">
        <v>1</v>
      </c>
      <c r="AA44" s="8"/>
      <c r="AB44" s="8">
        <v>1</v>
      </c>
      <c r="AC44" s="8">
        <v>1</v>
      </c>
      <c r="AD44" s="46"/>
      <c r="AE44" s="46"/>
      <c r="AF44" s="8">
        <v>1</v>
      </c>
      <c r="AG44" s="8">
        <v>1</v>
      </c>
      <c r="AH44" s="38"/>
      <c r="AI44" s="8">
        <v>1</v>
      </c>
      <c r="AJ44" s="8">
        <v>1</v>
      </c>
      <c r="AK44" s="8"/>
      <c r="AL44" s="8"/>
      <c r="AM44" s="109">
        <v>1</v>
      </c>
      <c r="AN44" s="109">
        <v>1</v>
      </c>
      <c r="AO44" s="8">
        <v>1</v>
      </c>
      <c r="AP44" s="8">
        <v>1</v>
      </c>
      <c r="AQ44" s="8">
        <v>1</v>
      </c>
      <c r="AR44" s="39"/>
      <c r="AS44" s="39"/>
      <c r="AT44" s="8">
        <v>1</v>
      </c>
      <c r="AU44" s="8">
        <v>1</v>
      </c>
      <c r="AV44" s="8">
        <v>1</v>
      </c>
      <c r="AW44" s="8">
        <v>1</v>
      </c>
      <c r="AX44" s="8">
        <v>1</v>
      </c>
      <c r="AY44" s="39"/>
      <c r="AZ44" s="39"/>
      <c r="BA44" s="39">
        <v>1</v>
      </c>
      <c r="BB44" s="39">
        <v>1</v>
      </c>
      <c r="BC44" s="39">
        <v>1</v>
      </c>
      <c r="BD44" s="39">
        <v>1</v>
      </c>
      <c r="BE44" s="39">
        <v>1</v>
      </c>
      <c r="BF44" s="39"/>
      <c r="BG44" s="39"/>
      <c r="BH44" s="39">
        <v>1</v>
      </c>
      <c r="BI44" s="39">
        <v>1</v>
      </c>
      <c r="BJ44" s="39">
        <v>1</v>
      </c>
      <c r="BK44" s="39">
        <v>1</v>
      </c>
      <c r="BL44" s="39">
        <v>1</v>
      </c>
      <c r="BM44" s="40"/>
      <c r="BN44" s="40"/>
      <c r="BO44" s="8">
        <v>1</v>
      </c>
      <c r="BP44" s="8">
        <v>1</v>
      </c>
      <c r="BQ44" s="8">
        <v>1</v>
      </c>
      <c r="BR44" s="8">
        <v>1</v>
      </c>
      <c r="BS44" s="8">
        <v>1</v>
      </c>
      <c r="BT44" s="40"/>
      <c r="BU44" s="40"/>
      <c r="BV44" s="8">
        <v>1</v>
      </c>
      <c r="BW44" s="8">
        <v>1</v>
      </c>
      <c r="BX44" s="8">
        <v>1</v>
      </c>
      <c r="BY44" s="8">
        <v>1</v>
      </c>
      <c r="BZ44" s="8">
        <v>1</v>
      </c>
      <c r="CA44" s="40"/>
      <c r="CB44" s="40"/>
      <c r="CC44" s="8">
        <v>1</v>
      </c>
      <c r="CD44" s="8">
        <v>1</v>
      </c>
      <c r="CE44" s="8">
        <v>1</v>
      </c>
      <c r="CF44" s="8">
        <v>1</v>
      </c>
      <c r="CG44" s="8">
        <v>1</v>
      </c>
      <c r="CH44" s="40"/>
      <c r="CI44" s="40"/>
      <c r="CJ44" s="8">
        <v>1</v>
      </c>
      <c r="CK44" s="8">
        <v>1</v>
      </c>
      <c r="CL44" s="8">
        <v>1</v>
      </c>
      <c r="CM44" s="8">
        <v>1</v>
      </c>
      <c r="CN44" s="8">
        <v>1</v>
      </c>
      <c r="CO44" s="40"/>
      <c r="CP44" s="40"/>
      <c r="CQ44" s="8">
        <v>1</v>
      </c>
      <c r="CR44" s="8">
        <v>1</v>
      </c>
      <c r="CS44" s="8">
        <v>1</v>
      </c>
      <c r="CT44" s="8">
        <v>1</v>
      </c>
      <c r="CU44" s="8">
        <v>1</v>
      </c>
      <c r="CV44" s="40"/>
      <c r="CW44" s="40"/>
      <c r="CX44" s="8">
        <v>1</v>
      </c>
      <c r="CY44" s="8">
        <v>1</v>
      </c>
      <c r="CZ44" s="8">
        <v>1</v>
      </c>
      <c r="DA44" s="8">
        <v>1</v>
      </c>
      <c r="DB44" s="8">
        <v>1</v>
      </c>
      <c r="DC44" s="40"/>
      <c r="DD44" s="40"/>
      <c r="DE44" s="8">
        <v>1</v>
      </c>
      <c r="DF44" s="8">
        <v>1</v>
      </c>
      <c r="DG44" s="8">
        <v>1</v>
      </c>
      <c r="DH44" s="8">
        <v>1</v>
      </c>
      <c r="DI44" s="8">
        <v>1</v>
      </c>
      <c r="DJ44" s="40"/>
      <c r="DK44" s="40"/>
      <c r="DL44" s="8">
        <v>1</v>
      </c>
      <c r="DM44" s="8">
        <v>1</v>
      </c>
      <c r="DN44" s="8">
        <v>1</v>
      </c>
      <c r="DO44" s="8">
        <v>1</v>
      </c>
      <c r="DP44" s="8">
        <v>1</v>
      </c>
      <c r="DQ44" s="41"/>
      <c r="DR44" s="41"/>
      <c r="DS44" s="8">
        <v>1</v>
      </c>
      <c r="DT44" s="8">
        <v>1</v>
      </c>
      <c r="DU44" s="8">
        <v>1</v>
      </c>
      <c r="DV44" s="8">
        <v>1</v>
      </c>
      <c r="DW44" s="8">
        <v>1</v>
      </c>
      <c r="DX44" s="41"/>
      <c r="DY44" s="41"/>
      <c r="DZ44" s="8">
        <v>1</v>
      </c>
      <c r="EA44" s="8">
        <v>1</v>
      </c>
      <c r="EB44" s="8">
        <v>1</v>
      </c>
      <c r="EC44" s="8">
        <v>1</v>
      </c>
      <c r="ED44" s="8">
        <v>1</v>
      </c>
      <c r="EE44" s="41"/>
      <c r="EF44" s="41"/>
      <c r="EG44" s="8">
        <v>1</v>
      </c>
      <c r="EH44" s="8">
        <v>1</v>
      </c>
      <c r="EI44" s="8">
        <v>1</v>
      </c>
      <c r="EJ44" s="8">
        <v>1</v>
      </c>
      <c r="EK44" s="8">
        <v>1</v>
      </c>
      <c r="EL44" s="41"/>
      <c r="EM44" s="41"/>
      <c r="EN44" s="38"/>
      <c r="EO44" s="8">
        <v>1</v>
      </c>
      <c r="EP44" s="8">
        <v>1</v>
      </c>
      <c r="EQ44" s="8">
        <v>1</v>
      </c>
      <c r="ER44" s="8">
        <v>1</v>
      </c>
      <c r="ES44" s="41"/>
      <c r="ET44" s="41"/>
      <c r="EU44" s="8">
        <v>1</v>
      </c>
      <c r="EV44" s="8">
        <v>1</v>
      </c>
      <c r="EW44" s="8">
        <v>1</v>
      </c>
      <c r="EX44" s="38"/>
      <c r="EY44" s="8">
        <v>1</v>
      </c>
      <c r="EZ44" s="41"/>
      <c r="FA44" s="41"/>
      <c r="FB44" s="8">
        <v>1</v>
      </c>
      <c r="FC44" s="8">
        <v>1</v>
      </c>
      <c r="FD44" s="8">
        <v>1</v>
      </c>
      <c r="FE44" s="38"/>
      <c r="FF44" s="8">
        <v>1</v>
      </c>
      <c r="FG44" s="41"/>
      <c r="FH44" s="41"/>
      <c r="FI44" s="8">
        <v>1</v>
      </c>
      <c r="FJ44" s="8">
        <v>1</v>
      </c>
      <c r="FK44" s="8">
        <v>1</v>
      </c>
      <c r="FL44" s="8">
        <v>1</v>
      </c>
      <c r="FM44" s="8">
        <v>1</v>
      </c>
      <c r="FN44" s="41"/>
      <c r="FO44" s="41"/>
      <c r="FP44" s="8">
        <v>1</v>
      </c>
      <c r="FQ44" s="8">
        <v>1</v>
      </c>
      <c r="FR44" s="8">
        <v>1</v>
      </c>
      <c r="FS44" s="8">
        <v>1</v>
      </c>
      <c r="FT44" s="8">
        <v>1</v>
      </c>
      <c r="FU44" s="41"/>
      <c r="FV44" s="41"/>
      <c r="FW44" s="8">
        <v>1</v>
      </c>
      <c r="FX44" s="8">
        <v>1</v>
      </c>
      <c r="FY44" s="8">
        <v>1</v>
      </c>
      <c r="FZ44" s="38"/>
      <c r="GA44" s="8">
        <v>1</v>
      </c>
      <c r="GB44" s="41"/>
      <c r="GC44" s="41"/>
      <c r="GD44" s="8">
        <v>1</v>
      </c>
      <c r="GE44" s="8">
        <v>1</v>
      </c>
      <c r="GF44" s="8">
        <v>1</v>
      </c>
      <c r="GG44" s="8">
        <v>1</v>
      </c>
      <c r="GH44" s="8">
        <v>1</v>
      </c>
      <c r="GI44" s="41"/>
      <c r="GJ44" s="41"/>
      <c r="GK44" s="38"/>
      <c r="GL44" s="8">
        <v>1</v>
      </c>
      <c r="GM44" s="8">
        <v>1</v>
      </c>
      <c r="GN44" s="8">
        <v>1</v>
      </c>
      <c r="GO44" s="8">
        <v>1</v>
      </c>
      <c r="GP44" s="41"/>
      <c r="GQ44" s="41"/>
      <c r="GR44" s="8">
        <v>1</v>
      </c>
      <c r="GS44" s="8">
        <v>1</v>
      </c>
      <c r="GT44" s="8">
        <v>1</v>
      </c>
      <c r="GU44" s="8">
        <v>1</v>
      </c>
      <c r="GV44" s="8">
        <v>1</v>
      </c>
      <c r="GW44" s="41"/>
      <c r="GX44" s="41"/>
      <c r="GY44" s="8">
        <v>1</v>
      </c>
      <c r="GZ44" s="8">
        <v>1</v>
      </c>
      <c r="HA44" s="8">
        <v>1</v>
      </c>
      <c r="HB44" s="8">
        <v>1</v>
      </c>
      <c r="HC44" s="8">
        <v>1</v>
      </c>
      <c r="HD44" s="41"/>
      <c r="HE44" s="41"/>
      <c r="HF44" s="8">
        <v>1</v>
      </c>
      <c r="HG44" s="8">
        <v>1</v>
      </c>
      <c r="HH44" s="8">
        <v>1</v>
      </c>
      <c r="HI44" s="8">
        <v>1</v>
      </c>
      <c r="HJ44" s="8">
        <v>1</v>
      </c>
      <c r="HK44" s="41"/>
      <c r="HL44" s="41"/>
      <c r="HM44" s="8">
        <v>1</v>
      </c>
      <c r="HN44" s="8">
        <v>1</v>
      </c>
      <c r="HO44" s="8">
        <v>1</v>
      </c>
      <c r="HP44" s="8">
        <v>1</v>
      </c>
      <c r="HQ44" s="8">
        <v>1</v>
      </c>
      <c r="HR44" s="41"/>
      <c r="HS44" s="41"/>
      <c r="HT44" s="38"/>
      <c r="HU44" s="8">
        <v>1</v>
      </c>
      <c r="HV44" s="8">
        <v>1</v>
      </c>
      <c r="HW44" s="8">
        <v>1</v>
      </c>
      <c r="HX44" s="8">
        <v>1</v>
      </c>
      <c r="HY44" s="41"/>
      <c r="HZ44" s="41"/>
      <c r="IA44" s="8">
        <v>1</v>
      </c>
      <c r="IB44" s="8">
        <v>1</v>
      </c>
      <c r="IC44" s="8">
        <v>1</v>
      </c>
      <c r="ID44" s="8">
        <v>1</v>
      </c>
      <c r="IE44" s="8">
        <v>1</v>
      </c>
      <c r="IF44" s="41"/>
      <c r="IG44" s="41"/>
      <c r="IH44" s="8">
        <v>1</v>
      </c>
      <c r="II44" s="8">
        <v>1</v>
      </c>
      <c r="IJ44" s="8">
        <v>1</v>
      </c>
      <c r="IK44" s="8">
        <v>1</v>
      </c>
      <c r="IL44" s="8">
        <v>1</v>
      </c>
      <c r="IM44" s="41"/>
      <c r="IN44" s="41"/>
      <c r="IO44" s="8">
        <v>1</v>
      </c>
      <c r="IP44" s="8">
        <v>1</v>
      </c>
      <c r="IQ44" s="8">
        <v>1</v>
      </c>
      <c r="IR44" s="8">
        <v>1</v>
      </c>
      <c r="IS44" s="8">
        <v>1</v>
      </c>
      <c r="IT44" s="41"/>
      <c r="IU44" s="41"/>
      <c r="IV44" s="8">
        <v>1</v>
      </c>
      <c r="IW44" s="8">
        <v>1</v>
      </c>
      <c r="IX44" s="8">
        <v>1</v>
      </c>
      <c r="IY44" s="8">
        <v>1</v>
      </c>
      <c r="IZ44" s="38"/>
      <c r="JA44" s="41"/>
      <c r="JB44" s="41"/>
      <c r="JC44" s="8">
        <v>1</v>
      </c>
      <c r="JD44" s="8">
        <v>1</v>
      </c>
      <c r="JE44" s="8">
        <v>1</v>
      </c>
      <c r="JF44" s="8">
        <v>1</v>
      </c>
      <c r="JG44" s="8">
        <v>1</v>
      </c>
      <c r="JH44" s="41"/>
      <c r="JI44" s="41"/>
      <c r="JJ44" s="8">
        <v>1</v>
      </c>
      <c r="JK44" s="8">
        <v>1</v>
      </c>
      <c r="JL44" s="8">
        <v>1</v>
      </c>
      <c r="JM44" s="8">
        <v>1</v>
      </c>
      <c r="JN44" s="8">
        <v>1</v>
      </c>
      <c r="JO44" s="41"/>
      <c r="JP44" s="41"/>
      <c r="JQ44" s="8">
        <v>1</v>
      </c>
      <c r="JR44" s="8">
        <v>1</v>
      </c>
      <c r="JS44" s="8">
        <v>1</v>
      </c>
      <c r="JT44" s="8">
        <v>1</v>
      </c>
      <c r="JU44" s="8">
        <v>1</v>
      </c>
      <c r="JV44" s="41"/>
      <c r="JW44" s="41"/>
      <c r="JX44" s="8">
        <v>1</v>
      </c>
      <c r="JY44" s="8">
        <v>1</v>
      </c>
      <c r="JZ44" s="8">
        <v>1</v>
      </c>
      <c r="KA44" s="8">
        <v>1</v>
      </c>
      <c r="KB44" s="8">
        <v>1</v>
      </c>
      <c r="KC44" s="41"/>
      <c r="KD44" s="41"/>
      <c r="KE44" s="8">
        <v>1</v>
      </c>
      <c r="KF44" s="8">
        <v>1</v>
      </c>
      <c r="KG44" s="8">
        <v>1</v>
      </c>
      <c r="KH44" s="8">
        <v>1</v>
      </c>
      <c r="KI44" s="8">
        <v>1</v>
      </c>
      <c r="KJ44" s="41"/>
      <c r="KK44" s="41"/>
      <c r="KL44" s="8">
        <v>1</v>
      </c>
      <c r="KM44" s="8">
        <v>1</v>
      </c>
      <c r="KN44" s="8">
        <v>1</v>
      </c>
      <c r="KO44" s="8">
        <v>1</v>
      </c>
      <c r="KP44" s="8">
        <v>1</v>
      </c>
      <c r="KQ44" s="41"/>
      <c r="KR44" s="41"/>
      <c r="KS44" s="8">
        <v>1</v>
      </c>
      <c r="KT44" s="8">
        <v>1</v>
      </c>
      <c r="KU44" s="8">
        <v>1</v>
      </c>
      <c r="KV44" s="8">
        <v>1</v>
      </c>
      <c r="KW44" s="8">
        <v>1</v>
      </c>
      <c r="KX44" s="41"/>
      <c r="KY44" s="41"/>
      <c r="KZ44" s="8">
        <v>1</v>
      </c>
      <c r="LA44" s="8">
        <v>1</v>
      </c>
      <c r="LB44" s="8">
        <v>1</v>
      </c>
      <c r="LC44" s="8">
        <v>1</v>
      </c>
      <c r="LD44" s="8">
        <v>1</v>
      </c>
      <c r="LE44" s="41"/>
      <c r="LF44" s="41"/>
      <c r="LG44" s="8">
        <v>1</v>
      </c>
      <c r="LH44" s="8">
        <v>1</v>
      </c>
      <c r="LI44" s="8">
        <v>1</v>
      </c>
      <c r="LJ44" s="8">
        <v>1</v>
      </c>
      <c r="LK44" s="8">
        <v>1</v>
      </c>
      <c r="LL44" s="41"/>
      <c r="LM44" s="41"/>
      <c r="LN44" s="8">
        <v>1</v>
      </c>
      <c r="LO44" s="8">
        <v>1</v>
      </c>
      <c r="LP44" s="8">
        <v>1</v>
      </c>
      <c r="LQ44" s="8">
        <v>1</v>
      </c>
      <c r="LR44" s="8">
        <v>1</v>
      </c>
      <c r="LS44" s="41"/>
      <c r="LT44" s="41"/>
      <c r="LU44" s="8">
        <v>1</v>
      </c>
      <c r="LV44" s="8">
        <v>1</v>
      </c>
      <c r="LW44" s="8">
        <v>1</v>
      </c>
      <c r="LX44" s="8">
        <v>1</v>
      </c>
      <c r="LY44" s="8">
        <v>1</v>
      </c>
      <c r="LZ44" s="41"/>
      <c r="MA44" s="41"/>
      <c r="MB44" s="8">
        <v>1</v>
      </c>
      <c r="MC44" s="8">
        <v>1</v>
      </c>
      <c r="MD44" s="8">
        <v>1</v>
      </c>
      <c r="ME44" s="8">
        <v>1</v>
      </c>
      <c r="MF44" s="8">
        <v>1</v>
      </c>
      <c r="MG44" s="41"/>
      <c r="MH44" s="41"/>
      <c r="MI44" s="8">
        <v>1</v>
      </c>
      <c r="MJ44" s="8">
        <v>1</v>
      </c>
      <c r="MK44" s="8">
        <v>1</v>
      </c>
      <c r="ML44" s="8">
        <v>1</v>
      </c>
      <c r="MM44" s="8">
        <v>1</v>
      </c>
      <c r="MN44" s="41"/>
      <c r="MO44" s="41"/>
      <c r="MP44" s="8">
        <v>1</v>
      </c>
      <c r="MQ44" s="8">
        <v>1</v>
      </c>
      <c r="MR44" s="8">
        <v>1</v>
      </c>
      <c r="MS44" s="8">
        <v>1</v>
      </c>
      <c r="MT44" s="8">
        <v>1</v>
      </c>
      <c r="MU44" s="41"/>
      <c r="MV44" s="41"/>
      <c r="MW44" s="8">
        <v>1</v>
      </c>
      <c r="MX44" s="8">
        <v>1</v>
      </c>
      <c r="MY44" s="8">
        <v>1</v>
      </c>
      <c r="MZ44" s="8">
        <v>1</v>
      </c>
      <c r="NA44" s="8">
        <v>1</v>
      </c>
      <c r="NB44" s="41"/>
      <c r="NC44" s="41"/>
      <c r="ND44" s="8">
        <v>1</v>
      </c>
      <c r="NE44" s="8">
        <v>1</v>
      </c>
      <c r="NF44" s="8">
        <v>1</v>
      </c>
      <c r="NG44" s="8">
        <v>1</v>
      </c>
      <c r="NH44" s="8">
        <v>1</v>
      </c>
      <c r="NI44" s="41"/>
      <c r="NJ44" s="41"/>
      <c r="NK44" s="8">
        <v>1</v>
      </c>
      <c r="NL44" s="8">
        <v>1</v>
      </c>
      <c r="NM44" s="8">
        <v>1</v>
      </c>
      <c r="NN44" s="8">
        <v>1</v>
      </c>
      <c r="NO44" s="8">
        <v>1</v>
      </c>
      <c r="NP44" s="40"/>
      <c r="NQ44" s="40"/>
      <c r="NR44" s="8">
        <v>1</v>
      </c>
      <c r="NS44" s="8">
        <v>1</v>
      </c>
      <c r="NT44" s="8">
        <v>1</v>
      </c>
      <c r="NU44" s="8">
        <v>1</v>
      </c>
      <c r="NV44" s="8">
        <v>1</v>
      </c>
      <c r="NW44" s="40"/>
      <c r="NX44" s="40"/>
      <c r="NY44" s="8">
        <v>1</v>
      </c>
      <c r="NZ44" s="8">
        <v>1</v>
      </c>
      <c r="OA44" s="8">
        <v>1</v>
      </c>
      <c r="OB44" s="8"/>
      <c r="OC44" s="8">
        <v>1</v>
      </c>
      <c r="OD44" s="41"/>
      <c r="OE44" s="41"/>
      <c r="OF44" s="8">
        <v>1</v>
      </c>
      <c r="OG44" s="8">
        <v>1</v>
      </c>
      <c r="OH44" s="8">
        <v>1</v>
      </c>
      <c r="OI44" s="47"/>
    </row>
    <row r="45" spans="1:451" s="31" customFormat="1" ht="21" x14ac:dyDescent="0.3">
      <c r="A45" s="61" t="s">
        <v>538</v>
      </c>
      <c r="B45" s="62" t="s">
        <v>436</v>
      </c>
      <c r="C45" s="45"/>
      <c r="D45" s="8">
        <v>1</v>
      </c>
      <c r="E45" s="8">
        <v>1</v>
      </c>
      <c r="F45" s="8">
        <v>1</v>
      </c>
      <c r="G45" s="8">
        <v>1</v>
      </c>
      <c r="H45" s="8">
        <v>1</v>
      </c>
      <c r="I45" s="46"/>
      <c r="J45" s="46"/>
      <c r="K45" s="8">
        <v>1</v>
      </c>
      <c r="L45" s="8">
        <v>1</v>
      </c>
      <c r="M45" s="8">
        <v>1</v>
      </c>
      <c r="N45" s="8">
        <v>1</v>
      </c>
      <c r="O45" s="8">
        <v>1</v>
      </c>
      <c r="P45" s="46"/>
      <c r="Q45" s="46"/>
      <c r="R45" s="8">
        <v>1</v>
      </c>
      <c r="S45" s="8">
        <v>1</v>
      </c>
      <c r="T45" s="8">
        <v>1</v>
      </c>
      <c r="U45" s="8">
        <v>1</v>
      </c>
      <c r="V45" s="8">
        <v>1</v>
      </c>
      <c r="W45" s="46"/>
      <c r="X45" s="46"/>
      <c r="Y45" s="8">
        <v>1</v>
      </c>
      <c r="Z45" s="8">
        <v>1</v>
      </c>
      <c r="AA45" s="8"/>
      <c r="AB45" s="8">
        <v>1</v>
      </c>
      <c r="AC45" s="8">
        <v>1</v>
      </c>
      <c r="AD45" s="46"/>
      <c r="AE45" s="46"/>
      <c r="AF45" s="8">
        <v>1</v>
      </c>
      <c r="AG45" s="8">
        <v>1</v>
      </c>
      <c r="AH45" s="38"/>
      <c r="AI45" s="8">
        <v>1</v>
      </c>
      <c r="AJ45" s="8">
        <v>1</v>
      </c>
      <c r="AK45" s="8"/>
      <c r="AL45" s="8"/>
      <c r="AM45" s="109">
        <v>1</v>
      </c>
      <c r="AN45" s="109">
        <v>1</v>
      </c>
      <c r="AO45" s="8">
        <v>1</v>
      </c>
      <c r="AP45" s="8">
        <v>1</v>
      </c>
      <c r="AQ45" s="8">
        <v>1</v>
      </c>
      <c r="AR45" s="39"/>
      <c r="AS45" s="39"/>
      <c r="AT45" s="8">
        <v>1</v>
      </c>
      <c r="AU45" s="8">
        <v>1</v>
      </c>
      <c r="AV45" s="8">
        <v>1</v>
      </c>
      <c r="AW45" s="8">
        <v>1</v>
      </c>
      <c r="AX45" s="8">
        <v>1</v>
      </c>
      <c r="AY45" s="39"/>
      <c r="AZ45" s="39"/>
      <c r="BA45" s="39">
        <v>1</v>
      </c>
      <c r="BB45" s="39">
        <v>1</v>
      </c>
      <c r="BC45" s="39">
        <v>1</v>
      </c>
      <c r="BD45" s="39">
        <v>1</v>
      </c>
      <c r="BE45" s="39">
        <v>1</v>
      </c>
      <c r="BF45" s="39"/>
      <c r="BG45" s="39"/>
      <c r="BH45" s="39">
        <v>1</v>
      </c>
      <c r="BI45" s="39">
        <v>1</v>
      </c>
      <c r="BJ45" s="39">
        <v>1</v>
      </c>
      <c r="BK45" s="39">
        <v>1</v>
      </c>
      <c r="BL45" s="39">
        <v>1</v>
      </c>
      <c r="BM45" s="40"/>
      <c r="BN45" s="40"/>
      <c r="BO45" s="8">
        <v>1</v>
      </c>
      <c r="BP45" s="8">
        <v>1</v>
      </c>
      <c r="BQ45" s="8">
        <v>1</v>
      </c>
      <c r="BR45" s="8">
        <v>1</v>
      </c>
      <c r="BS45" s="8">
        <v>1</v>
      </c>
      <c r="BT45" s="40"/>
      <c r="BU45" s="40"/>
      <c r="BV45" s="8">
        <v>1</v>
      </c>
      <c r="BW45" s="8">
        <v>1</v>
      </c>
      <c r="BX45" s="8">
        <v>1</v>
      </c>
      <c r="BY45" s="8">
        <v>1</v>
      </c>
      <c r="BZ45" s="8">
        <v>1</v>
      </c>
      <c r="CA45" s="40"/>
      <c r="CB45" s="40"/>
      <c r="CC45" s="8">
        <v>1</v>
      </c>
      <c r="CD45" s="8">
        <v>1</v>
      </c>
      <c r="CE45" s="8">
        <v>1</v>
      </c>
      <c r="CF45" s="8">
        <v>1</v>
      </c>
      <c r="CG45" s="8">
        <v>1</v>
      </c>
      <c r="CH45" s="40"/>
      <c r="CI45" s="40"/>
      <c r="CJ45" s="8">
        <v>1</v>
      </c>
      <c r="CK45" s="8">
        <v>1</v>
      </c>
      <c r="CL45" s="8">
        <v>1</v>
      </c>
      <c r="CM45" s="8">
        <v>1</v>
      </c>
      <c r="CN45" s="8">
        <v>1</v>
      </c>
      <c r="CO45" s="40"/>
      <c r="CP45" s="40"/>
      <c r="CQ45" s="8">
        <v>1</v>
      </c>
      <c r="CR45" s="8">
        <v>1</v>
      </c>
      <c r="CS45" s="8">
        <v>1</v>
      </c>
      <c r="CT45" s="8">
        <v>1</v>
      </c>
      <c r="CU45" s="8">
        <v>1</v>
      </c>
      <c r="CV45" s="40"/>
      <c r="CW45" s="40"/>
      <c r="CX45" s="8">
        <v>1</v>
      </c>
      <c r="CY45" s="8">
        <v>1</v>
      </c>
      <c r="CZ45" s="8">
        <v>1</v>
      </c>
      <c r="DA45" s="8">
        <v>1</v>
      </c>
      <c r="DB45" s="8">
        <v>1</v>
      </c>
      <c r="DC45" s="40"/>
      <c r="DD45" s="40"/>
      <c r="DE45" s="8">
        <v>1</v>
      </c>
      <c r="DF45" s="8">
        <v>1</v>
      </c>
      <c r="DG45" s="8">
        <v>1</v>
      </c>
      <c r="DH45" s="8">
        <v>1</v>
      </c>
      <c r="DI45" s="8">
        <v>1</v>
      </c>
      <c r="DJ45" s="40"/>
      <c r="DK45" s="40"/>
      <c r="DL45" s="8">
        <v>1</v>
      </c>
      <c r="DM45" s="8">
        <v>1</v>
      </c>
      <c r="DN45" s="8">
        <v>1</v>
      </c>
      <c r="DO45" s="8">
        <v>1</v>
      </c>
      <c r="DP45" s="8">
        <v>1</v>
      </c>
      <c r="DQ45" s="41"/>
      <c r="DR45" s="41"/>
      <c r="DS45" s="8">
        <v>1</v>
      </c>
      <c r="DT45" s="8">
        <v>1</v>
      </c>
      <c r="DU45" s="8">
        <v>1</v>
      </c>
      <c r="DV45" s="8">
        <v>1</v>
      </c>
      <c r="DW45" s="8">
        <v>1</v>
      </c>
      <c r="DX45" s="41"/>
      <c r="DY45" s="41"/>
      <c r="DZ45" s="8">
        <v>1</v>
      </c>
      <c r="EA45" s="8">
        <v>1</v>
      </c>
      <c r="EB45" s="8">
        <v>1</v>
      </c>
      <c r="EC45" s="8">
        <v>1</v>
      </c>
      <c r="ED45" s="8">
        <v>1</v>
      </c>
      <c r="EE45" s="41"/>
      <c r="EF45" s="41"/>
      <c r="EG45" s="8">
        <v>1</v>
      </c>
      <c r="EH45" s="8">
        <v>1</v>
      </c>
      <c r="EI45" s="8">
        <v>1</v>
      </c>
      <c r="EJ45" s="8">
        <v>1</v>
      </c>
      <c r="EK45" s="8">
        <v>1</v>
      </c>
      <c r="EL45" s="41"/>
      <c r="EM45" s="41"/>
      <c r="EN45" s="38"/>
      <c r="EO45" s="8">
        <v>1</v>
      </c>
      <c r="EP45" s="8">
        <v>1</v>
      </c>
      <c r="EQ45" s="8">
        <v>1</v>
      </c>
      <c r="ER45" s="8">
        <v>1</v>
      </c>
      <c r="ES45" s="41"/>
      <c r="ET45" s="41"/>
      <c r="EU45" s="8">
        <v>1</v>
      </c>
      <c r="EV45" s="8">
        <v>1</v>
      </c>
      <c r="EW45" s="8">
        <v>1</v>
      </c>
      <c r="EX45" s="38"/>
      <c r="EY45" s="8">
        <v>1</v>
      </c>
      <c r="EZ45" s="41"/>
      <c r="FA45" s="41"/>
      <c r="FB45" s="8">
        <v>1</v>
      </c>
      <c r="FC45" s="8">
        <v>1</v>
      </c>
      <c r="FD45" s="8">
        <v>1</v>
      </c>
      <c r="FE45" s="38"/>
      <c r="FF45" s="8">
        <v>1</v>
      </c>
      <c r="FG45" s="41"/>
      <c r="FH45" s="41"/>
      <c r="FI45" s="8">
        <v>1</v>
      </c>
      <c r="FJ45" s="8">
        <v>1</v>
      </c>
      <c r="FK45" s="8">
        <v>1</v>
      </c>
      <c r="FL45" s="8">
        <v>1</v>
      </c>
      <c r="FM45" s="8">
        <v>1</v>
      </c>
      <c r="FN45" s="41"/>
      <c r="FO45" s="41"/>
      <c r="FP45" s="8">
        <v>1</v>
      </c>
      <c r="FQ45" s="8">
        <v>1</v>
      </c>
      <c r="FR45" s="8">
        <v>1</v>
      </c>
      <c r="FS45" s="8">
        <v>1</v>
      </c>
      <c r="FT45" s="8">
        <v>1</v>
      </c>
      <c r="FU45" s="41"/>
      <c r="FV45" s="41"/>
      <c r="FW45" s="8">
        <v>1</v>
      </c>
      <c r="FX45" s="8">
        <v>1</v>
      </c>
      <c r="FY45" s="8">
        <v>1</v>
      </c>
      <c r="FZ45" s="38"/>
      <c r="GA45" s="8">
        <v>1</v>
      </c>
      <c r="GB45" s="41"/>
      <c r="GC45" s="41"/>
      <c r="GD45" s="8">
        <v>1</v>
      </c>
      <c r="GE45" s="8">
        <v>1</v>
      </c>
      <c r="GF45" s="8">
        <v>1</v>
      </c>
      <c r="GG45" s="8">
        <v>1</v>
      </c>
      <c r="GH45" s="8">
        <v>1</v>
      </c>
      <c r="GI45" s="41"/>
      <c r="GJ45" s="41"/>
      <c r="GK45" s="38"/>
      <c r="GL45" s="8">
        <v>1</v>
      </c>
      <c r="GM45" s="8">
        <v>1</v>
      </c>
      <c r="GN45" s="8">
        <v>1</v>
      </c>
      <c r="GO45" s="8">
        <v>1</v>
      </c>
      <c r="GP45" s="41"/>
      <c r="GQ45" s="41"/>
      <c r="GR45" s="8">
        <v>1</v>
      </c>
      <c r="GS45" s="8">
        <v>1</v>
      </c>
      <c r="GT45" s="8">
        <v>1</v>
      </c>
      <c r="GU45" s="8">
        <v>1</v>
      </c>
      <c r="GV45" s="8">
        <v>1</v>
      </c>
      <c r="GW45" s="41"/>
      <c r="GX45" s="41"/>
      <c r="GY45" s="8">
        <v>1</v>
      </c>
      <c r="GZ45" s="8">
        <v>1</v>
      </c>
      <c r="HA45" s="8">
        <v>1</v>
      </c>
      <c r="HB45" s="8">
        <v>1</v>
      </c>
      <c r="HC45" s="8">
        <v>1</v>
      </c>
      <c r="HD45" s="41"/>
      <c r="HE45" s="41"/>
      <c r="HF45" s="8">
        <v>1</v>
      </c>
      <c r="HG45" s="8">
        <v>1</v>
      </c>
      <c r="HH45" s="8">
        <v>1</v>
      </c>
      <c r="HI45" s="8">
        <v>1</v>
      </c>
      <c r="HJ45" s="8">
        <v>1</v>
      </c>
      <c r="HK45" s="41"/>
      <c r="HL45" s="41"/>
      <c r="HM45" s="8">
        <v>1</v>
      </c>
      <c r="HN45" s="8">
        <v>1</v>
      </c>
      <c r="HO45" s="8">
        <v>1</v>
      </c>
      <c r="HP45" s="8">
        <v>1</v>
      </c>
      <c r="HQ45" s="8">
        <v>1</v>
      </c>
      <c r="HR45" s="41"/>
      <c r="HS45" s="41"/>
      <c r="HT45" s="38"/>
      <c r="HU45" s="8">
        <v>1</v>
      </c>
      <c r="HV45" s="8">
        <v>1</v>
      </c>
      <c r="HW45" s="8">
        <v>1</v>
      </c>
      <c r="HX45" s="8">
        <v>1</v>
      </c>
      <c r="HY45" s="41"/>
      <c r="HZ45" s="41"/>
      <c r="IA45" s="8">
        <v>1</v>
      </c>
      <c r="IB45" s="8">
        <v>1</v>
      </c>
      <c r="IC45" s="8">
        <v>1</v>
      </c>
      <c r="ID45" s="8">
        <v>1</v>
      </c>
      <c r="IE45" s="8">
        <v>1</v>
      </c>
      <c r="IF45" s="41"/>
      <c r="IG45" s="41"/>
      <c r="IH45" s="8">
        <v>1</v>
      </c>
      <c r="II45" s="8">
        <v>1</v>
      </c>
      <c r="IJ45" s="8">
        <v>1</v>
      </c>
      <c r="IK45" s="8">
        <v>1</v>
      </c>
      <c r="IL45" s="8">
        <v>1</v>
      </c>
      <c r="IM45" s="41"/>
      <c r="IN45" s="41"/>
      <c r="IO45" s="8">
        <v>1</v>
      </c>
      <c r="IP45" s="8">
        <v>1</v>
      </c>
      <c r="IQ45" s="8">
        <v>1</v>
      </c>
      <c r="IR45" s="8">
        <v>1</v>
      </c>
      <c r="IS45" s="8">
        <v>1</v>
      </c>
      <c r="IT45" s="41"/>
      <c r="IU45" s="41"/>
      <c r="IV45" s="8">
        <v>1</v>
      </c>
      <c r="IW45" s="8">
        <v>1</v>
      </c>
      <c r="IX45" s="8">
        <v>1</v>
      </c>
      <c r="IY45" s="8">
        <v>1</v>
      </c>
      <c r="IZ45" s="38"/>
      <c r="JA45" s="41"/>
      <c r="JB45" s="41"/>
      <c r="JC45" s="8">
        <v>1</v>
      </c>
      <c r="JD45" s="8">
        <v>1</v>
      </c>
      <c r="JE45" s="8">
        <v>1</v>
      </c>
      <c r="JF45" s="8">
        <v>1</v>
      </c>
      <c r="JG45" s="8">
        <v>1</v>
      </c>
      <c r="JH45" s="41"/>
      <c r="JI45" s="41"/>
      <c r="JJ45" s="8">
        <v>1</v>
      </c>
      <c r="JK45" s="8">
        <v>1</v>
      </c>
      <c r="JL45" s="8">
        <v>1</v>
      </c>
      <c r="JM45" s="8">
        <v>1</v>
      </c>
      <c r="JN45" s="8">
        <v>1</v>
      </c>
      <c r="JO45" s="41"/>
      <c r="JP45" s="41"/>
      <c r="JQ45" s="8">
        <v>1</v>
      </c>
      <c r="JR45" s="8">
        <v>1</v>
      </c>
      <c r="JS45" s="8">
        <v>1</v>
      </c>
      <c r="JT45" s="8">
        <v>1</v>
      </c>
      <c r="JU45" s="8">
        <v>1</v>
      </c>
      <c r="JV45" s="41"/>
      <c r="JW45" s="41"/>
      <c r="JX45" s="8">
        <v>1</v>
      </c>
      <c r="JY45" s="8">
        <v>1</v>
      </c>
      <c r="JZ45" s="8">
        <v>1</v>
      </c>
      <c r="KA45" s="8">
        <v>1</v>
      </c>
      <c r="KB45" s="8">
        <v>1</v>
      </c>
      <c r="KC45" s="41"/>
      <c r="KD45" s="41"/>
      <c r="KE45" s="8">
        <v>1</v>
      </c>
      <c r="KF45" s="8">
        <v>1</v>
      </c>
      <c r="KG45" s="8">
        <v>1</v>
      </c>
      <c r="KH45" s="8">
        <v>1</v>
      </c>
      <c r="KI45" s="8">
        <v>1</v>
      </c>
      <c r="KJ45" s="41"/>
      <c r="KK45" s="41"/>
      <c r="KL45" s="8">
        <v>1</v>
      </c>
      <c r="KM45" s="8">
        <v>1</v>
      </c>
      <c r="KN45" s="8">
        <v>1</v>
      </c>
      <c r="KO45" s="8">
        <v>1</v>
      </c>
      <c r="KP45" s="8">
        <v>1</v>
      </c>
      <c r="KQ45" s="41"/>
      <c r="KR45" s="41"/>
      <c r="KS45" s="8">
        <v>1</v>
      </c>
      <c r="KT45" s="8">
        <v>1</v>
      </c>
      <c r="KU45" s="8">
        <v>1</v>
      </c>
      <c r="KV45" s="8">
        <v>1</v>
      </c>
      <c r="KW45" s="8">
        <v>1</v>
      </c>
      <c r="KX45" s="41"/>
      <c r="KY45" s="41"/>
      <c r="KZ45" s="8">
        <v>1</v>
      </c>
      <c r="LA45" s="8">
        <v>1</v>
      </c>
      <c r="LB45" s="8">
        <v>1</v>
      </c>
      <c r="LC45" s="8">
        <v>1</v>
      </c>
      <c r="LD45" s="8">
        <v>1</v>
      </c>
      <c r="LE45" s="41"/>
      <c r="LF45" s="41"/>
      <c r="LG45" s="8">
        <v>1</v>
      </c>
      <c r="LH45" s="8">
        <v>1</v>
      </c>
      <c r="LI45" s="8">
        <v>1</v>
      </c>
      <c r="LJ45" s="8">
        <v>1</v>
      </c>
      <c r="LK45" s="8">
        <v>1</v>
      </c>
      <c r="LL45" s="41"/>
      <c r="LM45" s="41"/>
      <c r="LN45" s="8">
        <v>1</v>
      </c>
      <c r="LO45" s="8">
        <v>1</v>
      </c>
      <c r="LP45" s="8">
        <v>1</v>
      </c>
      <c r="LQ45" s="8">
        <v>1</v>
      </c>
      <c r="LR45" s="8">
        <v>1</v>
      </c>
      <c r="LS45" s="41"/>
      <c r="LT45" s="41"/>
      <c r="LU45" s="8">
        <v>1</v>
      </c>
      <c r="LV45" s="8">
        <v>1</v>
      </c>
      <c r="LW45" s="8">
        <v>1</v>
      </c>
      <c r="LX45" s="8">
        <v>1</v>
      </c>
      <c r="LY45" s="8">
        <v>1</v>
      </c>
      <c r="LZ45" s="41"/>
      <c r="MA45" s="41"/>
      <c r="MB45" s="8">
        <v>1</v>
      </c>
      <c r="MC45" s="8">
        <v>1</v>
      </c>
      <c r="MD45" s="8">
        <v>1</v>
      </c>
      <c r="ME45" s="8">
        <v>1</v>
      </c>
      <c r="MF45" s="8">
        <v>1</v>
      </c>
      <c r="MG45" s="41"/>
      <c r="MH45" s="41"/>
      <c r="MI45" s="8">
        <v>1</v>
      </c>
      <c r="MJ45" s="8">
        <v>1</v>
      </c>
      <c r="MK45" s="8">
        <v>1</v>
      </c>
      <c r="ML45" s="8">
        <v>1</v>
      </c>
      <c r="MM45" s="8">
        <v>1</v>
      </c>
      <c r="MN45" s="41"/>
      <c r="MO45" s="41"/>
      <c r="MP45" s="8">
        <v>1</v>
      </c>
      <c r="MQ45" s="8">
        <v>1</v>
      </c>
      <c r="MR45" s="8">
        <v>1</v>
      </c>
      <c r="MS45" s="8">
        <v>1</v>
      </c>
      <c r="MT45" s="8">
        <v>1</v>
      </c>
      <c r="MU45" s="41"/>
      <c r="MV45" s="41"/>
      <c r="MW45" s="8">
        <v>1</v>
      </c>
      <c r="MX45" s="8">
        <v>1</v>
      </c>
      <c r="MY45" s="8">
        <v>1</v>
      </c>
      <c r="MZ45" s="8">
        <v>1</v>
      </c>
      <c r="NA45" s="8">
        <v>1</v>
      </c>
      <c r="NB45" s="41"/>
      <c r="NC45" s="41"/>
      <c r="ND45" s="8">
        <v>1</v>
      </c>
      <c r="NE45" s="8">
        <v>1</v>
      </c>
      <c r="NF45" s="8">
        <v>1</v>
      </c>
      <c r="NG45" s="8">
        <v>1</v>
      </c>
      <c r="NH45" s="8">
        <v>1</v>
      </c>
      <c r="NI45" s="41"/>
      <c r="NJ45" s="41"/>
      <c r="NK45" s="8">
        <v>1</v>
      </c>
      <c r="NL45" s="8">
        <v>1</v>
      </c>
      <c r="NM45" s="8">
        <v>1</v>
      </c>
      <c r="NN45" s="8">
        <v>1</v>
      </c>
      <c r="NO45" s="8">
        <v>1</v>
      </c>
      <c r="NP45" s="40"/>
      <c r="NQ45" s="40"/>
      <c r="NR45" s="8">
        <v>1</v>
      </c>
      <c r="NS45" s="8">
        <v>1</v>
      </c>
      <c r="NT45" s="8">
        <v>1</v>
      </c>
      <c r="NU45" s="8">
        <v>1</v>
      </c>
      <c r="NV45" s="8">
        <v>1</v>
      </c>
      <c r="NW45" s="40"/>
      <c r="NX45" s="40"/>
      <c r="NY45" s="8">
        <v>1</v>
      </c>
      <c r="NZ45" s="8">
        <v>1</v>
      </c>
      <c r="OA45" s="8">
        <v>1</v>
      </c>
      <c r="OB45" s="8"/>
      <c r="OC45" s="8">
        <v>1</v>
      </c>
      <c r="OD45" s="41"/>
      <c r="OE45" s="41"/>
      <c r="OF45" s="8">
        <v>1</v>
      </c>
      <c r="OG45" s="8">
        <v>1</v>
      </c>
      <c r="OH45" s="8">
        <v>1</v>
      </c>
      <c r="OI45" s="47"/>
    </row>
    <row r="46" spans="1:451" s="31" customFormat="1" ht="21" x14ac:dyDescent="0.3">
      <c r="A46" s="61" t="s">
        <v>539</v>
      </c>
      <c r="B46" s="62" t="s">
        <v>437</v>
      </c>
      <c r="C46" s="45"/>
      <c r="D46" s="8">
        <v>1</v>
      </c>
      <c r="E46" s="8">
        <v>1</v>
      </c>
      <c r="F46" s="8">
        <v>1</v>
      </c>
      <c r="G46" s="8">
        <v>1</v>
      </c>
      <c r="H46" s="8">
        <v>1</v>
      </c>
      <c r="I46" s="46"/>
      <c r="J46" s="46"/>
      <c r="K46" s="8">
        <v>1</v>
      </c>
      <c r="L46" s="8">
        <v>1</v>
      </c>
      <c r="M46" s="8">
        <v>1</v>
      </c>
      <c r="N46" s="8">
        <v>1</v>
      </c>
      <c r="O46" s="8">
        <v>1</v>
      </c>
      <c r="P46" s="46"/>
      <c r="Q46" s="46"/>
      <c r="R46" s="8">
        <v>1</v>
      </c>
      <c r="S46" s="8">
        <v>0</v>
      </c>
      <c r="T46" s="8">
        <v>1</v>
      </c>
      <c r="U46" s="8">
        <v>1</v>
      </c>
      <c r="V46" s="8">
        <v>1</v>
      </c>
      <c r="W46" s="46"/>
      <c r="X46" s="46"/>
      <c r="Y46" s="8">
        <v>0</v>
      </c>
      <c r="Z46" s="8">
        <v>0</v>
      </c>
      <c r="AA46" s="8"/>
      <c r="AB46" s="8">
        <v>0</v>
      </c>
      <c r="AC46" s="8">
        <v>0</v>
      </c>
      <c r="AD46" s="46"/>
      <c r="AE46" s="46"/>
      <c r="AF46" s="8">
        <v>0</v>
      </c>
      <c r="AG46" s="8">
        <v>0</v>
      </c>
      <c r="AH46" s="38"/>
      <c r="AI46" s="8">
        <v>0</v>
      </c>
      <c r="AJ46" s="8">
        <v>0</v>
      </c>
      <c r="AK46" s="8"/>
      <c r="AL46" s="8"/>
      <c r="AM46" s="109">
        <v>1</v>
      </c>
      <c r="AN46" s="109">
        <v>1</v>
      </c>
      <c r="AO46" s="8">
        <v>1</v>
      </c>
      <c r="AP46" s="8">
        <v>1</v>
      </c>
      <c r="AQ46" s="8">
        <v>1</v>
      </c>
      <c r="AR46" s="39"/>
      <c r="AS46" s="39"/>
      <c r="AT46" s="8">
        <v>1</v>
      </c>
      <c r="AU46" s="8">
        <v>0</v>
      </c>
      <c r="AV46" s="8">
        <v>1</v>
      </c>
      <c r="AW46" s="8">
        <v>1</v>
      </c>
      <c r="AX46" s="8">
        <v>1</v>
      </c>
      <c r="AY46" s="39"/>
      <c r="AZ46" s="39"/>
      <c r="BA46" s="39">
        <v>1</v>
      </c>
      <c r="BB46" s="39">
        <v>1</v>
      </c>
      <c r="BC46" s="39">
        <v>1</v>
      </c>
      <c r="BD46" s="39">
        <v>1</v>
      </c>
      <c r="BE46" s="39">
        <v>1</v>
      </c>
      <c r="BF46" s="39"/>
      <c r="BG46" s="39"/>
      <c r="BH46" s="39">
        <v>1</v>
      </c>
      <c r="BI46" s="39">
        <v>1</v>
      </c>
      <c r="BJ46" s="39">
        <v>1</v>
      </c>
      <c r="BK46" s="39">
        <v>1</v>
      </c>
      <c r="BL46" s="39">
        <v>1</v>
      </c>
      <c r="BM46" s="40"/>
      <c r="BN46" s="40"/>
      <c r="BO46" s="8">
        <v>1</v>
      </c>
      <c r="BP46" s="8">
        <v>0</v>
      </c>
      <c r="BQ46" s="8">
        <v>1</v>
      </c>
      <c r="BR46" s="8">
        <v>1</v>
      </c>
      <c r="BS46" s="8">
        <v>1</v>
      </c>
      <c r="BT46" s="40"/>
      <c r="BU46" s="40"/>
      <c r="BV46" s="8">
        <v>1</v>
      </c>
      <c r="BW46" s="8">
        <v>0</v>
      </c>
      <c r="BX46" s="8">
        <v>1</v>
      </c>
      <c r="BY46" s="8">
        <v>1</v>
      </c>
      <c r="BZ46" s="8">
        <v>1</v>
      </c>
      <c r="CA46" s="40"/>
      <c r="CB46" s="40"/>
      <c r="CC46" s="8">
        <v>1</v>
      </c>
      <c r="CD46" s="8">
        <v>1</v>
      </c>
      <c r="CE46" s="8">
        <v>1</v>
      </c>
      <c r="CF46" s="8">
        <v>1</v>
      </c>
      <c r="CG46" s="8">
        <v>1</v>
      </c>
      <c r="CH46" s="40"/>
      <c r="CI46" s="40"/>
      <c r="CJ46" s="8">
        <v>1</v>
      </c>
      <c r="CK46" s="8">
        <v>1</v>
      </c>
      <c r="CL46" s="8">
        <v>1</v>
      </c>
      <c r="CM46" s="8">
        <v>1</v>
      </c>
      <c r="CN46" s="8">
        <v>1</v>
      </c>
      <c r="CO46" s="40"/>
      <c r="CP46" s="40"/>
      <c r="CQ46" s="8">
        <v>1</v>
      </c>
      <c r="CR46" s="8">
        <v>1</v>
      </c>
      <c r="CS46" s="8">
        <v>1</v>
      </c>
      <c r="CT46" s="8">
        <v>1</v>
      </c>
      <c r="CU46" s="8">
        <v>1</v>
      </c>
      <c r="CV46" s="40"/>
      <c r="CW46" s="40"/>
      <c r="CX46" s="8">
        <v>1</v>
      </c>
      <c r="CY46" s="8">
        <v>1</v>
      </c>
      <c r="CZ46" s="8">
        <v>1</v>
      </c>
      <c r="DA46" s="8">
        <v>1</v>
      </c>
      <c r="DB46" s="8">
        <v>1</v>
      </c>
      <c r="DC46" s="40"/>
      <c r="DD46" s="40"/>
      <c r="DE46" s="8">
        <v>1</v>
      </c>
      <c r="DF46" s="8">
        <v>1</v>
      </c>
      <c r="DG46" s="8">
        <v>1</v>
      </c>
      <c r="DH46" s="8">
        <v>1</v>
      </c>
      <c r="DI46" s="8">
        <v>1</v>
      </c>
      <c r="DJ46" s="40"/>
      <c r="DK46" s="40"/>
      <c r="DL46" s="8">
        <v>1</v>
      </c>
      <c r="DM46" s="8">
        <v>1</v>
      </c>
      <c r="DN46" s="8">
        <v>1</v>
      </c>
      <c r="DO46" s="8">
        <v>1</v>
      </c>
      <c r="DP46" s="8">
        <v>1</v>
      </c>
      <c r="DQ46" s="41"/>
      <c r="DR46" s="41"/>
      <c r="DS46" s="8">
        <v>1</v>
      </c>
      <c r="DT46" s="8">
        <v>1</v>
      </c>
      <c r="DU46" s="8">
        <v>1</v>
      </c>
      <c r="DV46" s="8">
        <v>1</v>
      </c>
      <c r="DW46" s="8">
        <v>1</v>
      </c>
      <c r="DX46" s="41"/>
      <c r="DY46" s="41"/>
      <c r="DZ46" s="8">
        <v>1</v>
      </c>
      <c r="EA46" s="8">
        <v>1</v>
      </c>
      <c r="EB46" s="8">
        <v>1</v>
      </c>
      <c r="EC46" s="8">
        <v>1</v>
      </c>
      <c r="ED46" s="8">
        <v>1</v>
      </c>
      <c r="EE46" s="41"/>
      <c r="EF46" s="41"/>
      <c r="EG46" s="8">
        <v>1</v>
      </c>
      <c r="EH46" s="8">
        <v>1</v>
      </c>
      <c r="EI46" s="8">
        <v>1</v>
      </c>
      <c r="EJ46" s="8">
        <v>1</v>
      </c>
      <c r="EK46" s="8">
        <v>1</v>
      </c>
      <c r="EL46" s="41"/>
      <c r="EM46" s="41"/>
      <c r="EN46" s="38"/>
      <c r="EO46" s="8">
        <v>0</v>
      </c>
      <c r="EP46" s="8">
        <v>0</v>
      </c>
      <c r="EQ46" s="8">
        <v>0</v>
      </c>
      <c r="ER46" s="8">
        <v>0</v>
      </c>
      <c r="ES46" s="41"/>
      <c r="ET46" s="41"/>
      <c r="EU46" s="8">
        <v>1</v>
      </c>
      <c r="EV46" s="8">
        <v>1</v>
      </c>
      <c r="EW46" s="8">
        <v>1</v>
      </c>
      <c r="EX46" s="38"/>
      <c r="EY46" s="8">
        <v>1</v>
      </c>
      <c r="EZ46" s="41"/>
      <c r="FA46" s="41"/>
      <c r="FB46" s="8">
        <v>1</v>
      </c>
      <c r="FC46" s="8">
        <v>1</v>
      </c>
      <c r="FD46" s="8">
        <v>1</v>
      </c>
      <c r="FE46" s="38"/>
      <c r="FF46" s="8">
        <v>1</v>
      </c>
      <c r="FG46" s="41"/>
      <c r="FH46" s="41"/>
      <c r="FI46" s="8">
        <v>1</v>
      </c>
      <c r="FJ46" s="8">
        <v>1</v>
      </c>
      <c r="FK46" s="8">
        <v>1</v>
      </c>
      <c r="FL46" s="8">
        <v>1</v>
      </c>
      <c r="FM46" s="8">
        <v>1</v>
      </c>
      <c r="FN46" s="41"/>
      <c r="FO46" s="41"/>
      <c r="FP46" s="8">
        <v>1</v>
      </c>
      <c r="FQ46" s="8">
        <v>1</v>
      </c>
      <c r="FR46" s="8">
        <v>1</v>
      </c>
      <c r="FS46" s="8">
        <v>0</v>
      </c>
      <c r="FT46" s="8">
        <v>1</v>
      </c>
      <c r="FU46" s="41"/>
      <c r="FV46" s="41"/>
      <c r="FW46" s="8">
        <v>1</v>
      </c>
      <c r="FX46" s="8">
        <v>1</v>
      </c>
      <c r="FY46" s="8">
        <v>1</v>
      </c>
      <c r="FZ46" s="38"/>
      <c r="GA46" s="8">
        <v>0</v>
      </c>
      <c r="GB46" s="41"/>
      <c r="GC46" s="41"/>
      <c r="GD46" s="8">
        <v>1</v>
      </c>
      <c r="GE46" s="8">
        <v>1</v>
      </c>
      <c r="GF46" s="8">
        <v>1</v>
      </c>
      <c r="GG46" s="8">
        <v>1</v>
      </c>
      <c r="GH46" s="8">
        <v>1</v>
      </c>
      <c r="GI46" s="41"/>
      <c r="GJ46" s="41"/>
      <c r="GK46" s="38"/>
      <c r="GL46" s="8">
        <v>1</v>
      </c>
      <c r="GM46" s="8">
        <v>1</v>
      </c>
      <c r="GN46" s="8">
        <v>1</v>
      </c>
      <c r="GO46" s="8">
        <v>1</v>
      </c>
      <c r="GP46" s="41"/>
      <c r="GQ46" s="41"/>
      <c r="GR46" s="8">
        <v>1</v>
      </c>
      <c r="GS46" s="8">
        <v>1</v>
      </c>
      <c r="GT46" s="8">
        <v>1</v>
      </c>
      <c r="GU46" s="8">
        <v>1</v>
      </c>
      <c r="GV46" s="8">
        <v>1</v>
      </c>
      <c r="GW46" s="41"/>
      <c r="GX46" s="41"/>
      <c r="GY46" s="8">
        <v>1</v>
      </c>
      <c r="GZ46" s="8">
        <v>1</v>
      </c>
      <c r="HA46" s="8">
        <v>1</v>
      </c>
      <c r="HB46" s="8">
        <v>1</v>
      </c>
      <c r="HC46" s="8">
        <v>1</v>
      </c>
      <c r="HD46" s="41"/>
      <c r="HE46" s="41"/>
      <c r="HF46" s="8">
        <v>1</v>
      </c>
      <c r="HG46" s="8">
        <v>1</v>
      </c>
      <c r="HH46" s="8">
        <v>1</v>
      </c>
      <c r="HI46" s="8">
        <v>1</v>
      </c>
      <c r="HJ46" s="8">
        <v>1</v>
      </c>
      <c r="HK46" s="41"/>
      <c r="HL46" s="41"/>
      <c r="HM46" s="8">
        <v>1</v>
      </c>
      <c r="HN46" s="8">
        <v>1</v>
      </c>
      <c r="HO46" s="8">
        <v>1</v>
      </c>
      <c r="HP46" s="8">
        <v>1</v>
      </c>
      <c r="HQ46" s="8">
        <v>1</v>
      </c>
      <c r="HR46" s="41"/>
      <c r="HS46" s="41"/>
      <c r="HT46" s="38"/>
      <c r="HU46" s="8">
        <v>1</v>
      </c>
      <c r="HV46" s="8">
        <v>1</v>
      </c>
      <c r="HW46" s="8">
        <v>1</v>
      </c>
      <c r="HX46" s="8">
        <v>1</v>
      </c>
      <c r="HY46" s="41"/>
      <c r="HZ46" s="41"/>
      <c r="IA46" s="8">
        <v>1</v>
      </c>
      <c r="IB46" s="8">
        <v>1</v>
      </c>
      <c r="IC46" s="8">
        <v>1</v>
      </c>
      <c r="ID46" s="8">
        <v>1</v>
      </c>
      <c r="IE46" s="8">
        <v>1</v>
      </c>
      <c r="IF46" s="41"/>
      <c r="IG46" s="41"/>
      <c r="IH46" s="8">
        <v>1</v>
      </c>
      <c r="II46" s="8">
        <v>1</v>
      </c>
      <c r="IJ46" s="8">
        <v>1</v>
      </c>
      <c r="IK46" s="8">
        <v>1</v>
      </c>
      <c r="IL46" s="8">
        <v>1</v>
      </c>
      <c r="IM46" s="41"/>
      <c r="IN46" s="41"/>
      <c r="IO46" s="8">
        <v>1</v>
      </c>
      <c r="IP46" s="8">
        <v>1</v>
      </c>
      <c r="IQ46" s="8">
        <v>1</v>
      </c>
      <c r="IR46" s="8">
        <v>1</v>
      </c>
      <c r="IS46" s="8">
        <v>1</v>
      </c>
      <c r="IT46" s="41"/>
      <c r="IU46" s="41"/>
      <c r="IV46" s="8">
        <v>1</v>
      </c>
      <c r="IW46" s="8">
        <v>1</v>
      </c>
      <c r="IX46" s="8">
        <v>1</v>
      </c>
      <c r="IY46" s="8">
        <v>1</v>
      </c>
      <c r="IZ46" s="38"/>
      <c r="JA46" s="41"/>
      <c r="JB46" s="41"/>
      <c r="JC46" s="8">
        <v>1</v>
      </c>
      <c r="JD46" s="8">
        <v>1</v>
      </c>
      <c r="JE46" s="8">
        <v>1</v>
      </c>
      <c r="JF46" s="8">
        <v>1</v>
      </c>
      <c r="JG46" s="8">
        <v>1</v>
      </c>
      <c r="JH46" s="41"/>
      <c r="JI46" s="41"/>
      <c r="JJ46" s="8">
        <v>1</v>
      </c>
      <c r="JK46" s="8">
        <v>1</v>
      </c>
      <c r="JL46" s="8">
        <v>1</v>
      </c>
      <c r="JM46" s="8">
        <v>1</v>
      </c>
      <c r="JN46" s="8">
        <v>1</v>
      </c>
      <c r="JO46" s="41"/>
      <c r="JP46" s="41"/>
      <c r="JQ46" s="8">
        <v>1</v>
      </c>
      <c r="JR46" s="8">
        <v>1</v>
      </c>
      <c r="JS46" s="8">
        <v>1</v>
      </c>
      <c r="JT46" s="8">
        <v>1</v>
      </c>
      <c r="JU46" s="8">
        <v>1</v>
      </c>
      <c r="JV46" s="41"/>
      <c r="JW46" s="41"/>
      <c r="JX46" s="8">
        <v>1</v>
      </c>
      <c r="JY46" s="8">
        <v>1</v>
      </c>
      <c r="JZ46" s="8">
        <v>1</v>
      </c>
      <c r="KA46" s="8">
        <v>1</v>
      </c>
      <c r="KB46" s="8">
        <v>1</v>
      </c>
      <c r="KC46" s="41"/>
      <c r="KD46" s="41"/>
      <c r="KE46" s="8">
        <v>1</v>
      </c>
      <c r="KF46" s="8">
        <v>1</v>
      </c>
      <c r="KG46" s="8">
        <v>1</v>
      </c>
      <c r="KH46" s="8">
        <v>1</v>
      </c>
      <c r="KI46" s="8">
        <v>1</v>
      </c>
      <c r="KJ46" s="41"/>
      <c r="KK46" s="41"/>
      <c r="KL46" s="8">
        <v>1</v>
      </c>
      <c r="KM46" s="8">
        <v>1</v>
      </c>
      <c r="KN46" s="8">
        <v>1</v>
      </c>
      <c r="KO46" s="8">
        <v>1</v>
      </c>
      <c r="KP46" s="8">
        <v>1</v>
      </c>
      <c r="KQ46" s="41"/>
      <c r="KR46" s="41"/>
      <c r="KS46" s="8">
        <v>1</v>
      </c>
      <c r="KT46" s="8">
        <v>1</v>
      </c>
      <c r="KU46" s="8">
        <v>1</v>
      </c>
      <c r="KV46" s="8">
        <v>1</v>
      </c>
      <c r="KW46" s="8">
        <v>1</v>
      </c>
      <c r="KX46" s="41"/>
      <c r="KY46" s="41"/>
      <c r="KZ46" s="8">
        <v>1</v>
      </c>
      <c r="LA46" s="8">
        <v>1</v>
      </c>
      <c r="LB46" s="8">
        <v>1</v>
      </c>
      <c r="LC46" s="8">
        <v>1</v>
      </c>
      <c r="LD46" s="8">
        <v>1</v>
      </c>
      <c r="LE46" s="41"/>
      <c r="LF46" s="41"/>
      <c r="LG46" s="8">
        <v>1</v>
      </c>
      <c r="LH46" s="8">
        <v>1</v>
      </c>
      <c r="LI46" s="8">
        <v>1</v>
      </c>
      <c r="LJ46" s="8">
        <v>0</v>
      </c>
      <c r="LK46" s="8">
        <v>1</v>
      </c>
      <c r="LL46" s="41"/>
      <c r="LM46" s="41"/>
      <c r="LN46" s="8">
        <v>1</v>
      </c>
      <c r="LO46" s="8">
        <v>1</v>
      </c>
      <c r="LP46" s="8">
        <v>1</v>
      </c>
      <c r="LQ46" s="8">
        <v>1</v>
      </c>
      <c r="LR46" s="8">
        <v>1</v>
      </c>
      <c r="LS46" s="41"/>
      <c r="LT46" s="41"/>
      <c r="LU46" s="8">
        <v>1</v>
      </c>
      <c r="LV46" s="8">
        <v>1</v>
      </c>
      <c r="LW46" s="8">
        <v>1</v>
      </c>
      <c r="LX46" s="8">
        <v>1</v>
      </c>
      <c r="LY46" s="8">
        <v>1</v>
      </c>
      <c r="LZ46" s="41"/>
      <c r="MA46" s="41"/>
      <c r="MB46" s="8">
        <v>1</v>
      </c>
      <c r="MC46" s="8">
        <v>1</v>
      </c>
      <c r="MD46" s="8">
        <v>1</v>
      </c>
      <c r="ME46" s="8">
        <v>1</v>
      </c>
      <c r="MF46" s="8">
        <v>1</v>
      </c>
      <c r="MG46" s="41"/>
      <c r="MH46" s="41"/>
      <c r="MI46" s="8">
        <v>1</v>
      </c>
      <c r="MJ46" s="8">
        <v>1</v>
      </c>
      <c r="MK46" s="8">
        <v>1</v>
      </c>
      <c r="ML46" s="8">
        <v>1</v>
      </c>
      <c r="MM46" s="8">
        <v>1</v>
      </c>
      <c r="MN46" s="41"/>
      <c r="MO46" s="41"/>
      <c r="MP46" s="8">
        <v>1</v>
      </c>
      <c r="MQ46" s="8">
        <v>1</v>
      </c>
      <c r="MR46" s="8">
        <v>1</v>
      </c>
      <c r="MS46" s="8">
        <v>1</v>
      </c>
      <c r="MT46" s="8">
        <v>1</v>
      </c>
      <c r="MU46" s="41"/>
      <c r="MV46" s="41"/>
      <c r="MW46" s="8">
        <v>1</v>
      </c>
      <c r="MX46" s="8">
        <v>1</v>
      </c>
      <c r="MY46" s="8">
        <v>1</v>
      </c>
      <c r="MZ46" s="8">
        <v>1</v>
      </c>
      <c r="NA46" s="8">
        <v>1</v>
      </c>
      <c r="NB46" s="41"/>
      <c r="NC46" s="41"/>
      <c r="ND46" s="8">
        <v>1</v>
      </c>
      <c r="NE46" s="8">
        <v>1</v>
      </c>
      <c r="NF46" s="8">
        <v>1</v>
      </c>
      <c r="NG46" s="8">
        <v>1</v>
      </c>
      <c r="NH46" s="8">
        <v>1</v>
      </c>
      <c r="NI46" s="41"/>
      <c r="NJ46" s="41"/>
      <c r="NK46" s="8">
        <v>1</v>
      </c>
      <c r="NL46" s="8">
        <v>1</v>
      </c>
      <c r="NM46" s="8">
        <v>1</v>
      </c>
      <c r="NN46" s="8">
        <v>1</v>
      </c>
      <c r="NO46" s="8">
        <v>1</v>
      </c>
      <c r="NP46" s="40"/>
      <c r="NQ46" s="40"/>
      <c r="NR46" s="8">
        <v>1</v>
      </c>
      <c r="NS46" s="8">
        <v>1</v>
      </c>
      <c r="NT46" s="8">
        <v>1</v>
      </c>
      <c r="NU46" s="8">
        <v>1</v>
      </c>
      <c r="NV46" s="8">
        <v>1</v>
      </c>
      <c r="NW46" s="40"/>
      <c r="NX46" s="40"/>
      <c r="NY46" s="8">
        <v>1</v>
      </c>
      <c r="NZ46" s="8">
        <v>1</v>
      </c>
      <c r="OA46" s="8">
        <v>1</v>
      </c>
      <c r="OB46" s="8"/>
      <c r="OC46" s="8">
        <v>1</v>
      </c>
      <c r="OD46" s="41"/>
      <c r="OE46" s="41"/>
      <c r="OF46" s="8">
        <v>1</v>
      </c>
      <c r="OG46" s="8">
        <v>1</v>
      </c>
      <c r="OH46" s="8">
        <v>1</v>
      </c>
      <c r="OI46" s="47"/>
    </row>
    <row r="47" spans="1:451" s="31" customFormat="1" ht="21" x14ac:dyDescent="0.3">
      <c r="A47" s="61" t="s">
        <v>540</v>
      </c>
      <c r="B47" s="62" t="s">
        <v>437</v>
      </c>
      <c r="C47" s="45"/>
      <c r="D47" s="8">
        <v>1</v>
      </c>
      <c r="E47" s="8">
        <v>1</v>
      </c>
      <c r="F47" s="8">
        <v>1</v>
      </c>
      <c r="G47" s="8">
        <v>1</v>
      </c>
      <c r="H47" s="8">
        <v>1</v>
      </c>
      <c r="I47" s="46"/>
      <c r="J47" s="46"/>
      <c r="K47" s="8">
        <v>1</v>
      </c>
      <c r="L47" s="8">
        <v>1</v>
      </c>
      <c r="M47" s="8">
        <v>1</v>
      </c>
      <c r="N47" s="8">
        <v>1</v>
      </c>
      <c r="O47" s="8">
        <v>1</v>
      </c>
      <c r="P47" s="46"/>
      <c r="Q47" s="46"/>
      <c r="R47" s="8">
        <v>1</v>
      </c>
      <c r="S47" s="8">
        <v>1</v>
      </c>
      <c r="T47" s="8">
        <v>1</v>
      </c>
      <c r="U47" s="8">
        <v>1</v>
      </c>
      <c r="V47" s="8">
        <v>1</v>
      </c>
      <c r="W47" s="46"/>
      <c r="X47" s="46"/>
      <c r="Y47" s="8">
        <v>0</v>
      </c>
      <c r="Z47" s="8">
        <v>0</v>
      </c>
      <c r="AA47" s="8"/>
      <c r="AB47" s="8">
        <v>0</v>
      </c>
      <c r="AC47" s="8">
        <v>0</v>
      </c>
      <c r="AD47" s="46"/>
      <c r="AE47" s="46"/>
      <c r="AF47" s="8">
        <v>0</v>
      </c>
      <c r="AG47" s="8">
        <v>0</v>
      </c>
      <c r="AH47" s="38"/>
      <c r="AI47" s="8">
        <v>0</v>
      </c>
      <c r="AJ47" s="8">
        <v>0</v>
      </c>
      <c r="AK47" s="8"/>
      <c r="AL47" s="8"/>
      <c r="AM47" s="109">
        <v>1</v>
      </c>
      <c r="AN47" s="109">
        <v>1</v>
      </c>
      <c r="AO47" s="8">
        <v>1</v>
      </c>
      <c r="AP47" s="8">
        <v>1</v>
      </c>
      <c r="AQ47" s="8">
        <v>1</v>
      </c>
      <c r="AR47" s="39"/>
      <c r="AS47" s="39"/>
      <c r="AT47" s="8">
        <v>1</v>
      </c>
      <c r="AU47" s="8">
        <v>1</v>
      </c>
      <c r="AV47" s="8">
        <v>1</v>
      </c>
      <c r="AW47" s="8">
        <v>1</v>
      </c>
      <c r="AX47" s="8">
        <v>1</v>
      </c>
      <c r="AY47" s="39"/>
      <c r="AZ47" s="39"/>
      <c r="BA47" s="39">
        <v>1</v>
      </c>
      <c r="BB47" s="39">
        <v>1</v>
      </c>
      <c r="BC47" s="39">
        <v>1</v>
      </c>
      <c r="BD47" s="39">
        <v>1</v>
      </c>
      <c r="BE47" s="39">
        <v>1</v>
      </c>
      <c r="BF47" s="39"/>
      <c r="BG47" s="39"/>
      <c r="BH47" s="39">
        <v>1</v>
      </c>
      <c r="BI47" s="39">
        <v>1</v>
      </c>
      <c r="BJ47" s="39">
        <v>1</v>
      </c>
      <c r="BK47" s="39">
        <v>1</v>
      </c>
      <c r="BL47" s="39">
        <v>1</v>
      </c>
      <c r="BM47" s="40"/>
      <c r="BN47" s="40"/>
      <c r="BO47" s="8">
        <v>1</v>
      </c>
      <c r="BP47" s="8">
        <v>1</v>
      </c>
      <c r="BQ47" s="8">
        <v>1</v>
      </c>
      <c r="BR47" s="8">
        <v>1</v>
      </c>
      <c r="BS47" s="8">
        <v>1</v>
      </c>
      <c r="BT47" s="40"/>
      <c r="BU47" s="40"/>
      <c r="BV47" s="8">
        <v>1</v>
      </c>
      <c r="BW47" s="8">
        <v>1</v>
      </c>
      <c r="BX47" s="8">
        <v>1</v>
      </c>
      <c r="BY47" s="8">
        <v>1</v>
      </c>
      <c r="BZ47" s="8">
        <v>1</v>
      </c>
      <c r="CA47" s="40"/>
      <c r="CB47" s="40"/>
      <c r="CC47" s="8">
        <v>1</v>
      </c>
      <c r="CD47" s="8">
        <v>1</v>
      </c>
      <c r="CE47" s="8">
        <v>1</v>
      </c>
      <c r="CF47" s="8">
        <v>1</v>
      </c>
      <c r="CG47" s="8">
        <v>1</v>
      </c>
      <c r="CH47" s="40"/>
      <c r="CI47" s="40"/>
      <c r="CJ47" s="8">
        <v>1</v>
      </c>
      <c r="CK47" s="8">
        <v>1</v>
      </c>
      <c r="CL47" s="8">
        <v>1</v>
      </c>
      <c r="CM47" s="8">
        <v>1</v>
      </c>
      <c r="CN47" s="8">
        <v>1</v>
      </c>
      <c r="CO47" s="40"/>
      <c r="CP47" s="40"/>
      <c r="CQ47" s="8">
        <v>1</v>
      </c>
      <c r="CR47" s="8">
        <v>1</v>
      </c>
      <c r="CS47" s="8">
        <v>1</v>
      </c>
      <c r="CT47" s="8">
        <v>1</v>
      </c>
      <c r="CU47" s="8">
        <v>1</v>
      </c>
      <c r="CV47" s="40"/>
      <c r="CW47" s="40"/>
      <c r="CX47" s="8">
        <v>1</v>
      </c>
      <c r="CY47" s="8">
        <v>1</v>
      </c>
      <c r="CZ47" s="8">
        <v>1</v>
      </c>
      <c r="DA47" s="8">
        <v>1</v>
      </c>
      <c r="DB47" s="8">
        <v>1</v>
      </c>
      <c r="DC47" s="40"/>
      <c r="DD47" s="40"/>
      <c r="DE47" s="8">
        <v>1</v>
      </c>
      <c r="DF47" s="8">
        <v>1</v>
      </c>
      <c r="DG47" s="8">
        <v>1</v>
      </c>
      <c r="DH47" s="8">
        <v>1</v>
      </c>
      <c r="DI47" s="8">
        <v>1</v>
      </c>
      <c r="DJ47" s="40"/>
      <c r="DK47" s="40"/>
      <c r="DL47" s="8">
        <v>1</v>
      </c>
      <c r="DM47" s="8">
        <v>1</v>
      </c>
      <c r="DN47" s="8">
        <v>1</v>
      </c>
      <c r="DO47" s="8">
        <v>1</v>
      </c>
      <c r="DP47" s="8">
        <v>1</v>
      </c>
      <c r="DQ47" s="41"/>
      <c r="DR47" s="41"/>
      <c r="DS47" s="8">
        <v>1</v>
      </c>
      <c r="DT47" s="8">
        <v>1</v>
      </c>
      <c r="DU47" s="8">
        <v>1</v>
      </c>
      <c r="DV47" s="8">
        <v>1</v>
      </c>
      <c r="DW47" s="8">
        <v>1</v>
      </c>
      <c r="DX47" s="41"/>
      <c r="DY47" s="41"/>
      <c r="DZ47" s="8">
        <v>1</v>
      </c>
      <c r="EA47" s="8">
        <v>1</v>
      </c>
      <c r="EB47" s="8">
        <v>1</v>
      </c>
      <c r="EC47" s="8">
        <v>1</v>
      </c>
      <c r="ED47" s="8">
        <v>1</v>
      </c>
      <c r="EE47" s="41"/>
      <c r="EF47" s="41"/>
      <c r="EG47" s="8">
        <v>1</v>
      </c>
      <c r="EH47" s="8">
        <v>1</v>
      </c>
      <c r="EI47" s="8">
        <v>1</v>
      </c>
      <c r="EJ47" s="8">
        <v>1</v>
      </c>
      <c r="EK47" s="8">
        <v>1</v>
      </c>
      <c r="EL47" s="41"/>
      <c r="EM47" s="41"/>
      <c r="EN47" s="38"/>
      <c r="EO47" s="8">
        <v>1</v>
      </c>
      <c r="EP47" s="8">
        <v>1</v>
      </c>
      <c r="EQ47" s="8">
        <v>1</v>
      </c>
      <c r="ER47" s="8">
        <v>1</v>
      </c>
      <c r="ES47" s="41"/>
      <c r="ET47" s="41"/>
      <c r="EU47" s="8">
        <v>1</v>
      </c>
      <c r="EV47" s="8">
        <v>1</v>
      </c>
      <c r="EW47" s="8">
        <v>1</v>
      </c>
      <c r="EX47" s="38"/>
      <c r="EY47" s="8">
        <v>1</v>
      </c>
      <c r="EZ47" s="41"/>
      <c r="FA47" s="41"/>
      <c r="FB47" s="8">
        <v>1</v>
      </c>
      <c r="FC47" s="8">
        <v>1</v>
      </c>
      <c r="FD47" s="8">
        <v>1</v>
      </c>
      <c r="FE47" s="38"/>
      <c r="FF47" s="8">
        <v>1</v>
      </c>
      <c r="FG47" s="41"/>
      <c r="FH47" s="41"/>
      <c r="FI47" s="8">
        <v>1</v>
      </c>
      <c r="FJ47" s="8">
        <v>1</v>
      </c>
      <c r="FK47" s="8">
        <v>1</v>
      </c>
      <c r="FL47" s="8">
        <v>1</v>
      </c>
      <c r="FM47" s="8">
        <v>1</v>
      </c>
      <c r="FN47" s="41"/>
      <c r="FO47" s="41"/>
      <c r="FP47" s="8">
        <v>1</v>
      </c>
      <c r="FQ47" s="8">
        <v>1</v>
      </c>
      <c r="FR47" s="8">
        <v>1</v>
      </c>
      <c r="FS47" s="8">
        <v>1</v>
      </c>
      <c r="FT47" s="8">
        <v>1</v>
      </c>
      <c r="FU47" s="41"/>
      <c r="FV47" s="41"/>
      <c r="FW47" s="8">
        <v>1</v>
      </c>
      <c r="FX47" s="8">
        <v>1</v>
      </c>
      <c r="FY47" s="8">
        <v>1</v>
      </c>
      <c r="FZ47" s="38"/>
      <c r="GA47" s="8">
        <v>1</v>
      </c>
      <c r="GB47" s="41"/>
      <c r="GC47" s="41"/>
      <c r="GD47" s="8">
        <v>1</v>
      </c>
      <c r="GE47" s="8">
        <v>1</v>
      </c>
      <c r="GF47" s="8">
        <v>1</v>
      </c>
      <c r="GG47" s="8">
        <v>1</v>
      </c>
      <c r="GH47" s="8">
        <v>1</v>
      </c>
      <c r="GI47" s="41"/>
      <c r="GJ47" s="41"/>
      <c r="GK47" s="38"/>
      <c r="GL47" s="8">
        <v>1</v>
      </c>
      <c r="GM47" s="8">
        <v>1</v>
      </c>
      <c r="GN47" s="8">
        <v>1</v>
      </c>
      <c r="GO47" s="8">
        <v>1</v>
      </c>
      <c r="GP47" s="41"/>
      <c r="GQ47" s="41"/>
      <c r="GR47" s="8">
        <v>1</v>
      </c>
      <c r="GS47" s="8">
        <v>1</v>
      </c>
      <c r="GT47" s="8">
        <v>1</v>
      </c>
      <c r="GU47" s="8">
        <v>1</v>
      </c>
      <c r="GV47" s="8">
        <v>1</v>
      </c>
      <c r="GW47" s="41"/>
      <c r="GX47" s="41"/>
      <c r="GY47" s="8">
        <v>1</v>
      </c>
      <c r="GZ47" s="8">
        <v>1</v>
      </c>
      <c r="HA47" s="8">
        <v>1</v>
      </c>
      <c r="HB47" s="8">
        <v>1</v>
      </c>
      <c r="HC47" s="8">
        <v>1</v>
      </c>
      <c r="HD47" s="41"/>
      <c r="HE47" s="41"/>
      <c r="HF47" s="8">
        <v>1</v>
      </c>
      <c r="HG47" s="8">
        <v>1</v>
      </c>
      <c r="HH47" s="8">
        <v>1</v>
      </c>
      <c r="HI47" s="8">
        <v>1</v>
      </c>
      <c r="HJ47" s="8">
        <v>1</v>
      </c>
      <c r="HK47" s="41"/>
      <c r="HL47" s="41"/>
      <c r="HM47" s="8">
        <v>1</v>
      </c>
      <c r="HN47" s="8">
        <v>1</v>
      </c>
      <c r="HO47" s="8">
        <v>1</v>
      </c>
      <c r="HP47" s="8">
        <v>1</v>
      </c>
      <c r="HQ47" s="8">
        <v>1</v>
      </c>
      <c r="HR47" s="41"/>
      <c r="HS47" s="41"/>
      <c r="HT47" s="38"/>
      <c r="HU47" s="8">
        <v>1</v>
      </c>
      <c r="HV47" s="8">
        <v>1</v>
      </c>
      <c r="HW47" s="8">
        <v>1</v>
      </c>
      <c r="HX47" s="8">
        <v>1</v>
      </c>
      <c r="HY47" s="41"/>
      <c r="HZ47" s="41"/>
      <c r="IA47" s="8">
        <v>1</v>
      </c>
      <c r="IB47" s="8">
        <v>1</v>
      </c>
      <c r="IC47" s="8">
        <v>1</v>
      </c>
      <c r="ID47" s="8">
        <v>1</v>
      </c>
      <c r="IE47" s="8">
        <v>1</v>
      </c>
      <c r="IF47" s="41"/>
      <c r="IG47" s="41"/>
      <c r="IH47" s="8">
        <v>1</v>
      </c>
      <c r="II47" s="8">
        <v>1</v>
      </c>
      <c r="IJ47" s="8">
        <v>1</v>
      </c>
      <c r="IK47" s="8">
        <v>1</v>
      </c>
      <c r="IL47" s="8">
        <v>1</v>
      </c>
      <c r="IM47" s="41"/>
      <c r="IN47" s="41"/>
      <c r="IO47" s="8">
        <v>1</v>
      </c>
      <c r="IP47" s="8">
        <v>1</v>
      </c>
      <c r="IQ47" s="8">
        <v>1</v>
      </c>
      <c r="IR47" s="8">
        <v>1</v>
      </c>
      <c r="IS47" s="8">
        <v>1</v>
      </c>
      <c r="IT47" s="41"/>
      <c r="IU47" s="41"/>
      <c r="IV47" s="8">
        <v>1</v>
      </c>
      <c r="IW47" s="8">
        <v>1</v>
      </c>
      <c r="IX47" s="8">
        <v>1</v>
      </c>
      <c r="IY47" s="8">
        <v>1</v>
      </c>
      <c r="IZ47" s="38"/>
      <c r="JA47" s="41"/>
      <c r="JB47" s="41"/>
      <c r="JC47" s="8">
        <v>1</v>
      </c>
      <c r="JD47" s="8">
        <v>1</v>
      </c>
      <c r="JE47" s="8">
        <v>1</v>
      </c>
      <c r="JF47" s="8">
        <v>1</v>
      </c>
      <c r="JG47" s="8">
        <v>1</v>
      </c>
      <c r="JH47" s="41"/>
      <c r="JI47" s="41"/>
      <c r="JJ47" s="8">
        <v>1</v>
      </c>
      <c r="JK47" s="8">
        <v>1</v>
      </c>
      <c r="JL47" s="8">
        <v>1</v>
      </c>
      <c r="JM47" s="8">
        <v>1</v>
      </c>
      <c r="JN47" s="8">
        <v>1</v>
      </c>
      <c r="JO47" s="41"/>
      <c r="JP47" s="41"/>
      <c r="JQ47" s="8">
        <v>1</v>
      </c>
      <c r="JR47" s="8">
        <v>1</v>
      </c>
      <c r="JS47" s="8">
        <v>1</v>
      </c>
      <c r="JT47" s="8">
        <v>1</v>
      </c>
      <c r="JU47" s="8">
        <v>1</v>
      </c>
      <c r="JV47" s="41"/>
      <c r="JW47" s="41"/>
      <c r="JX47" s="8">
        <v>1</v>
      </c>
      <c r="JY47" s="8">
        <v>1</v>
      </c>
      <c r="JZ47" s="8">
        <v>1</v>
      </c>
      <c r="KA47" s="8">
        <v>1</v>
      </c>
      <c r="KB47" s="8">
        <v>1</v>
      </c>
      <c r="KC47" s="41"/>
      <c r="KD47" s="41"/>
      <c r="KE47" s="8">
        <v>1</v>
      </c>
      <c r="KF47" s="8">
        <v>1</v>
      </c>
      <c r="KG47" s="8">
        <v>1</v>
      </c>
      <c r="KH47" s="8">
        <v>1</v>
      </c>
      <c r="KI47" s="8">
        <v>1</v>
      </c>
      <c r="KJ47" s="41"/>
      <c r="KK47" s="41"/>
      <c r="KL47" s="8">
        <v>1</v>
      </c>
      <c r="KM47" s="8">
        <v>1</v>
      </c>
      <c r="KN47" s="8">
        <v>1</v>
      </c>
      <c r="KO47" s="8">
        <v>1</v>
      </c>
      <c r="KP47" s="8">
        <v>1</v>
      </c>
      <c r="KQ47" s="41"/>
      <c r="KR47" s="41"/>
      <c r="KS47" s="8">
        <v>1</v>
      </c>
      <c r="KT47" s="8">
        <v>1</v>
      </c>
      <c r="KU47" s="8">
        <v>1</v>
      </c>
      <c r="KV47" s="8">
        <v>1</v>
      </c>
      <c r="KW47" s="8">
        <v>1</v>
      </c>
      <c r="KX47" s="41"/>
      <c r="KY47" s="41"/>
      <c r="KZ47" s="8">
        <v>1</v>
      </c>
      <c r="LA47" s="8">
        <v>1</v>
      </c>
      <c r="LB47" s="8">
        <v>1</v>
      </c>
      <c r="LC47" s="8">
        <v>1</v>
      </c>
      <c r="LD47" s="8">
        <v>1</v>
      </c>
      <c r="LE47" s="41"/>
      <c r="LF47" s="41"/>
      <c r="LG47" s="8">
        <v>1</v>
      </c>
      <c r="LH47" s="8">
        <v>1</v>
      </c>
      <c r="LI47" s="8">
        <v>1</v>
      </c>
      <c r="LJ47" s="8">
        <v>1</v>
      </c>
      <c r="LK47" s="8">
        <v>1</v>
      </c>
      <c r="LL47" s="41"/>
      <c r="LM47" s="41"/>
      <c r="LN47" s="8">
        <v>1</v>
      </c>
      <c r="LO47" s="8">
        <v>1</v>
      </c>
      <c r="LP47" s="8">
        <v>1</v>
      </c>
      <c r="LQ47" s="8">
        <v>1</v>
      </c>
      <c r="LR47" s="8">
        <v>1</v>
      </c>
      <c r="LS47" s="41"/>
      <c r="LT47" s="41"/>
      <c r="LU47" s="8">
        <v>1</v>
      </c>
      <c r="LV47" s="8">
        <v>1</v>
      </c>
      <c r="LW47" s="8">
        <v>1</v>
      </c>
      <c r="LX47" s="8">
        <v>1</v>
      </c>
      <c r="LY47" s="8">
        <v>1</v>
      </c>
      <c r="LZ47" s="41"/>
      <c r="MA47" s="41"/>
      <c r="MB47" s="8">
        <v>1</v>
      </c>
      <c r="MC47" s="8">
        <v>1</v>
      </c>
      <c r="MD47" s="8">
        <v>1</v>
      </c>
      <c r="ME47" s="8">
        <v>1</v>
      </c>
      <c r="MF47" s="8">
        <v>1</v>
      </c>
      <c r="MG47" s="41"/>
      <c r="MH47" s="41"/>
      <c r="MI47" s="8">
        <v>1</v>
      </c>
      <c r="MJ47" s="8">
        <v>1</v>
      </c>
      <c r="MK47" s="8">
        <v>1</v>
      </c>
      <c r="ML47" s="8">
        <v>1</v>
      </c>
      <c r="MM47" s="8">
        <v>1</v>
      </c>
      <c r="MN47" s="41"/>
      <c r="MO47" s="41"/>
      <c r="MP47" s="8">
        <v>1</v>
      </c>
      <c r="MQ47" s="8">
        <v>1</v>
      </c>
      <c r="MR47" s="8">
        <v>1</v>
      </c>
      <c r="MS47" s="8">
        <v>1</v>
      </c>
      <c r="MT47" s="8">
        <v>1</v>
      </c>
      <c r="MU47" s="41"/>
      <c r="MV47" s="41"/>
      <c r="MW47" s="8">
        <v>1</v>
      </c>
      <c r="MX47" s="8">
        <v>1</v>
      </c>
      <c r="MY47" s="8">
        <v>1</v>
      </c>
      <c r="MZ47" s="8">
        <v>1</v>
      </c>
      <c r="NA47" s="8">
        <v>1</v>
      </c>
      <c r="NB47" s="41"/>
      <c r="NC47" s="41"/>
      <c r="ND47" s="8">
        <v>1</v>
      </c>
      <c r="NE47" s="8">
        <v>1</v>
      </c>
      <c r="NF47" s="8">
        <v>1</v>
      </c>
      <c r="NG47" s="8">
        <v>1</v>
      </c>
      <c r="NH47" s="8">
        <v>1</v>
      </c>
      <c r="NI47" s="41"/>
      <c r="NJ47" s="41"/>
      <c r="NK47" s="8">
        <v>1</v>
      </c>
      <c r="NL47" s="8">
        <v>1</v>
      </c>
      <c r="NM47" s="8">
        <v>1</v>
      </c>
      <c r="NN47" s="8">
        <v>1</v>
      </c>
      <c r="NO47" s="8">
        <v>1</v>
      </c>
      <c r="NP47" s="40"/>
      <c r="NQ47" s="40"/>
      <c r="NR47" s="8">
        <v>1</v>
      </c>
      <c r="NS47" s="8">
        <v>1</v>
      </c>
      <c r="NT47" s="8">
        <v>1</v>
      </c>
      <c r="NU47" s="8">
        <v>1</v>
      </c>
      <c r="NV47" s="8">
        <v>1</v>
      </c>
      <c r="NW47" s="40"/>
      <c r="NX47" s="40"/>
      <c r="NY47" s="8">
        <v>1</v>
      </c>
      <c r="NZ47" s="8">
        <v>1</v>
      </c>
      <c r="OA47" s="8">
        <v>1</v>
      </c>
      <c r="OB47" s="8"/>
      <c r="OC47" s="8">
        <v>1</v>
      </c>
      <c r="OD47" s="41"/>
      <c r="OE47" s="41"/>
      <c r="OF47" s="8">
        <v>1</v>
      </c>
      <c r="OG47" s="8">
        <v>1</v>
      </c>
      <c r="OH47" s="8">
        <v>1</v>
      </c>
      <c r="OI47" s="47"/>
    </row>
    <row r="48" spans="1:451" s="31" customFormat="1" ht="21" x14ac:dyDescent="0.3">
      <c r="A48" s="61" t="s">
        <v>541</v>
      </c>
      <c r="B48" s="62" t="s">
        <v>437</v>
      </c>
      <c r="C48" s="45"/>
      <c r="D48" s="8">
        <v>1</v>
      </c>
      <c r="E48" s="8">
        <v>1</v>
      </c>
      <c r="F48" s="8">
        <v>1</v>
      </c>
      <c r="G48" s="8">
        <v>1</v>
      </c>
      <c r="H48" s="8">
        <v>1</v>
      </c>
      <c r="I48" s="46"/>
      <c r="J48" s="46"/>
      <c r="K48" s="8">
        <v>1</v>
      </c>
      <c r="L48" s="8">
        <v>1</v>
      </c>
      <c r="M48" s="8">
        <v>1</v>
      </c>
      <c r="N48" s="8">
        <v>1</v>
      </c>
      <c r="O48" s="8">
        <v>1</v>
      </c>
      <c r="P48" s="46"/>
      <c r="Q48" s="46"/>
      <c r="R48" s="8">
        <v>1</v>
      </c>
      <c r="S48" s="8">
        <v>1</v>
      </c>
      <c r="T48" s="8">
        <v>1</v>
      </c>
      <c r="U48" s="8">
        <v>1</v>
      </c>
      <c r="V48" s="8">
        <v>1</v>
      </c>
      <c r="W48" s="46"/>
      <c r="X48" s="46"/>
      <c r="Y48" s="8">
        <v>0</v>
      </c>
      <c r="Z48" s="8">
        <v>0</v>
      </c>
      <c r="AA48" s="8"/>
      <c r="AB48" s="8">
        <v>0</v>
      </c>
      <c r="AC48" s="8">
        <v>0</v>
      </c>
      <c r="AD48" s="46"/>
      <c r="AE48" s="46"/>
      <c r="AF48" s="8">
        <v>0</v>
      </c>
      <c r="AG48" s="8">
        <v>0</v>
      </c>
      <c r="AH48" s="38"/>
      <c r="AI48" s="8">
        <v>0</v>
      </c>
      <c r="AJ48" s="8">
        <v>0</v>
      </c>
      <c r="AK48" s="8"/>
      <c r="AL48" s="8"/>
      <c r="AM48" s="109">
        <v>1</v>
      </c>
      <c r="AN48" s="109">
        <v>1</v>
      </c>
      <c r="AO48" s="8">
        <v>1</v>
      </c>
      <c r="AP48" s="8">
        <v>1</v>
      </c>
      <c r="AQ48" s="8">
        <v>1</v>
      </c>
      <c r="AR48" s="39"/>
      <c r="AS48" s="39"/>
      <c r="AT48" s="8">
        <v>1</v>
      </c>
      <c r="AU48" s="8">
        <v>1</v>
      </c>
      <c r="AV48" s="8">
        <v>1</v>
      </c>
      <c r="AW48" s="8">
        <v>1</v>
      </c>
      <c r="AX48" s="8">
        <v>1</v>
      </c>
      <c r="AY48" s="39"/>
      <c r="AZ48" s="39"/>
      <c r="BA48" s="39">
        <v>1</v>
      </c>
      <c r="BB48" s="39">
        <v>1</v>
      </c>
      <c r="BC48" s="39">
        <v>1</v>
      </c>
      <c r="BD48" s="39">
        <v>1</v>
      </c>
      <c r="BE48" s="39">
        <v>1</v>
      </c>
      <c r="BF48" s="39"/>
      <c r="BG48" s="39"/>
      <c r="BH48" s="39">
        <v>1</v>
      </c>
      <c r="BI48" s="39">
        <v>1</v>
      </c>
      <c r="BJ48" s="39">
        <v>1</v>
      </c>
      <c r="BK48" s="39">
        <v>1</v>
      </c>
      <c r="BL48" s="39">
        <v>1</v>
      </c>
      <c r="BM48" s="40"/>
      <c r="BN48" s="40"/>
      <c r="BO48" s="8">
        <v>1</v>
      </c>
      <c r="BP48" s="8">
        <v>1</v>
      </c>
      <c r="BQ48" s="8">
        <v>1</v>
      </c>
      <c r="BR48" s="8">
        <v>1</v>
      </c>
      <c r="BS48" s="8">
        <v>1</v>
      </c>
      <c r="BT48" s="40"/>
      <c r="BU48" s="40"/>
      <c r="BV48" s="8">
        <v>1</v>
      </c>
      <c r="BW48" s="8">
        <v>1</v>
      </c>
      <c r="BX48" s="8">
        <v>1</v>
      </c>
      <c r="BY48" s="8">
        <v>1</v>
      </c>
      <c r="BZ48" s="8">
        <v>1</v>
      </c>
      <c r="CA48" s="40"/>
      <c r="CB48" s="40"/>
      <c r="CC48" s="8">
        <v>1</v>
      </c>
      <c r="CD48" s="8">
        <v>1</v>
      </c>
      <c r="CE48" s="8">
        <v>1</v>
      </c>
      <c r="CF48" s="8">
        <v>1</v>
      </c>
      <c r="CG48" s="8">
        <v>1</v>
      </c>
      <c r="CH48" s="40"/>
      <c r="CI48" s="40"/>
      <c r="CJ48" s="8">
        <v>1</v>
      </c>
      <c r="CK48" s="8">
        <v>1</v>
      </c>
      <c r="CL48" s="8">
        <v>1</v>
      </c>
      <c r="CM48" s="8">
        <v>1</v>
      </c>
      <c r="CN48" s="8">
        <v>1</v>
      </c>
      <c r="CO48" s="40"/>
      <c r="CP48" s="40"/>
      <c r="CQ48" s="8">
        <v>1</v>
      </c>
      <c r="CR48" s="8">
        <v>1</v>
      </c>
      <c r="CS48" s="8">
        <v>1</v>
      </c>
      <c r="CT48" s="8">
        <v>1</v>
      </c>
      <c r="CU48" s="8">
        <v>1</v>
      </c>
      <c r="CV48" s="40"/>
      <c r="CW48" s="40"/>
      <c r="CX48" s="8">
        <v>1</v>
      </c>
      <c r="CY48" s="8">
        <v>1</v>
      </c>
      <c r="CZ48" s="8">
        <v>1</v>
      </c>
      <c r="DA48" s="8">
        <v>1</v>
      </c>
      <c r="DB48" s="8">
        <v>1</v>
      </c>
      <c r="DC48" s="40"/>
      <c r="DD48" s="40"/>
      <c r="DE48" s="8">
        <v>1</v>
      </c>
      <c r="DF48" s="8">
        <v>1</v>
      </c>
      <c r="DG48" s="8">
        <v>1</v>
      </c>
      <c r="DH48" s="8">
        <v>1</v>
      </c>
      <c r="DI48" s="8">
        <v>1</v>
      </c>
      <c r="DJ48" s="40"/>
      <c r="DK48" s="40"/>
      <c r="DL48" s="8">
        <v>1</v>
      </c>
      <c r="DM48" s="8">
        <v>1</v>
      </c>
      <c r="DN48" s="8">
        <v>1</v>
      </c>
      <c r="DO48" s="8">
        <v>1</v>
      </c>
      <c r="DP48" s="8">
        <v>1</v>
      </c>
      <c r="DQ48" s="41"/>
      <c r="DR48" s="41"/>
      <c r="DS48" s="8">
        <v>1</v>
      </c>
      <c r="DT48" s="8">
        <v>1</v>
      </c>
      <c r="DU48" s="8">
        <v>1</v>
      </c>
      <c r="DV48" s="8">
        <v>1</v>
      </c>
      <c r="DW48" s="8">
        <v>1</v>
      </c>
      <c r="DX48" s="41"/>
      <c r="DY48" s="41"/>
      <c r="DZ48" s="8">
        <v>1</v>
      </c>
      <c r="EA48" s="8">
        <v>1</v>
      </c>
      <c r="EB48" s="8">
        <v>1</v>
      </c>
      <c r="EC48" s="8">
        <v>1</v>
      </c>
      <c r="ED48" s="8">
        <v>1</v>
      </c>
      <c r="EE48" s="41"/>
      <c r="EF48" s="41"/>
      <c r="EG48" s="8">
        <v>1</v>
      </c>
      <c r="EH48" s="8">
        <v>1</v>
      </c>
      <c r="EI48" s="8">
        <v>1</v>
      </c>
      <c r="EJ48" s="8">
        <v>1</v>
      </c>
      <c r="EK48" s="8">
        <v>1</v>
      </c>
      <c r="EL48" s="41"/>
      <c r="EM48" s="41"/>
      <c r="EN48" s="38"/>
      <c r="EO48" s="8">
        <v>1</v>
      </c>
      <c r="EP48" s="8">
        <v>1</v>
      </c>
      <c r="EQ48" s="8">
        <v>1</v>
      </c>
      <c r="ER48" s="8">
        <v>1</v>
      </c>
      <c r="ES48" s="41"/>
      <c r="ET48" s="41"/>
      <c r="EU48" s="8">
        <v>1</v>
      </c>
      <c r="EV48" s="8">
        <v>1</v>
      </c>
      <c r="EW48" s="8">
        <v>1</v>
      </c>
      <c r="EX48" s="38"/>
      <c r="EY48" s="8">
        <v>1</v>
      </c>
      <c r="EZ48" s="41"/>
      <c r="FA48" s="41"/>
      <c r="FB48" s="8">
        <v>1</v>
      </c>
      <c r="FC48" s="8">
        <v>1</v>
      </c>
      <c r="FD48" s="8">
        <v>1</v>
      </c>
      <c r="FE48" s="38"/>
      <c r="FF48" s="8">
        <v>1</v>
      </c>
      <c r="FG48" s="41"/>
      <c r="FH48" s="41"/>
      <c r="FI48" s="8">
        <v>1</v>
      </c>
      <c r="FJ48" s="8">
        <v>1</v>
      </c>
      <c r="FK48" s="8">
        <v>1</v>
      </c>
      <c r="FL48" s="8">
        <v>1</v>
      </c>
      <c r="FM48" s="8">
        <v>1</v>
      </c>
      <c r="FN48" s="41"/>
      <c r="FO48" s="41"/>
      <c r="FP48" s="8">
        <v>1</v>
      </c>
      <c r="FQ48" s="8">
        <v>1</v>
      </c>
      <c r="FR48" s="8">
        <v>1</v>
      </c>
      <c r="FS48" s="8">
        <v>1</v>
      </c>
      <c r="FT48" s="8">
        <v>1</v>
      </c>
      <c r="FU48" s="41"/>
      <c r="FV48" s="41"/>
      <c r="FW48" s="8">
        <v>1</v>
      </c>
      <c r="FX48" s="8">
        <v>1</v>
      </c>
      <c r="FY48" s="8">
        <v>1</v>
      </c>
      <c r="FZ48" s="38"/>
      <c r="GA48" s="8">
        <v>1</v>
      </c>
      <c r="GB48" s="41"/>
      <c r="GC48" s="41"/>
      <c r="GD48" s="8">
        <v>1</v>
      </c>
      <c r="GE48" s="8">
        <v>1</v>
      </c>
      <c r="GF48" s="8">
        <v>1</v>
      </c>
      <c r="GG48" s="8">
        <v>1</v>
      </c>
      <c r="GH48" s="8">
        <v>1</v>
      </c>
      <c r="GI48" s="41"/>
      <c r="GJ48" s="41"/>
      <c r="GK48" s="38"/>
      <c r="GL48" s="8">
        <v>1</v>
      </c>
      <c r="GM48" s="8">
        <v>1</v>
      </c>
      <c r="GN48" s="8">
        <v>1</v>
      </c>
      <c r="GO48" s="8">
        <v>1</v>
      </c>
      <c r="GP48" s="41"/>
      <c r="GQ48" s="41"/>
      <c r="GR48" s="8">
        <v>1</v>
      </c>
      <c r="GS48" s="8">
        <v>1</v>
      </c>
      <c r="GT48" s="8">
        <v>1</v>
      </c>
      <c r="GU48" s="8">
        <v>1</v>
      </c>
      <c r="GV48" s="8">
        <v>1</v>
      </c>
      <c r="GW48" s="41"/>
      <c r="GX48" s="41"/>
      <c r="GY48" s="8">
        <v>1</v>
      </c>
      <c r="GZ48" s="8">
        <v>1</v>
      </c>
      <c r="HA48" s="8">
        <v>1</v>
      </c>
      <c r="HB48" s="8">
        <v>1</v>
      </c>
      <c r="HC48" s="8">
        <v>1</v>
      </c>
      <c r="HD48" s="41"/>
      <c r="HE48" s="41"/>
      <c r="HF48" s="8">
        <v>1</v>
      </c>
      <c r="HG48" s="8">
        <v>1</v>
      </c>
      <c r="HH48" s="8">
        <v>1</v>
      </c>
      <c r="HI48" s="8">
        <v>1</v>
      </c>
      <c r="HJ48" s="8">
        <v>1</v>
      </c>
      <c r="HK48" s="41"/>
      <c r="HL48" s="41"/>
      <c r="HM48" s="8">
        <v>1</v>
      </c>
      <c r="HN48" s="8">
        <v>1</v>
      </c>
      <c r="HO48" s="8">
        <v>1</v>
      </c>
      <c r="HP48" s="8">
        <v>1</v>
      </c>
      <c r="HQ48" s="8">
        <v>1</v>
      </c>
      <c r="HR48" s="41"/>
      <c r="HS48" s="41"/>
      <c r="HT48" s="38"/>
      <c r="HU48" s="8">
        <v>1</v>
      </c>
      <c r="HV48" s="8">
        <v>1</v>
      </c>
      <c r="HW48" s="8">
        <v>1</v>
      </c>
      <c r="HX48" s="8">
        <v>1</v>
      </c>
      <c r="HY48" s="41"/>
      <c r="HZ48" s="41"/>
      <c r="IA48" s="8">
        <v>1</v>
      </c>
      <c r="IB48" s="8">
        <v>1</v>
      </c>
      <c r="IC48" s="8">
        <v>1</v>
      </c>
      <c r="ID48" s="8">
        <v>1</v>
      </c>
      <c r="IE48" s="8">
        <v>1</v>
      </c>
      <c r="IF48" s="41"/>
      <c r="IG48" s="41"/>
      <c r="IH48" s="8">
        <v>1</v>
      </c>
      <c r="II48" s="8">
        <v>1</v>
      </c>
      <c r="IJ48" s="8">
        <v>1</v>
      </c>
      <c r="IK48" s="8">
        <v>1</v>
      </c>
      <c r="IL48" s="8">
        <v>1</v>
      </c>
      <c r="IM48" s="41"/>
      <c r="IN48" s="41"/>
      <c r="IO48" s="8">
        <v>1</v>
      </c>
      <c r="IP48" s="8">
        <v>1</v>
      </c>
      <c r="IQ48" s="8">
        <v>1</v>
      </c>
      <c r="IR48" s="8">
        <v>1</v>
      </c>
      <c r="IS48" s="8">
        <v>1</v>
      </c>
      <c r="IT48" s="41"/>
      <c r="IU48" s="41"/>
      <c r="IV48" s="8">
        <v>1</v>
      </c>
      <c r="IW48" s="8">
        <v>1</v>
      </c>
      <c r="IX48" s="8">
        <v>1</v>
      </c>
      <c r="IY48" s="8">
        <v>1</v>
      </c>
      <c r="IZ48" s="38"/>
      <c r="JA48" s="41"/>
      <c r="JB48" s="41"/>
      <c r="JC48" s="8">
        <v>1</v>
      </c>
      <c r="JD48" s="8">
        <v>1</v>
      </c>
      <c r="JE48" s="8">
        <v>1</v>
      </c>
      <c r="JF48" s="8">
        <v>1</v>
      </c>
      <c r="JG48" s="8">
        <v>1</v>
      </c>
      <c r="JH48" s="41"/>
      <c r="JI48" s="41"/>
      <c r="JJ48" s="8">
        <v>1</v>
      </c>
      <c r="JK48" s="8">
        <v>1</v>
      </c>
      <c r="JL48" s="8">
        <v>1</v>
      </c>
      <c r="JM48" s="8">
        <v>1</v>
      </c>
      <c r="JN48" s="8">
        <v>1</v>
      </c>
      <c r="JO48" s="41"/>
      <c r="JP48" s="41"/>
      <c r="JQ48" s="8">
        <v>1</v>
      </c>
      <c r="JR48" s="8">
        <v>1</v>
      </c>
      <c r="JS48" s="8">
        <v>1</v>
      </c>
      <c r="JT48" s="8">
        <v>1</v>
      </c>
      <c r="JU48" s="8">
        <v>1</v>
      </c>
      <c r="JV48" s="41"/>
      <c r="JW48" s="41"/>
      <c r="JX48" s="8">
        <v>1</v>
      </c>
      <c r="JY48" s="8">
        <v>1</v>
      </c>
      <c r="JZ48" s="8">
        <v>1</v>
      </c>
      <c r="KA48" s="8">
        <v>1</v>
      </c>
      <c r="KB48" s="8">
        <v>1</v>
      </c>
      <c r="KC48" s="41"/>
      <c r="KD48" s="41"/>
      <c r="KE48" s="8">
        <v>1</v>
      </c>
      <c r="KF48" s="8">
        <v>1</v>
      </c>
      <c r="KG48" s="8">
        <v>1</v>
      </c>
      <c r="KH48" s="8">
        <v>1</v>
      </c>
      <c r="KI48" s="8">
        <v>1</v>
      </c>
      <c r="KJ48" s="41"/>
      <c r="KK48" s="41"/>
      <c r="KL48" s="8">
        <v>1</v>
      </c>
      <c r="KM48" s="8">
        <v>1</v>
      </c>
      <c r="KN48" s="8">
        <v>1</v>
      </c>
      <c r="KO48" s="8">
        <v>1</v>
      </c>
      <c r="KP48" s="8">
        <v>1</v>
      </c>
      <c r="KQ48" s="41"/>
      <c r="KR48" s="41"/>
      <c r="KS48" s="8">
        <v>1</v>
      </c>
      <c r="KT48" s="8">
        <v>1</v>
      </c>
      <c r="KU48" s="8">
        <v>1</v>
      </c>
      <c r="KV48" s="8">
        <v>1</v>
      </c>
      <c r="KW48" s="8">
        <v>1</v>
      </c>
      <c r="KX48" s="41"/>
      <c r="KY48" s="41"/>
      <c r="KZ48" s="8">
        <v>1</v>
      </c>
      <c r="LA48" s="8">
        <v>1</v>
      </c>
      <c r="LB48" s="8">
        <v>1</v>
      </c>
      <c r="LC48" s="8">
        <v>1</v>
      </c>
      <c r="LD48" s="8">
        <v>1</v>
      </c>
      <c r="LE48" s="41"/>
      <c r="LF48" s="41"/>
      <c r="LG48" s="8">
        <v>1</v>
      </c>
      <c r="LH48" s="8">
        <v>1</v>
      </c>
      <c r="LI48" s="8">
        <v>1</v>
      </c>
      <c r="LJ48" s="8">
        <v>1</v>
      </c>
      <c r="LK48" s="8">
        <v>1</v>
      </c>
      <c r="LL48" s="41"/>
      <c r="LM48" s="41"/>
      <c r="LN48" s="8">
        <v>1</v>
      </c>
      <c r="LO48" s="8">
        <v>1</v>
      </c>
      <c r="LP48" s="8">
        <v>1</v>
      </c>
      <c r="LQ48" s="8">
        <v>1</v>
      </c>
      <c r="LR48" s="8">
        <v>1</v>
      </c>
      <c r="LS48" s="41"/>
      <c r="LT48" s="41"/>
      <c r="LU48" s="8">
        <v>1</v>
      </c>
      <c r="LV48" s="8">
        <v>1</v>
      </c>
      <c r="LW48" s="8">
        <v>1</v>
      </c>
      <c r="LX48" s="8">
        <v>1</v>
      </c>
      <c r="LY48" s="8">
        <v>1</v>
      </c>
      <c r="LZ48" s="41"/>
      <c r="MA48" s="41"/>
      <c r="MB48" s="8">
        <v>1</v>
      </c>
      <c r="MC48" s="8">
        <v>1</v>
      </c>
      <c r="MD48" s="8">
        <v>1</v>
      </c>
      <c r="ME48" s="8">
        <v>1</v>
      </c>
      <c r="MF48" s="8">
        <v>1</v>
      </c>
      <c r="MG48" s="41"/>
      <c r="MH48" s="41"/>
      <c r="MI48" s="8">
        <v>1</v>
      </c>
      <c r="MJ48" s="8">
        <v>1</v>
      </c>
      <c r="MK48" s="8">
        <v>1</v>
      </c>
      <c r="ML48" s="8">
        <v>1</v>
      </c>
      <c r="MM48" s="8">
        <v>1</v>
      </c>
      <c r="MN48" s="41"/>
      <c r="MO48" s="41"/>
      <c r="MP48" s="8">
        <v>1</v>
      </c>
      <c r="MQ48" s="8">
        <v>1</v>
      </c>
      <c r="MR48" s="8">
        <v>1</v>
      </c>
      <c r="MS48" s="8">
        <v>1</v>
      </c>
      <c r="MT48" s="8">
        <v>1</v>
      </c>
      <c r="MU48" s="41"/>
      <c r="MV48" s="41"/>
      <c r="MW48" s="8">
        <v>1</v>
      </c>
      <c r="MX48" s="8">
        <v>1</v>
      </c>
      <c r="MY48" s="8">
        <v>1</v>
      </c>
      <c r="MZ48" s="8">
        <v>1</v>
      </c>
      <c r="NA48" s="8">
        <v>1</v>
      </c>
      <c r="NB48" s="41"/>
      <c r="NC48" s="41"/>
      <c r="ND48" s="8">
        <v>1</v>
      </c>
      <c r="NE48" s="8">
        <v>1</v>
      </c>
      <c r="NF48" s="8">
        <v>1</v>
      </c>
      <c r="NG48" s="8">
        <v>1</v>
      </c>
      <c r="NH48" s="8">
        <v>1</v>
      </c>
      <c r="NI48" s="41"/>
      <c r="NJ48" s="41"/>
      <c r="NK48" s="8">
        <v>1</v>
      </c>
      <c r="NL48" s="8">
        <v>1</v>
      </c>
      <c r="NM48" s="8">
        <v>1</v>
      </c>
      <c r="NN48" s="8">
        <v>1</v>
      </c>
      <c r="NO48" s="8">
        <v>1</v>
      </c>
      <c r="NP48" s="40"/>
      <c r="NQ48" s="40"/>
      <c r="NR48" s="8">
        <v>1</v>
      </c>
      <c r="NS48" s="8">
        <v>1</v>
      </c>
      <c r="NT48" s="8">
        <v>1</v>
      </c>
      <c r="NU48" s="8">
        <v>1</v>
      </c>
      <c r="NV48" s="8">
        <v>1</v>
      </c>
      <c r="NW48" s="40"/>
      <c r="NX48" s="40"/>
      <c r="NY48" s="8">
        <v>1</v>
      </c>
      <c r="NZ48" s="8">
        <v>1</v>
      </c>
      <c r="OA48" s="8">
        <v>1</v>
      </c>
      <c r="OB48" s="8"/>
      <c r="OC48" s="8">
        <v>1</v>
      </c>
      <c r="OD48" s="41"/>
      <c r="OE48" s="41"/>
      <c r="OF48" s="8">
        <v>1</v>
      </c>
      <c r="OG48" s="8">
        <v>1</v>
      </c>
      <c r="OH48" s="8">
        <v>1</v>
      </c>
      <c r="OI48" s="47"/>
    </row>
    <row r="49" spans="1:399" s="31" customFormat="1" ht="21" x14ac:dyDescent="0.3">
      <c r="A49" s="61" t="s">
        <v>542</v>
      </c>
      <c r="B49" s="62" t="s">
        <v>438</v>
      </c>
      <c r="C49" s="45"/>
      <c r="D49" s="8">
        <v>1</v>
      </c>
      <c r="E49" s="8">
        <v>1</v>
      </c>
      <c r="F49" s="8">
        <v>1</v>
      </c>
      <c r="G49" s="8">
        <v>1</v>
      </c>
      <c r="H49" s="8">
        <v>1</v>
      </c>
      <c r="I49" s="46"/>
      <c r="J49" s="46"/>
      <c r="K49" s="8">
        <v>1</v>
      </c>
      <c r="L49" s="8">
        <v>1</v>
      </c>
      <c r="M49" s="8">
        <v>1</v>
      </c>
      <c r="N49" s="8">
        <v>1</v>
      </c>
      <c r="O49" s="8">
        <v>1</v>
      </c>
      <c r="P49" s="46"/>
      <c r="Q49" s="46"/>
      <c r="R49" s="8">
        <v>1</v>
      </c>
      <c r="S49" s="8">
        <v>1</v>
      </c>
      <c r="T49" s="8">
        <v>1</v>
      </c>
      <c r="U49" s="8">
        <v>1</v>
      </c>
      <c r="V49" s="8">
        <v>1</v>
      </c>
      <c r="W49" s="46"/>
      <c r="X49" s="46"/>
      <c r="Y49" s="8">
        <v>1</v>
      </c>
      <c r="Z49" s="8">
        <v>1</v>
      </c>
      <c r="AA49" s="8"/>
      <c r="AB49" s="8">
        <v>1</v>
      </c>
      <c r="AC49" s="8">
        <v>1</v>
      </c>
      <c r="AD49" s="46"/>
      <c r="AE49" s="46"/>
      <c r="AF49" s="8">
        <v>1</v>
      </c>
      <c r="AG49" s="8">
        <v>1</v>
      </c>
      <c r="AH49" s="38"/>
      <c r="AI49" s="8">
        <v>1</v>
      </c>
      <c r="AJ49" s="8">
        <v>1</v>
      </c>
      <c r="AK49" s="8"/>
      <c r="AL49" s="8"/>
      <c r="AM49" s="109">
        <v>1</v>
      </c>
      <c r="AN49" s="109">
        <v>1</v>
      </c>
      <c r="AO49" s="8">
        <v>1</v>
      </c>
      <c r="AP49" s="8">
        <v>1</v>
      </c>
      <c r="AQ49" s="8">
        <v>1</v>
      </c>
      <c r="AR49" s="39"/>
      <c r="AS49" s="39"/>
      <c r="AT49" s="8">
        <v>1</v>
      </c>
      <c r="AU49" s="8">
        <v>1</v>
      </c>
      <c r="AV49" s="8">
        <v>1</v>
      </c>
      <c r="AW49" s="8">
        <v>1</v>
      </c>
      <c r="AX49" s="8">
        <v>1</v>
      </c>
      <c r="AY49" s="39"/>
      <c r="AZ49" s="39"/>
      <c r="BA49" s="39">
        <v>1</v>
      </c>
      <c r="BB49" s="39">
        <v>1</v>
      </c>
      <c r="BC49" s="39">
        <v>1</v>
      </c>
      <c r="BD49" s="39">
        <v>1</v>
      </c>
      <c r="BE49" s="39">
        <v>1</v>
      </c>
      <c r="BF49" s="39"/>
      <c r="BG49" s="39"/>
      <c r="BH49" s="39">
        <v>1</v>
      </c>
      <c r="BI49" s="39">
        <v>1</v>
      </c>
      <c r="BJ49" s="39">
        <v>1</v>
      </c>
      <c r="BK49" s="39">
        <v>1</v>
      </c>
      <c r="BL49" s="39">
        <v>1</v>
      </c>
      <c r="BM49" s="40"/>
      <c r="BN49" s="40"/>
      <c r="BO49" s="8">
        <v>1</v>
      </c>
      <c r="BP49" s="8">
        <v>1</v>
      </c>
      <c r="BQ49" s="8">
        <v>1</v>
      </c>
      <c r="BR49" s="8">
        <v>1</v>
      </c>
      <c r="BS49" s="8">
        <v>1</v>
      </c>
      <c r="BT49" s="40"/>
      <c r="BU49" s="40"/>
      <c r="BV49" s="8">
        <v>1</v>
      </c>
      <c r="BW49" s="8">
        <v>1</v>
      </c>
      <c r="BX49" s="8">
        <v>1</v>
      </c>
      <c r="BY49" s="8">
        <v>1</v>
      </c>
      <c r="BZ49" s="8">
        <v>1</v>
      </c>
      <c r="CA49" s="40"/>
      <c r="CB49" s="40"/>
      <c r="CC49" s="8">
        <v>1</v>
      </c>
      <c r="CD49" s="8">
        <v>1</v>
      </c>
      <c r="CE49" s="8">
        <v>1</v>
      </c>
      <c r="CF49" s="8">
        <v>1</v>
      </c>
      <c r="CG49" s="8">
        <v>1</v>
      </c>
      <c r="CH49" s="40"/>
      <c r="CI49" s="40"/>
      <c r="CJ49" s="8">
        <v>1</v>
      </c>
      <c r="CK49" s="8">
        <v>1</v>
      </c>
      <c r="CL49" s="8">
        <v>1</v>
      </c>
      <c r="CM49" s="8">
        <v>1</v>
      </c>
      <c r="CN49" s="8">
        <v>1</v>
      </c>
      <c r="CO49" s="40"/>
      <c r="CP49" s="40"/>
      <c r="CQ49" s="8">
        <v>1</v>
      </c>
      <c r="CR49" s="8">
        <v>1</v>
      </c>
      <c r="CS49" s="8">
        <v>1</v>
      </c>
      <c r="CT49" s="8">
        <v>1</v>
      </c>
      <c r="CU49" s="8">
        <v>1</v>
      </c>
      <c r="CV49" s="40"/>
      <c r="CW49" s="40"/>
      <c r="CX49" s="8">
        <v>1</v>
      </c>
      <c r="CY49" s="8">
        <v>1</v>
      </c>
      <c r="CZ49" s="8">
        <v>1</v>
      </c>
      <c r="DA49" s="8">
        <v>1</v>
      </c>
      <c r="DB49" s="8">
        <v>1</v>
      </c>
      <c r="DC49" s="40"/>
      <c r="DD49" s="40"/>
      <c r="DE49" s="8">
        <v>1</v>
      </c>
      <c r="DF49" s="8">
        <v>1</v>
      </c>
      <c r="DG49" s="8">
        <v>1</v>
      </c>
      <c r="DH49" s="8">
        <v>1</v>
      </c>
      <c r="DI49" s="8">
        <v>1</v>
      </c>
      <c r="DJ49" s="40"/>
      <c r="DK49" s="40"/>
      <c r="DL49" s="8">
        <v>1</v>
      </c>
      <c r="DM49" s="8">
        <v>1</v>
      </c>
      <c r="DN49" s="8">
        <v>1</v>
      </c>
      <c r="DO49" s="8">
        <v>1</v>
      </c>
      <c r="DP49" s="8">
        <v>1</v>
      </c>
      <c r="DQ49" s="41"/>
      <c r="DR49" s="41"/>
      <c r="DS49" s="8">
        <v>1</v>
      </c>
      <c r="DT49" s="8">
        <v>1</v>
      </c>
      <c r="DU49" s="8">
        <v>1</v>
      </c>
      <c r="DV49" s="8">
        <v>1</v>
      </c>
      <c r="DW49" s="8">
        <v>1</v>
      </c>
      <c r="DX49" s="41"/>
      <c r="DY49" s="41"/>
      <c r="DZ49" s="8">
        <v>1</v>
      </c>
      <c r="EA49" s="8">
        <v>1</v>
      </c>
      <c r="EB49" s="8">
        <v>1</v>
      </c>
      <c r="EC49" s="8">
        <v>1</v>
      </c>
      <c r="ED49" s="8">
        <v>1</v>
      </c>
      <c r="EE49" s="41"/>
      <c r="EF49" s="41"/>
      <c r="EG49" s="8">
        <v>1</v>
      </c>
      <c r="EH49" s="8">
        <v>1</v>
      </c>
      <c r="EI49" s="8">
        <v>1</v>
      </c>
      <c r="EJ49" s="8">
        <v>1</v>
      </c>
      <c r="EK49" s="8">
        <v>1</v>
      </c>
      <c r="EL49" s="41"/>
      <c r="EM49" s="41"/>
      <c r="EN49" s="38"/>
      <c r="EO49" s="8">
        <v>1</v>
      </c>
      <c r="EP49" s="8">
        <v>1</v>
      </c>
      <c r="EQ49" s="8">
        <v>1</v>
      </c>
      <c r="ER49" s="8">
        <v>1</v>
      </c>
      <c r="ES49" s="41"/>
      <c r="ET49" s="41"/>
      <c r="EU49" s="8">
        <v>1</v>
      </c>
      <c r="EV49" s="8">
        <v>1</v>
      </c>
      <c r="EW49" s="8">
        <v>1</v>
      </c>
      <c r="EX49" s="38"/>
      <c r="EY49" s="8">
        <v>1</v>
      </c>
      <c r="EZ49" s="41"/>
      <c r="FA49" s="41"/>
      <c r="FB49" s="8">
        <v>1</v>
      </c>
      <c r="FC49" s="8">
        <v>1</v>
      </c>
      <c r="FD49" s="8">
        <v>1</v>
      </c>
      <c r="FE49" s="38"/>
      <c r="FF49" s="8">
        <v>1</v>
      </c>
      <c r="FG49" s="41"/>
      <c r="FH49" s="41"/>
      <c r="FI49" s="8">
        <v>1</v>
      </c>
      <c r="FJ49" s="8">
        <v>1</v>
      </c>
      <c r="FK49" s="8">
        <v>1</v>
      </c>
      <c r="FL49" s="8">
        <v>1</v>
      </c>
      <c r="FM49" s="8">
        <v>1</v>
      </c>
      <c r="FN49" s="41"/>
      <c r="FO49" s="41"/>
      <c r="FP49" s="8">
        <v>1</v>
      </c>
      <c r="FQ49" s="8">
        <v>1</v>
      </c>
      <c r="FR49" s="8">
        <v>1</v>
      </c>
      <c r="FS49" s="8">
        <v>1</v>
      </c>
      <c r="FT49" s="8">
        <v>1</v>
      </c>
      <c r="FU49" s="41"/>
      <c r="FV49" s="41"/>
      <c r="FW49" s="8">
        <v>1</v>
      </c>
      <c r="FX49" s="8">
        <v>1</v>
      </c>
      <c r="FY49" s="8">
        <v>1</v>
      </c>
      <c r="FZ49" s="38"/>
      <c r="GA49" s="8">
        <v>1</v>
      </c>
      <c r="GB49" s="41"/>
      <c r="GC49" s="41"/>
      <c r="GD49" s="8">
        <v>1</v>
      </c>
      <c r="GE49" s="8">
        <v>1</v>
      </c>
      <c r="GF49" s="8">
        <v>1</v>
      </c>
      <c r="GG49" s="8">
        <v>1</v>
      </c>
      <c r="GH49" s="8">
        <v>1</v>
      </c>
      <c r="GI49" s="41"/>
      <c r="GJ49" s="41"/>
      <c r="GK49" s="38"/>
      <c r="GL49" s="8">
        <v>1</v>
      </c>
      <c r="GM49" s="8">
        <v>1</v>
      </c>
      <c r="GN49" s="8">
        <v>1</v>
      </c>
      <c r="GO49" s="8">
        <v>1</v>
      </c>
      <c r="GP49" s="41"/>
      <c r="GQ49" s="41"/>
      <c r="GR49" s="8">
        <v>1</v>
      </c>
      <c r="GS49" s="8">
        <v>1</v>
      </c>
      <c r="GT49" s="8">
        <v>1</v>
      </c>
      <c r="GU49" s="8">
        <v>1</v>
      </c>
      <c r="GV49" s="8">
        <v>1</v>
      </c>
      <c r="GW49" s="41"/>
      <c r="GX49" s="41"/>
      <c r="GY49" s="8">
        <v>1</v>
      </c>
      <c r="GZ49" s="8">
        <v>1</v>
      </c>
      <c r="HA49" s="8">
        <v>1</v>
      </c>
      <c r="HB49" s="8">
        <v>1</v>
      </c>
      <c r="HC49" s="8">
        <v>1</v>
      </c>
      <c r="HD49" s="41"/>
      <c r="HE49" s="41"/>
      <c r="HF49" s="8">
        <v>1</v>
      </c>
      <c r="HG49" s="8">
        <v>1</v>
      </c>
      <c r="HH49" s="8">
        <v>1</v>
      </c>
      <c r="HI49" s="8">
        <v>1</v>
      </c>
      <c r="HJ49" s="8">
        <v>1</v>
      </c>
      <c r="HK49" s="41"/>
      <c r="HL49" s="41"/>
      <c r="HM49" s="8">
        <v>1</v>
      </c>
      <c r="HN49" s="8">
        <v>1</v>
      </c>
      <c r="HO49" s="8">
        <v>1</v>
      </c>
      <c r="HP49" s="8">
        <v>1</v>
      </c>
      <c r="HQ49" s="8">
        <v>1</v>
      </c>
      <c r="HR49" s="41"/>
      <c r="HS49" s="41"/>
      <c r="HT49" s="38"/>
      <c r="HU49" s="8">
        <v>1</v>
      </c>
      <c r="HV49" s="8">
        <v>1</v>
      </c>
      <c r="HW49" s="8">
        <v>1</v>
      </c>
      <c r="HX49" s="8">
        <v>1</v>
      </c>
      <c r="HY49" s="41"/>
      <c r="HZ49" s="41"/>
      <c r="IA49" s="8">
        <v>1</v>
      </c>
      <c r="IB49" s="8">
        <v>1</v>
      </c>
      <c r="IC49" s="8">
        <v>1</v>
      </c>
      <c r="ID49" s="8">
        <v>1</v>
      </c>
      <c r="IE49" s="8">
        <v>1</v>
      </c>
      <c r="IF49" s="41"/>
      <c r="IG49" s="41"/>
      <c r="IH49" s="8">
        <v>1</v>
      </c>
      <c r="II49" s="8">
        <v>1</v>
      </c>
      <c r="IJ49" s="8">
        <v>1</v>
      </c>
      <c r="IK49" s="8">
        <v>1</v>
      </c>
      <c r="IL49" s="8">
        <v>1</v>
      </c>
      <c r="IM49" s="41"/>
      <c r="IN49" s="41"/>
      <c r="IO49" s="8">
        <v>1</v>
      </c>
      <c r="IP49" s="8">
        <v>1</v>
      </c>
      <c r="IQ49" s="8">
        <v>1</v>
      </c>
      <c r="IR49" s="8">
        <v>1</v>
      </c>
      <c r="IS49" s="8">
        <v>1</v>
      </c>
      <c r="IT49" s="41"/>
      <c r="IU49" s="41"/>
      <c r="IV49" s="8">
        <v>1</v>
      </c>
      <c r="IW49" s="8">
        <v>1</v>
      </c>
      <c r="IX49" s="8">
        <v>1</v>
      </c>
      <c r="IY49" s="8">
        <v>1</v>
      </c>
      <c r="IZ49" s="38"/>
      <c r="JA49" s="41"/>
      <c r="JB49" s="41"/>
      <c r="JC49" s="8">
        <v>1</v>
      </c>
      <c r="JD49" s="8">
        <v>1</v>
      </c>
      <c r="JE49" s="8">
        <v>1</v>
      </c>
      <c r="JF49" s="8">
        <v>1</v>
      </c>
      <c r="JG49" s="8">
        <v>1</v>
      </c>
      <c r="JH49" s="41"/>
      <c r="JI49" s="41"/>
      <c r="JJ49" s="8">
        <v>1</v>
      </c>
      <c r="JK49" s="8">
        <v>1</v>
      </c>
      <c r="JL49" s="8">
        <v>1</v>
      </c>
      <c r="JM49" s="8">
        <v>1</v>
      </c>
      <c r="JN49" s="8">
        <v>1</v>
      </c>
      <c r="JO49" s="41"/>
      <c r="JP49" s="41"/>
      <c r="JQ49" s="8">
        <v>1</v>
      </c>
      <c r="JR49" s="8">
        <v>1</v>
      </c>
      <c r="JS49" s="8">
        <v>1</v>
      </c>
      <c r="JT49" s="8">
        <v>1</v>
      </c>
      <c r="JU49" s="8">
        <v>1</v>
      </c>
      <c r="JV49" s="41"/>
      <c r="JW49" s="41"/>
      <c r="JX49" s="8">
        <v>1</v>
      </c>
      <c r="JY49" s="8">
        <v>1</v>
      </c>
      <c r="JZ49" s="8">
        <v>1</v>
      </c>
      <c r="KA49" s="8">
        <v>1</v>
      </c>
      <c r="KB49" s="8">
        <v>1</v>
      </c>
      <c r="KC49" s="41"/>
      <c r="KD49" s="41"/>
      <c r="KE49" s="8">
        <v>1</v>
      </c>
      <c r="KF49" s="8">
        <v>1</v>
      </c>
      <c r="KG49" s="8">
        <v>1</v>
      </c>
      <c r="KH49" s="8">
        <v>1</v>
      </c>
      <c r="KI49" s="8">
        <v>1</v>
      </c>
      <c r="KJ49" s="41"/>
      <c r="KK49" s="41"/>
      <c r="KL49" s="8">
        <v>1</v>
      </c>
      <c r="KM49" s="8">
        <v>1</v>
      </c>
      <c r="KN49" s="8">
        <v>1</v>
      </c>
      <c r="KO49" s="8">
        <v>1</v>
      </c>
      <c r="KP49" s="8">
        <v>1</v>
      </c>
      <c r="KQ49" s="41"/>
      <c r="KR49" s="41"/>
      <c r="KS49" s="8">
        <v>1</v>
      </c>
      <c r="KT49" s="8">
        <v>1</v>
      </c>
      <c r="KU49" s="8">
        <v>1</v>
      </c>
      <c r="KV49" s="8">
        <v>1</v>
      </c>
      <c r="KW49" s="8">
        <v>1</v>
      </c>
      <c r="KX49" s="41"/>
      <c r="KY49" s="41"/>
      <c r="KZ49" s="8">
        <v>1</v>
      </c>
      <c r="LA49" s="8">
        <v>1</v>
      </c>
      <c r="LB49" s="8">
        <v>1</v>
      </c>
      <c r="LC49" s="8">
        <v>1</v>
      </c>
      <c r="LD49" s="8">
        <v>1</v>
      </c>
      <c r="LE49" s="41"/>
      <c r="LF49" s="41"/>
      <c r="LG49" s="8">
        <v>1</v>
      </c>
      <c r="LH49" s="8">
        <v>1</v>
      </c>
      <c r="LI49" s="8">
        <v>1</v>
      </c>
      <c r="LJ49" s="8">
        <v>1</v>
      </c>
      <c r="LK49" s="8">
        <v>1</v>
      </c>
      <c r="LL49" s="41"/>
      <c r="LM49" s="41"/>
      <c r="LN49" s="8">
        <v>1</v>
      </c>
      <c r="LO49" s="8">
        <v>1</v>
      </c>
      <c r="LP49" s="8">
        <v>1</v>
      </c>
      <c r="LQ49" s="8">
        <v>1</v>
      </c>
      <c r="LR49" s="8">
        <v>1</v>
      </c>
      <c r="LS49" s="41"/>
      <c r="LT49" s="41"/>
      <c r="LU49" s="8">
        <v>1</v>
      </c>
      <c r="LV49" s="8">
        <v>1</v>
      </c>
      <c r="LW49" s="8">
        <v>1</v>
      </c>
      <c r="LX49" s="8">
        <v>1</v>
      </c>
      <c r="LY49" s="8">
        <v>1</v>
      </c>
      <c r="LZ49" s="41"/>
      <c r="MA49" s="41"/>
      <c r="MB49" s="8">
        <v>1</v>
      </c>
      <c r="MC49" s="8">
        <v>1</v>
      </c>
      <c r="MD49" s="8">
        <v>1</v>
      </c>
      <c r="ME49" s="8">
        <v>1</v>
      </c>
      <c r="MF49" s="8">
        <v>1</v>
      </c>
      <c r="MG49" s="41"/>
      <c r="MH49" s="41"/>
      <c r="MI49" s="8">
        <v>1</v>
      </c>
      <c r="MJ49" s="8">
        <v>1</v>
      </c>
      <c r="MK49" s="8">
        <v>1</v>
      </c>
      <c r="ML49" s="8">
        <v>1</v>
      </c>
      <c r="MM49" s="8">
        <v>1</v>
      </c>
      <c r="MN49" s="41"/>
      <c r="MO49" s="41"/>
      <c r="MP49" s="8">
        <v>1</v>
      </c>
      <c r="MQ49" s="8">
        <v>1</v>
      </c>
      <c r="MR49" s="8">
        <v>1</v>
      </c>
      <c r="MS49" s="8">
        <v>1</v>
      </c>
      <c r="MT49" s="8">
        <v>1</v>
      </c>
      <c r="MU49" s="41"/>
      <c r="MV49" s="41"/>
      <c r="MW49" s="8">
        <v>1</v>
      </c>
      <c r="MX49" s="8">
        <v>1</v>
      </c>
      <c r="MY49" s="8">
        <v>1</v>
      </c>
      <c r="MZ49" s="8">
        <v>1</v>
      </c>
      <c r="NA49" s="8">
        <v>1</v>
      </c>
      <c r="NB49" s="41"/>
      <c r="NC49" s="41"/>
      <c r="ND49" s="8">
        <v>1</v>
      </c>
      <c r="NE49" s="8">
        <v>1</v>
      </c>
      <c r="NF49" s="8">
        <v>1</v>
      </c>
      <c r="NG49" s="8">
        <v>1</v>
      </c>
      <c r="NH49" s="8">
        <v>1</v>
      </c>
      <c r="NI49" s="41"/>
      <c r="NJ49" s="41"/>
      <c r="NK49" s="8">
        <v>1</v>
      </c>
      <c r="NL49" s="8">
        <v>1</v>
      </c>
      <c r="NM49" s="8">
        <v>1</v>
      </c>
      <c r="NN49" s="8">
        <v>1</v>
      </c>
      <c r="NO49" s="8">
        <v>1</v>
      </c>
      <c r="NP49" s="40"/>
      <c r="NQ49" s="40"/>
      <c r="NR49" s="8">
        <v>1</v>
      </c>
      <c r="NS49" s="8">
        <v>1</v>
      </c>
      <c r="NT49" s="8">
        <v>1</v>
      </c>
      <c r="NU49" s="8">
        <v>1</v>
      </c>
      <c r="NV49" s="8">
        <v>1</v>
      </c>
      <c r="NW49" s="40"/>
      <c r="NX49" s="40"/>
      <c r="NY49" s="8">
        <v>1</v>
      </c>
      <c r="NZ49" s="8">
        <v>1</v>
      </c>
      <c r="OA49" s="8">
        <v>1</v>
      </c>
      <c r="OB49" s="8"/>
      <c r="OC49" s="8">
        <v>1</v>
      </c>
      <c r="OD49" s="41"/>
      <c r="OE49" s="41"/>
      <c r="OF49" s="8">
        <v>1</v>
      </c>
      <c r="OG49" s="8">
        <v>1</v>
      </c>
      <c r="OH49" s="8">
        <v>1</v>
      </c>
      <c r="OI49" s="47"/>
    </row>
    <row r="50" spans="1:399" s="4" customFormat="1" ht="21" x14ac:dyDescent="0.3">
      <c r="A50" s="61" t="s">
        <v>543</v>
      </c>
      <c r="B50" s="62" t="s">
        <v>438</v>
      </c>
      <c r="C50" s="45"/>
      <c r="D50" s="8">
        <v>1</v>
      </c>
      <c r="E50" s="8">
        <v>1</v>
      </c>
      <c r="F50" s="8">
        <v>1</v>
      </c>
      <c r="G50" s="8">
        <v>1</v>
      </c>
      <c r="H50" s="8">
        <v>1</v>
      </c>
      <c r="I50" s="46"/>
      <c r="J50" s="46"/>
      <c r="K50" s="8">
        <v>1</v>
      </c>
      <c r="L50" s="8">
        <v>1</v>
      </c>
      <c r="M50" s="8">
        <v>1</v>
      </c>
      <c r="N50" s="8">
        <v>1</v>
      </c>
      <c r="O50" s="8">
        <v>1</v>
      </c>
      <c r="P50" s="46"/>
      <c r="Q50" s="46"/>
      <c r="R50" s="8">
        <v>1</v>
      </c>
      <c r="S50" s="8">
        <v>1</v>
      </c>
      <c r="T50" s="8">
        <v>1</v>
      </c>
      <c r="U50" s="8">
        <v>1</v>
      </c>
      <c r="V50" s="8">
        <v>1</v>
      </c>
      <c r="W50" s="46"/>
      <c r="X50" s="46"/>
      <c r="Y50" s="8">
        <v>1</v>
      </c>
      <c r="Z50" s="8">
        <v>1</v>
      </c>
      <c r="AA50" s="8"/>
      <c r="AB50" s="8">
        <v>1</v>
      </c>
      <c r="AC50" s="8">
        <v>1</v>
      </c>
      <c r="AD50" s="46"/>
      <c r="AE50" s="46"/>
      <c r="AF50" s="8">
        <v>1</v>
      </c>
      <c r="AG50" s="8">
        <v>1</v>
      </c>
      <c r="AH50" s="38"/>
      <c r="AI50" s="8">
        <v>1</v>
      </c>
      <c r="AJ50" s="8">
        <v>1</v>
      </c>
      <c r="AK50" s="8"/>
      <c r="AL50" s="8"/>
      <c r="AM50" s="109">
        <v>1</v>
      </c>
      <c r="AN50" s="109">
        <v>1</v>
      </c>
      <c r="AO50" s="8">
        <v>1</v>
      </c>
      <c r="AP50" s="8">
        <v>1</v>
      </c>
      <c r="AQ50" s="8">
        <v>1</v>
      </c>
      <c r="AR50" s="39"/>
      <c r="AS50" s="39"/>
      <c r="AT50" s="8">
        <v>1</v>
      </c>
      <c r="AU50" s="8">
        <v>1</v>
      </c>
      <c r="AV50" s="8">
        <v>1</v>
      </c>
      <c r="AW50" s="8">
        <v>1</v>
      </c>
      <c r="AX50" s="8">
        <v>1</v>
      </c>
      <c r="AY50" s="39"/>
      <c r="AZ50" s="39"/>
      <c r="BA50" s="39">
        <v>1</v>
      </c>
      <c r="BB50" s="39">
        <v>1</v>
      </c>
      <c r="BC50" s="39">
        <v>1</v>
      </c>
      <c r="BD50" s="39">
        <v>1</v>
      </c>
      <c r="BE50" s="39">
        <v>1</v>
      </c>
      <c r="BF50" s="39"/>
      <c r="BG50" s="39"/>
      <c r="BH50" s="39">
        <v>1</v>
      </c>
      <c r="BI50" s="39">
        <v>1</v>
      </c>
      <c r="BJ50" s="39">
        <v>1</v>
      </c>
      <c r="BK50" s="39">
        <v>1</v>
      </c>
      <c r="BL50" s="39">
        <v>1</v>
      </c>
      <c r="BM50" s="40"/>
      <c r="BN50" s="40"/>
      <c r="BO50" s="8">
        <v>1</v>
      </c>
      <c r="BP50" s="8">
        <v>1</v>
      </c>
      <c r="BQ50" s="8">
        <v>1</v>
      </c>
      <c r="BR50" s="8">
        <v>1</v>
      </c>
      <c r="BS50" s="8">
        <v>1</v>
      </c>
      <c r="BT50" s="40"/>
      <c r="BU50" s="40"/>
      <c r="BV50" s="8">
        <v>1</v>
      </c>
      <c r="BW50" s="8">
        <v>1</v>
      </c>
      <c r="BX50" s="8">
        <v>1</v>
      </c>
      <c r="BY50" s="8">
        <v>1</v>
      </c>
      <c r="BZ50" s="8">
        <v>1</v>
      </c>
      <c r="CA50" s="40"/>
      <c r="CB50" s="40"/>
      <c r="CC50" s="8">
        <v>1</v>
      </c>
      <c r="CD50" s="8">
        <v>1</v>
      </c>
      <c r="CE50" s="8">
        <v>1</v>
      </c>
      <c r="CF50" s="8">
        <v>1</v>
      </c>
      <c r="CG50" s="8">
        <v>1</v>
      </c>
      <c r="CH50" s="40"/>
      <c r="CI50" s="40"/>
      <c r="CJ50" s="8">
        <v>1</v>
      </c>
      <c r="CK50" s="8">
        <v>1</v>
      </c>
      <c r="CL50" s="8">
        <v>1</v>
      </c>
      <c r="CM50" s="8">
        <v>1</v>
      </c>
      <c r="CN50" s="8">
        <v>1</v>
      </c>
      <c r="CO50" s="40"/>
      <c r="CP50" s="40"/>
      <c r="CQ50" s="8">
        <v>1</v>
      </c>
      <c r="CR50" s="8">
        <v>1</v>
      </c>
      <c r="CS50" s="8"/>
      <c r="CT50" s="8">
        <v>1</v>
      </c>
      <c r="CU50" s="8">
        <v>1</v>
      </c>
      <c r="CV50" s="40"/>
      <c r="CW50" s="40"/>
      <c r="CX50" s="8">
        <v>1</v>
      </c>
      <c r="CY50" s="8">
        <v>1</v>
      </c>
      <c r="CZ50" s="8">
        <v>1</v>
      </c>
      <c r="DA50" s="8"/>
      <c r="DB50" s="8">
        <v>1</v>
      </c>
      <c r="DC50" s="40"/>
      <c r="DD50" s="40"/>
      <c r="DE50" s="8">
        <v>1</v>
      </c>
      <c r="DF50" s="8">
        <v>1</v>
      </c>
      <c r="DG50" s="8">
        <v>1</v>
      </c>
      <c r="DH50" s="8">
        <v>1</v>
      </c>
      <c r="DI50" s="8">
        <v>1</v>
      </c>
      <c r="DJ50" s="40"/>
      <c r="DK50" s="40"/>
      <c r="DL50" s="8">
        <v>1</v>
      </c>
      <c r="DM50" s="8">
        <v>1</v>
      </c>
      <c r="DN50" s="8">
        <v>1</v>
      </c>
      <c r="DO50" s="8">
        <v>1</v>
      </c>
      <c r="DP50" s="8">
        <v>1</v>
      </c>
      <c r="DQ50" s="41"/>
      <c r="DR50" s="41"/>
      <c r="DS50" s="8">
        <v>1</v>
      </c>
      <c r="DT50" s="8">
        <v>1</v>
      </c>
      <c r="DU50" s="8">
        <v>1</v>
      </c>
      <c r="DV50" s="8">
        <v>1</v>
      </c>
      <c r="DW50" s="8">
        <v>1</v>
      </c>
      <c r="DX50" s="41"/>
      <c r="DY50" s="41"/>
      <c r="DZ50" s="8">
        <v>1</v>
      </c>
      <c r="EA50" s="8">
        <v>1</v>
      </c>
      <c r="EB50" s="8">
        <v>1</v>
      </c>
      <c r="EC50" s="8">
        <v>1</v>
      </c>
      <c r="ED50" s="8">
        <v>1</v>
      </c>
      <c r="EE50" s="41"/>
      <c r="EF50" s="41"/>
      <c r="EG50" s="8">
        <v>1</v>
      </c>
      <c r="EH50" s="8">
        <v>1</v>
      </c>
      <c r="EI50" s="8">
        <v>1</v>
      </c>
      <c r="EJ50" s="8">
        <v>1</v>
      </c>
      <c r="EK50" s="8">
        <v>1</v>
      </c>
      <c r="EL50" s="41"/>
      <c r="EM50" s="41"/>
      <c r="EN50" s="38"/>
      <c r="EO50" s="8">
        <v>1</v>
      </c>
      <c r="EP50" s="8">
        <v>1</v>
      </c>
      <c r="EQ50" s="8">
        <v>1</v>
      </c>
      <c r="ER50" s="8">
        <v>1</v>
      </c>
      <c r="ES50" s="41"/>
      <c r="ET50" s="41"/>
      <c r="EU50" s="8">
        <v>1</v>
      </c>
      <c r="EV50" s="8">
        <v>1</v>
      </c>
      <c r="EW50" s="8">
        <v>1</v>
      </c>
      <c r="EX50" s="38"/>
      <c r="EY50" s="8">
        <v>1</v>
      </c>
      <c r="EZ50" s="41"/>
      <c r="FA50" s="41"/>
      <c r="FB50" s="8">
        <v>1</v>
      </c>
      <c r="FC50" s="8">
        <v>1</v>
      </c>
      <c r="FD50" s="8">
        <v>1</v>
      </c>
      <c r="FE50" s="38"/>
      <c r="FF50" s="8">
        <v>1</v>
      </c>
      <c r="FG50" s="41"/>
      <c r="FH50" s="41"/>
      <c r="FI50" s="8">
        <v>1</v>
      </c>
      <c r="FJ50" s="8">
        <v>1</v>
      </c>
      <c r="FK50" s="8">
        <v>1</v>
      </c>
      <c r="FL50" s="8">
        <v>1</v>
      </c>
      <c r="FM50" s="8">
        <v>1</v>
      </c>
      <c r="FN50" s="41"/>
      <c r="FO50" s="41"/>
      <c r="FP50" s="8">
        <v>1</v>
      </c>
      <c r="FQ50" s="8">
        <v>1</v>
      </c>
      <c r="FR50" s="8">
        <v>1</v>
      </c>
      <c r="FS50" s="8">
        <v>1</v>
      </c>
      <c r="FT50" s="8">
        <v>1</v>
      </c>
      <c r="FU50" s="41"/>
      <c r="FV50" s="41"/>
      <c r="FW50" s="8">
        <v>1</v>
      </c>
      <c r="FX50" s="8">
        <v>1</v>
      </c>
      <c r="FY50" s="8">
        <v>1</v>
      </c>
      <c r="FZ50" s="38"/>
      <c r="GA50" s="8">
        <v>1</v>
      </c>
      <c r="GB50" s="41"/>
      <c r="GC50" s="41"/>
      <c r="GD50" s="8">
        <v>1</v>
      </c>
      <c r="GE50" s="8">
        <v>1</v>
      </c>
      <c r="GF50" s="8">
        <v>1</v>
      </c>
      <c r="GG50" s="8">
        <v>1</v>
      </c>
      <c r="GH50" s="8">
        <v>1</v>
      </c>
      <c r="GI50" s="41"/>
      <c r="GJ50" s="41"/>
      <c r="GK50" s="38"/>
      <c r="GL50" s="8">
        <v>1</v>
      </c>
      <c r="GM50" s="8"/>
      <c r="GN50" s="8">
        <v>1</v>
      </c>
      <c r="GO50" s="8">
        <v>1</v>
      </c>
      <c r="GP50" s="41"/>
      <c r="GQ50" s="41"/>
      <c r="GR50" s="8">
        <v>1</v>
      </c>
      <c r="GS50" s="8">
        <v>1</v>
      </c>
      <c r="GT50" s="8">
        <v>1</v>
      </c>
      <c r="GU50" s="8">
        <v>1</v>
      </c>
      <c r="GV50" s="8">
        <v>1</v>
      </c>
      <c r="GW50" s="41"/>
      <c r="GX50" s="41"/>
      <c r="GY50" s="8">
        <v>1</v>
      </c>
      <c r="GZ50" s="8">
        <v>1</v>
      </c>
      <c r="HA50" s="8">
        <v>1</v>
      </c>
      <c r="HB50" s="8">
        <v>1</v>
      </c>
      <c r="HC50" s="8">
        <v>1</v>
      </c>
      <c r="HD50" s="41"/>
      <c r="HE50" s="41"/>
      <c r="HF50" s="8">
        <v>1</v>
      </c>
      <c r="HG50" s="8">
        <v>1</v>
      </c>
      <c r="HH50" s="8">
        <v>1</v>
      </c>
      <c r="HI50" s="8">
        <v>1</v>
      </c>
      <c r="HJ50" s="8">
        <v>1</v>
      </c>
      <c r="HK50" s="41"/>
      <c r="HL50" s="41"/>
      <c r="HM50" s="8">
        <v>1</v>
      </c>
      <c r="HN50" s="8">
        <v>1</v>
      </c>
      <c r="HO50" s="8">
        <v>1</v>
      </c>
      <c r="HP50" s="8">
        <v>1</v>
      </c>
      <c r="HQ50" s="8">
        <v>1</v>
      </c>
      <c r="HR50" s="41"/>
      <c r="HS50" s="41"/>
      <c r="HT50" s="38"/>
      <c r="HU50" s="8">
        <v>1</v>
      </c>
      <c r="HV50" s="8">
        <v>1</v>
      </c>
      <c r="HW50" s="8">
        <v>1</v>
      </c>
      <c r="HX50" s="8">
        <v>1</v>
      </c>
      <c r="HY50" s="41"/>
      <c r="HZ50" s="41"/>
      <c r="IA50" s="8">
        <v>1</v>
      </c>
      <c r="IB50" s="8">
        <v>1</v>
      </c>
      <c r="IC50" s="8">
        <v>1</v>
      </c>
      <c r="ID50" s="8">
        <v>1</v>
      </c>
      <c r="IE50" s="8">
        <v>1</v>
      </c>
      <c r="IF50" s="41"/>
      <c r="IG50" s="41"/>
      <c r="IH50" s="8">
        <v>1</v>
      </c>
      <c r="II50" s="8">
        <v>1</v>
      </c>
      <c r="IJ50" s="8">
        <v>1</v>
      </c>
      <c r="IK50" s="8">
        <v>1</v>
      </c>
      <c r="IL50" s="8">
        <v>1</v>
      </c>
      <c r="IM50" s="41"/>
      <c r="IN50" s="41"/>
      <c r="IO50" s="8">
        <v>1</v>
      </c>
      <c r="IP50" s="8">
        <v>1</v>
      </c>
      <c r="IQ50" s="8">
        <v>1</v>
      </c>
      <c r="IR50" s="8">
        <v>1</v>
      </c>
      <c r="IS50" s="8">
        <v>1</v>
      </c>
      <c r="IT50" s="41"/>
      <c r="IU50" s="41"/>
      <c r="IV50" s="8">
        <v>1</v>
      </c>
      <c r="IW50" s="8">
        <v>1</v>
      </c>
      <c r="IX50" s="8">
        <v>1</v>
      </c>
      <c r="IY50" s="8">
        <v>1</v>
      </c>
      <c r="IZ50" s="38"/>
      <c r="JA50" s="41"/>
      <c r="JB50" s="41"/>
      <c r="JC50" s="8">
        <v>1</v>
      </c>
      <c r="JD50" s="8">
        <v>1</v>
      </c>
      <c r="JE50" s="8">
        <v>1</v>
      </c>
      <c r="JF50" s="8">
        <v>1</v>
      </c>
      <c r="JG50" s="8">
        <v>1</v>
      </c>
      <c r="JH50" s="41"/>
      <c r="JI50" s="41"/>
      <c r="JJ50" s="8">
        <v>1</v>
      </c>
      <c r="JK50" s="8">
        <v>1</v>
      </c>
      <c r="JL50" s="8">
        <v>1</v>
      </c>
      <c r="JM50" s="8">
        <v>1</v>
      </c>
      <c r="JN50" s="8">
        <v>1</v>
      </c>
      <c r="JO50" s="41"/>
      <c r="JP50" s="41"/>
      <c r="JQ50" s="8">
        <v>1</v>
      </c>
      <c r="JR50" s="8">
        <v>1</v>
      </c>
      <c r="JS50" s="8">
        <v>1</v>
      </c>
      <c r="JT50" s="8">
        <v>1</v>
      </c>
      <c r="JU50" s="8">
        <v>1</v>
      </c>
      <c r="JV50" s="41"/>
      <c r="JW50" s="41"/>
      <c r="JX50" s="8">
        <v>1</v>
      </c>
      <c r="JY50" s="8">
        <v>1</v>
      </c>
      <c r="JZ50" s="8">
        <v>1</v>
      </c>
      <c r="KA50" s="8">
        <v>1</v>
      </c>
      <c r="KB50" s="8">
        <v>1</v>
      </c>
      <c r="KC50" s="41"/>
      <c r="KD50" s="41"/>
      <c r="KE50" s="8">
        <v>1</v>
      </c>
      <c r="KF50" s="8">
        <v>1</v>
      </c>
      <c r="KG50" s="8">
        <v>1</v>
      </c>
      <c r="KH50" s="8">
        <v>1</v>
      </c>
      <c r="KI50" s="8">
        <v>1</v>
      </c>
      <c r="KJ50" s="41"/>
      <c r="KK50" s="41"/>
      <c r="KL50" s="8">
        <v>1</v>
      </c>
      <c r="KM50" s="8">
        <v>1</v>
      </c>
      <c r="KN50" s="8"/>
      <c r="KO50" s="8">
        <v>1</v>
      </c>
      <c r="KP50" s="8">
        <v>1</v>
      </c>
      <c r="KQ50" s="41"/>
      <c r="KR50" s="41"/>
      <c r="KS50" s="8">
        <v>1</v>
      </c>
      <c r="KT50" s="8">
        <v>1</v>
      </c>
      <c r="KU50" s="8">
        <v>1</v>
      </c>
      <c r="KV50" s="8">
        <v>1</v>
      </c>
      <c r="KW50" s="8">
        <v>1</v>
      </c>
      <c r="KX50" s="41"/>
      <c r="KY50" s="41"/>
      <c r="KZ50" s="8">
        <v>1</v>
      </c>
      <c r="LA50" s="8">
        <v>1</v>
      </c>
      <c r="LB50" s="8">
        <v>1</v>
      </c>
      <c r="LC50" s="8">
        <v>1</v>
      </c>
      <c r="LD50" s="8">
        <v>1</v>
      </c>
      <c r="LE50" s="41"/>
      <c r="LF50" s="41"/>
      <c r="LG50" s="8">
        <v>1</v>
      </c>
      <c r="LH50" s="8">
        <v>1</v>
      </c>
      <c r="LI50" s="8">
        <v>1</v>
      </c>
      <c r="LJ50" s="8">
        <v>1</v>
      </c>
      <c r="LK50" s="8">
        <v>1</v>
      </c>
      <c r="LL50" s="41"/>
      <c r="LM50" s="41"/>
      <c r="LN50" s="8">
        <v>1</v>
      </c>
      <c r="LO50" s="8">
        <v>1</v>
      </c>
      <c r="LP50" s="8">
        <v>1</v>
      </c>
      <c r="LQ50" s="8">
        <v>1</v>
      </c>
      <c r="LR50" s="8">
        <v>1</v>
      </c>
      <c r="LS50" s="41"/>
      <c r="LT50" s="41"/>
      <c r="LU50" s="8">
        <v>1</v>
      </c>
      <c r="LV50" s="8">
        <v>1</v>
      </c>
      <c r="LW50" s="8">
        <v>1</v>
      </c>
      <c r="LX50" s="8">
        <v>1</v>
      </c>
      <c r="LY50" s="8">
        <v>1</v>
      </c>
      <c r="LZ50" s="41"/>
      <c r="MA50" s="41"/>
      <c r="MB50" s="8">
        <v>1</v>
      </c>
      <c r="MC50" s="8">
        <v>1</v>
      </c>
      <c r="MD50" s="8">
        <v>1</v>
      </c>
      <c r="ME50" s="8">
        <v>1</v>
      </c>
      <c r="MF50" s="8">
        <v>1</v>
      </c>
      <c r="MG50" s="41"/>
      <c r="MH50" s="41"/>
      <c r="MI50" s="8">
        <v>1</v>
      </c>
      <c r="MJ50" s="8">
        <v>1</v>
      </c>
      <c r="MK50" s="8">
        <v>1</v>
      </c>
      <c r="ML50" s="8">
        <v>1</v>
      </c>
      <c r="MM50" s="8">
        <v>1</v>
      </c>
      <c r="MN50" s="41"/>
      <c r="MO50" s="41"/>
      <c r="MP50" s="8">
        <v>1</v>
      </c>
      <c r="MQ50" s="8">
        <v>1</v>
      </c>
      <c r="MR50" s="8">
        <v>1</v>
      </c>
      <c r="MS50" s="8">
        <v>1</v>
      </c>
      <c r="MT50" s="8">
        <v>1</v>
      </c>
      <c r="MU50" s="41"/>
      <c r="MV50" s="41"/>
      <c r="MW50" s="8">
        <v>1</v>
      </c>
      <c r="MX50" s="8">
        <v>1</v>
      </c>
      <c r="MY50" s="8">
        <v>1</v>
      </c>
      <c r="MZ50" s="8">
        <v>1</v>
      </c>
      <c r="NA50" s="8">
        <v>1</v>
      </c>
      <c r="NB50" s="41"/>
      <c r="NC50" s="41"/>
      <c r="ND50" s="8">
        <v>1</v>
      </c>
      <c r="NE50" s="8">
        <v>1</v>
      </c>
      <c r="NF50" s="8">
        <v>1</v>
      </c>
      <c r="NG50" s="8">
        <v>1</v>
      </c>
      <c r="NH50" s="8">
        <v>1</v>
      </c>
      <c r="NI50" s="41"/>
      <c r="NJ50" s="41"/>
      <c r="NK50" s="8">
        <v>1</v>
      </c>
      <c r="NL50" s="8">
        <v>1</v>
      </c>
      <c r="NM50" s="8">
        <v>1</v>
      </c>
      <c r="NN50" s="8">
        <v>1</v>
      </c>
      <c r="NO50" s="8">
        <v>1</v>
      </c>
      <c r="NP50" s="40"/>
      <c r="NQ50" s="40"/>
      <c r="NR50" s="8">
        <v>1</v>
      </c>
      <c r="NS50" s="8">
        <v>1</v>
      </c>
      <c r="NT50" s="8">
        <v>1</v>
      </c>
      <c r="NU50" s="8">
        <v>1</v>
      </c>
      <c r="NV50" s="8">
        <v>1</v>
      </c>
      <c r="NW50" s="40"/>
      <c r="NX50" s="40"/>
      <c r="NY50" s="8">
        <v>1</v>
      </c>
      <c r="NZ50" s="8">
        <v>1</v>
      </c>
      <c r="OA50" s="8">
        <v>1</v>
      </c>
      <c r="OB50" s="8"/>
      <c r="OC50" s="8">
        <v>1</v>
      </c>
      <c r="OD50" s="41"/>
      <c r="OE50" s="41"/>
      <c r="OF50" s="8">
        <v>1</v>
      </c>
      <c r="OG50" s="8">
        <v>1</v>
      </c>
      <c r="OH50" s="8">
        <v>1</v>
      </c>
      <c r="OI50" s="48"/>
    </row>
    <row r="51" spans="1:399" s="29" customFormat="1" ht="21" x14ac:dyDescent="0.3">
      <c r="A51" s="27" t="s">
        <v>439</v>
      </c>
      <c r="B51" s="26">
        <f>SUBTOTAL(103,SuiviEquipes7[Equipe])</f>
        <v>34</v>
      </c>
      <c r="C51" s="28">
        <f>SUBTOTAL(109,SuiviEquipes7[Colonne1])</f>
        <v>0</v>
      </c>
      <c r="D51" s="28">
        <f>SUBTOTAL(109,SuiviEquipes7[Colonne2])</f>
        <v>34</v>
      </c>
      <c r="E51" s="28">
        <f>SUBTOTAL(109,SuiviEquipes7[Colonne3])</f>
        <v>34</v>
      </c>
      <c r="F51" s="28">
        <f>SUBTOTAL(109,SuiviEquipes7[Colonne4])</f>
        <v>34</v>
      </c>
      <c r="G51" s="28">
        <f>SUBTOTAL(109,SuiviEquipes7[Colonne5])</f>
        <v>33</v>
      </c>
      <c r="H51" s="28">
        <f>SUBTOTAL(109,SuiviEquipes7[Colonne6])</f>
        <v>32</v>
      </c>
      <c r="I51" s="28">
        <f>SUBTOTAL(109,SuiviEquipes7[Colonne7])</f>
        <v>0</v>
      </c>
      <c r="J51" s="28">
        <f>SUBTOTAL(109,SuiviEquipes7[Colonne8])</f>
        <v>0</v>
      </c>
      <c r="K51" s="28">
        <f>SUBTOTAL(109,SuiviEquipes7[Colonne9])</f>
        <v>33</v>
      </c>
      <c r="L51" s="28">
        <f>SUBTOTAL(109,SuiviEquipes7[Colonne10])</f>
        <v>33</v>
      </c>
      <c r="M51" s="28">
        <f>SUBTOTAL(109,SuiviEquipes7[Colonne11])</f>
        <v>33</v>
      </c>
      <c r="N51" s="28">
        <f>SUBTOTAL(109,SuiviEquipes7[Colonne12])</f>
        <v>34</v>
      </c>
      <c r="O51" s="28">
        <f>SUBTOTAL(109,SuiviEquipes7[Colonne13])</f>
        <v>33</v>
      </c>
      <c r="P51" s="28">
        <f>SUBTOTAL(109,SuiviEquipes7[Colonne14])</f>
        <v>0</v>
      </c>
      <c r="Q51" s="28">
        <f>SUBTOTAL(109,SuiviEquipes7[Colonne15])</f>
        <v>0</v>
      </c>
      <c r="R51" s="28">
        <f>SUBTOTAL(109,SuiviEquipes7[Colonne16])</f>
        <v>34</v>
      </c>
      <c r="S51" s="28">
        <f>SUBTOTAL(109,SuiviEquipes7[Colonne17])</f>
        <v>32</v>
      </c>
      <c r="T51" s="28">
        <f>SUBTOTAL(109,SuiviEquipes7[Colonne18])</f>
        <v>32</v>
      </c>
      <c r="U51" s="28">
        <f>SUBTOTAL(109,SuiviEquipes7[Colonne19])</f>
        <v>30</v>
      </c>
      <c r="V51" s="28">
        <f>SUBTOTAL(109,SuiviEquipes7[Colonne20])</f>
        <v>31</v>
      </c>
      <c r="W51" s="28">
        <f>SUBTOTAL(109,SuiviEquipes7[Colonne21])</f>
        <v>0</v>
      </c>
      <c r="X51" s="28">
        <f>SUBTOTAL(109,SuiviEquipes7[Colonne22])</f>
        <v>0</v>
      </c>
      <c r="Y51" s="28">
        <f>SUBTOTAL(109,SuiviEquipes7[Colonne23])</f>
        <v>16</v>
      </c>
      <c r="Z51" s="28">
        <f>SUBTOTAL(109,SuiviEquipes7[Colonne24])</f>
        <v>14</v>
      </c>
      <c r="AA51" s="28">
        <f>SUBTOTAL(109,SuiviEquipes7[Colonne25])</f>
        <v>0</v>
      </c>
      <c r="AB51" s="28">
        <f>SUBTOTAL(109,SuiviEquipes7[Colonne26])</f>
        <v>12.5</v>
      </c>
      <c r="AC51" s="28">
        <f>SUBTOTAL(109,SuiviEquipes7[Colonne27])</f>
        <v>13</v>
      </c>
      <c r="AD51" s="28">
        <f>SUBTOTAL(109,SuiviEquipes7[Colonne28])</f>
        <v>0</v>
      </c>
      <c r="AE51" s="28">
        <f>SUBTOTAL(109,SuiviEquipes7[Colonne29])</f>
        <v>0</v>
      </c>
      <c r="AF51" s="28">
        <f>SUBTOTAL(109,SuiviEquipes7[Colonne30])</f>
        <v>16</v>
      </c>
      <c r="AG51" s="28">
        <f>SUBTOTAL(109,SuiviEquipes7[Colonne31])</f>
        <v>15</v>
      </c>
      <c r="AH51" s="28">
        <f>SUBTOTAL(109,SuiviEquipes7[Colonne32])</f>
        <v>0</v>
      </c>
      <c r="AI51" s="28">
        <f>SUBTOTAL(109,SuiviEquipes7[Colonne33])</f>
        <v>19</v>
      </c>
      <c r="AJ51" s="28">
        <f>SUBTOTAL(109,SuiviEquipes7[Colonne34])</f>
        <v>20</v>
      </c>
      <c r="AK51" s="28">
        <f>SUBTOTAL(109,SuiviEquipes7[Colonne35])</f>
        <v>0</v>
      </c>
      <c r="AL51" s="28">
        <f>SUBTOTAL(109,SuiviEquipes7[Colonne36])</f>
        <v>0</v>
      </c>
      <c r="AM51" s="28">
        <f>SUBTOTAL(109,SuiviEquipes7[Colonne37])</f>
        <v>34</v>
      </c>
      <c r="AN51" s="28">
        <f>SUBTOTAL(109,SuiviEquipes7[Colonne38])</f>
        <v>34</v>
      </c>
      <c r="AO51" s="28">
        <f>SUBTOTAL(109,SuiviEquipes7[Colonne39])</f>
        <v>33</v>
      </c>
      <c r="AP51" s="28">
        <f>SUBTOTAL(109,SuiviEquipes7[Colonne40])</f>
        <v>33</v>
      </c>
      <c r="AQ51" s="28">
        <f>SUBTOTAL(109,SuiviEquipes7[Colonne41])</f>
        <v>32</v>
      </c>
      <c r="AR51" s="28">
        <f>SUBTOTAL(109,SuiviEquipes7[Colonne42])</f>
        <v>0</v>
      </c>
      <c r="AS51" s="28">
        <f>SUBTOTAL(109,SuiviEquipes7[Colonne43])</f>
        <v>0</v>
      </c>
      <c r="AT51" s="28">
        <f>SUBTOTAL(109,SuiviEquipes7[Colonne44])</f>
        <v>32</v>
      </c>
      <c r="AU51" s="28">
        <f>SUBTOTAL(109,SuiviEquipes7[Colonne45])</f>
        <v>31</v>
      </c>
      <c r="AV51" s="28">
        <f>SUBTOTAL(109,SuiviEquipes7[Colonne46])</f>
        <v>32</v>
      </c>
      <c r="AW51" s="28">
        <f>SUBTOTAL(109,SuiviEquipes7[Colonne47])</f>
        <v>32</v>
      </c>
      <c r="AX51" s="28">
        <f>SUBTOTAL(109,SuiviEquipes7[Colonne48])</f>
        <v>32</v>
      </c>
      <c r="AY51" s="28">
        <f>SUBTOTAL(109,SuiviEquipes7[Colonne49])</f>
        <v>0</v>
      </c>
      <c r="AZ51" s="28">
        <f>SUBTOTAL(109,SuiviEquipes7[Colonne50])</f>
        <v>0</v>
      </c>
      <c r="BA51" s="28">
        <f>SUBTOTAL(109,SuiviEquipes7[Colonne51])</f>
        <v>31</v>
      </c>
      <c r="BB51" s="28">
        <f>SUBTOTAL(109,SuiviEquipes7[Colonne52])</f>
        <v>32</v>
      </c>
      <c r="BC51" s="28">
        <f>SUBTOTAL(109,SuiviEquipes7[Colonne53])</f>
        <v>32</v>
      </c>
      <c r="BD51" s="28">
        <f>SUBTOTAL(109,SuiviEquipes7[Colonne54])</f>
        <v>32</v>
      </c>
      <c r="BE51" s="28">
        <f>SUBTOTAL(109,SuiviEquipes7[Colonne55])</f>
        <v>31</v>
      </c>
      <c r="BF51" s="28">
        <f>SUBTOTAL(109,SuiviEquipes7[Colonne56])</f>
        <v>0</v>
      </c>
      <c r="BG51" s="28">
        <f>SUBTOTAL(109,SuiviEquipes7[Colonne57])</f>
        <v>0</v>
      </c>
      <c r="BH51" s="28">
        <f>SUBTOTAL(109,SuiviEquipes7[Colonne58])</f>
        <v>32</v>
      </c>
      <c r="BI51" s="28">
        <f>SUBTOTAL(109,SuiviEquipes7[Colonne59])</f>
        <v>32</v>
      </c>
      <c r="BJ51" s="28">
        <f>SUBTOTAL(109,SuiviEquipes7[Colonne60])</f>
        <v>32</v>
      </c>
      <c r="BK51" s="28">
        <f>SUBTOTAL(109,SuiviEquipes7[Colonne61])</f>
        <v>32</v>
      </c>
      <c r="BL51" s="28">
        <f>SUBTOTAL(109,SuiviEquipes7[Colonne62])</f>
        <v>32</v>
      </c>
      <c r="BM51" s="28">
        <f>SUBTOTAL(109,SuiviEquipes7[Colonne63])</f>
        <v>0</v>
      </c>
      <c r="BN51" s="28">
        <f>SUBTOTAL(109,SuiviEquipes7[Colonne64])</f>
        <v>0</v>
      </c>
      <c r="BO51" s="28">
        <f>SUBTOTAL(109,SuiviEquipes7[Colonne65])</f>
        <v>31</v>
      </c>
      <c r="BP51" s="28">
        <f>SUBTOTAL(109,SuiviEquipes7[Colonne66])</f>
        <v>30</v>
      </c>
      <c r="BQ51" s="28">
        <f>SUBTOTAL(109,SuiviEquipes7[Colonne67])</f>
        <v>31</v>
      </c>
      <c r="BR51" s="28">
        <f>SUBTOTAL(109,SuiviEquipes7[Colonne68])</f>
        <v>31</v>
      </c>
      <c r="BS51" s="28">
        <f>SUBTOTAL(109,SuiviEquipes7[Colonne69])</f>
        <v>30</v>
      </c>
      <c r="BT51" s="28">
        <f>SUBTOTAL(109,SuiviEquipes7[Colonne70])</f>
        <v>0</v>
      </c>
      <c r="BU51" s="28">
        <f>SUBTOTAL(109,SuiviEquipes7[Colonne71])</f>
        <v>0</v>
      </c>
      <c r="BV51" s="28">
        <f>SUBTOTAL(109,SuiviEquipes7[Colonne72])</f>
        <v>33</v>
      </c>
      <c r="BW51" s="28">
        <f>SUBTOTAL(109,SuiviEquipes7[Colonne73])</f>
        <v>32</v>
      </c>
      <c r="BX51" s="28">
        <f>SUBTOTAL(109,SuiviEquipes7[Colonne74])</f>
        <v>33</v>
      </c>
      <c r="BY51" s="28">
        <f>SUBTOTAL(109,SuiviEquipes7[Colonne75])</f>
        <v>32.5</v>
      </c>
      <c r="BZ51" s="28">
        <f>SUBTOTAL(109,SuiviEquipes7[Colonne76])</f>
        <v>33</v>
      </c>
      <c r="CA51" s="28">
        <f>SUBTOTAL(109,SuiviEquipes7[Colonne77])</f>
        <v>0</v>
      </c>
      <c r="CB51" s="28">
        <f>SUBTOTAL(109,SuiviEquipes7[Colonne78])</f>
        <v>0</v>
      </c>
      <c r="CC51" s="28">
        <f>SUBTOTAL(109,SuiviEquipes7[Colonne79])</f>
        <v>32</v>
      </c>
      <c r="CD51" s="28">
        <f>SUBTOTAL(109,SuiviEquipes7[Colonne80])</f>
        <v>32</v>
      </c>
      <c r="CE51" s="28">
        <f>SUBTOTAL(109,SuiviEquipes7[Colonne81])</f>
        <v>31</v>
      </c>
      <c r="CF51" s="28">
        <f>SUBTOTAL(109,SuiviEquipes7[Colonne82])</f>
        <v>32</v>
      </c>
      <c r="CG51" s="28">
        <f>SUBTOTAL(109,SuiviEquipes7[Colonne83])</f>
        <v>32</v>
      </c>
      <c r="CH51" s="28">
        <f>SUBTOTAL(109,SuiviEquipes7[Colonne84])</f>
        <v>0</v>
      </c>
      <c r="CI51" s="28">
        <f>SUBTOTAL(109,SuiviEquipes7[Colonne85])</f>
        <v>0</v>
      </c>
      <c r="CJ51" s="28">
        <f>SUBTOTAL(109,SuiviEquipes7[Colonne86])</f>
        <v>30</v>
      </c>
      <c r="CK51" s="28">
        <f>SUBTOTAL(109,SuiviEquipes7[Colonne87])</f>
        <v>30</v>
      </c>
      <c r="CL51" s="28">
        <f>SUBTOTAL(109,SuiviEquipes7[Colonne88])</f>
        <v>30</v>
      </c>
      <c r="CM51" s="28">
        <f>SUBTOTAL(109,SuiviEquipes7[Colonne89])</f>
        <v>30</v>
      </c>
      <c r="CN51" s="28">
        <f>SUBTOTAL(109,SuiviEquipes7[Colonne90])</f>
        <v>30</v>
      </c>
      <c r="CO51" s="28">
        <f>SUBTOTAL(109,SuiviEquipes7[Colonne91])</f>
        <v>0</v>
      </c>
      <c r="CP51" s="28">
        <f>SUBTOTAL(109,SuiviEquipes7[Colonne92])</f>
        <v>0</v>
      </c>
      <c r="CQ51" s="28">
        <f>SUBTOTAL(109,SuiviEquipes7[Colonne93])</f>
        <v>33</v>
      </c>
      <c r="CR51" s="28">
        <f>SUBTOTAL(109,SuiviEquipes7[Colonne94])</f>
        <v>33</v>
      </c>
      <c r="CS51" s="28">
        <f>SUBTOTAL(109,SuiviEquipes7[Colonne95])</f>
        <v>32</v>
      </c>
      <c r="CT51" s="28">
        <f>SUBTOTAL(109,SuiviEquipes7[Colonne96])</f>
        <v>33</v>
      </c>
      <c r="CU51" s="28">
        <f>SUBTOTAL(109,SuiviEquipes7[Colonne97])</f>
        <v>32</v>
      </c>
      <c r="CV51" s="28">
        <f>SUBTOTAL(109,SuiviEquipes7[Colonne98])</f>
        <v>0</v>
      </c>
      <c r="CW51" s="28">
        <f>SUBTOTAL(109,SuiviEquipes7[Colonne99])</f>
        <v>0</v>
      </c>
      <c r="CX51" s="28">
        <f>SUBTOTAL(109,SuiviEquipes7[Colonne100])</f>
        <v>33</v>
      </c>
      <c r="CY51" s="28">
        <f>SUBTOTAL(109,SuiviEquipes7[Colonne101])</f>
        <v>33</v>
      </c>
      <c r="CZ51" s="28">
        <f>SUBTOTAL(109,SuiviEquipes7[Colonne102])</f>
        <v>34</v>
      </c>
      <c r="DA51" s="28">
        <f>SUBTOTAL(109,SuiviEquipes7[Colonne103])</f>
        <v>33</v>
      </c>
      <c r="DB51" s="28">
        <f>SUBTOTAL(109,SuiviEquipes7[Colonne104])</f>
        <v>33</v>
      </c>
      <c r="DC51" s="28">
        <f>SUBTOTAL(109,SuiviEquipes7[Colonne105])</f>
        <v>0</v>
      </c>
      <c r="DD51" s="28">
        <f>SUBTOTAL(109,SuiviEquipes7[Colonne106])</f>
        <v>0</v>
      </c>
      <c r="DE51" s="28">
        <f>SUBTOTAL(109,SuiviEquipes7[Colonne107])</f>
        <v>34</v>
      </c>
      <c r="DF51" s="28">
        <f>SUBTOTAL(109,SuiviEquipes7[Colonne108])</f>
        <v>34</v>
      </c>
      <c r="DG51" s="28">
        <f>SUBTOTAL(109,SuiviEquipes7[Colonne109])</f>
        <v>34</v>
      </c>
      <c r="DH51" s="28">
        <f>SUBTOTAL(109,SuiviEquipes7[Colonne110])</f>
        <v>34</v>
      </c>
      <c r="DI51" s="28">
        <f>SUBTOTAL(109,SuiviEquipes7[Colonne111])</f>
        <v>34</v>
      </c>
      <c r="DJ51" s="28">
        <f>SUBTOTAL(109,SuiviEquipes7[Colonne112])</f>
        <v>0</v>
      </c>
      <c r="DK51" s="28">
        <f>SUBTOTAL(109,SuiviEquipes7[Colonne113])</f>
        <v>0</v>
      </c>
      <c r="DL51" s="28">
        <f>SUBTOTAL(109,SuiviEquipes7[Colonne114])</f>
        <v>34</v>
      </c>
      <c r="DM51" s="28">
        <f>SUBTOTAL(109,SuiviEquipes7[Colonne115])</f>
        <v>34</v>
      </c>
      <c r="DN51" s="28">
        <f>SUBTOTAL(109,SuiviEquipes7[Colonne116])</f>
        <v>34</v>
      </c>
      <c r="DO51" s="28">
        <f>SUBTOTAL(109,SuiviEquipes7[Colonne117])</f>
        <v>34</v>
      </c>
      <c r="DP51" s="28">
        <f>SUBTOTAL(109,SuiviEquipes7[Colonne118])</f>
        <v>34</v>
      </c>
      <c r="DQ51" s="28">
        <f>SUBTOTAL(109,SuiviEquipes7[Colonne119])</f>
        <v>0</v>
      </c>
      <c r="DR51" s="28">
        <f>SUBTOTAL(109,SuiviEquipes7[Colonne120])</f>
        <v>0</v>
      </c>
      <c r="DS51" s="28">
        <f>SUBTOTAL(109,SuiviEquipes7[Colonne121])</f>
        <v>34</v>
      </c>
      <c r="DT51" s="28">
        <f>SUBTOTAL(109,SuiviEquipes7[Colonne122])</f>
        <v>34</v>
      </c>
      <c r="DU51" s="28">
        <f>SUBTOTAL(109,SuiviEquipes7[Colonne123])</f>
        <v>34</v>
      </c>
      <c r="DV51" s="28">
        <f>SUBTOTAL(109,SuiviEquipes7[Colonne124])</f>
        <v>34</v>
      </c>
      <c r="DW51" s="28">
        <f>SUBTOTAL(109,SuiviEquipes7[Colonne125])</f>
        <v>34</v>
      </c>
      <c r="DX51" s="28">
        <f>SUBTOTAL(109,SuiviEquipes7[Colonne126])</f>
        <v>0</v>
      </c>
      <c r="DY51" s="28">
        <f>SUBTOTAL(109,SuiviEquipes7[Colonne127])</f>
        <v>0</v>
      </c>
      <c r="DZ51" s="28">
        <f>SUBTOTAL(109,SuiviEquipes7[Colonne128])</f>
        <v>34</v>
      </c>
      <c r="EA51" s="28">
        <f>SUBTOTAL(109,SuiviEquipes7[Colonne129])</f>
        <v>34</v>
      </c>
      <c r="EB51" s="28">
        <f>SUBTOTAL(109,SuiviEquipes7[Colonne130])</f>
        <v>34</v>
      </c>
      <c r="EC51" s="28">
        <f>SUBTOTAL(109,SuiviEquipes7[Colonne131])</f>
        <v>34</v>
      </c>
      <c r="ED51" s="28">
        <f>SUBTOTAL(109,SuiviEquipes7[Colonne132])</f>
        <v>34</v>
      </c>
      <c r="EE51" s="28">
        <f>SUBTOTAL(109,SuiviEquipes7[Colonne133])</f>
        <v>0</v>
      </c>
      <c r="EF51" s="28">
        <f>SUBTOTAL(109,SuiviEquipes7[Colonne134])</f>
        <v>0</v>
      </c>
      <c r="EG51" s="28">
        <f>SUBTOTAL(109,SuiviEquipes7[Colonne135])</f>
        <v>34</v>
      </c>
      <c r="EH51" s="28">
        <f>SUBTOTAL(109,SuiviEquipes7[Colonne136])</f>
        <v>34</v>
      </c>
      <c r="EI51" s="28">
        <f>SUBTOTAL(109,SuiviEquipes7[Colonne137])</f>
        <v>34</v>
      </c>
      <c r="EJ51" s="28">
        <f>SUBTOTAL(109,SuiviEquipes7[Colonne138])</f>
        <v>34</v>
      </c>
      <c r="EK51" s="28">
        <f>SUBTOTAL(109,SuiviEquipes7[Colonne139])</f>
        <v>34</v>
      </c>
      <c r="EL51" s="28">
        <f>SUBTOTAL(109,SuiviEquipes7[Colonne140])</f>
        <v>0</v>
      </c>
      <c r="EM51" s="28">
        <f>SUBTOTAL(109,SuiviEquipes7[Colonne141])</f>
        <v>0</v>
      </c>
      <c r="EN51" s="28">
        <f>SUBTOTAL(109,SuiviEquipes7[Colonne142])</f>
        <v>0</v>
      </c>
      <c r="EO51" s="28">
        <f>SUBTOTAL(109,SuiviEquipes7[Colonne143])</f>
        <v>32</v>
      </c>
      <c r="EP51" s="28">
        <f>SUBTOTAL(109,SuiviEquipes7[Colonne144])</f>
        <v>32</v>
      </c>
      <c r="EQ51" s="28">
        <f>SUBTOTAL(109,SuiviEquipes7[Colonne145])</f>
        <v>32</v>
      </c>
      <c r="ER51" s="28">
        <f>SUBTOTAL(109,SuiviEquipes7[Colonne146])</f>
        <v>32</v>
      </c>
      <c r="ES51" s="28">
        <f>SUBTOTAL(109,SuiviEquipes7[Colonne147])</f>
        <v>0</v>
      </c>
      <c r="ET51" s="28">
        <f>SUBTOTAL(109,SuiviEquipes7[Colonne148])</f>
        <v>0</v>
      </c>
      <c r="EU51" s="28">
        <f>SUBTOTAL(109,SuiviEquipes7[Colonne149])</f>
        <v>34</v>
      </c>
      <c r="EV51" s="28">
        <f>SUBTOTAL(109,SuiviEquipes7[Colonne150])</f>
        <v>34</v>
      </c>
      <c r="EW51" s="28">
        <f>SUBTOTAL(109,SuiviEquipes7[Colonne151])</f>
        <v>34</v>
      </c>
      <c r="EX51" s="28">
        <f>SUBTOTAL(109,SuiviEquipes7[Colonne152])</f>
        <v>0</v>
      </c>
      <c r="EY51" s="28">
        <f>SUBTOTAL(109,SuiviEquipes7[Colonne153])</f>
        <v>33</v>
      </c>
      <c r="EZ51" s="28">
        <f>SUBTOTAL(109,SuiviEquipes7[Colonne154])</f>
        <v>0</v>
      </c>
      <c r="FA51" s="28">
        <f>SUBTOTAL(109,SuiviEquipes7[Colonne155])</f>
        <v>0</v>
      </c>
      <c r="FB51" s="28">
        <f>SUBTOTAL(109,SuiviEquipes7[Colonne156])</f>
        <v>34</v>
      </c>
      <c r="FC51" s="28">
        <f>SUBTOTAL(109,SuiviEquipes7[Colonne157])</f>
        <v>34</v>
      </c>
      <c r="FD51" s="28">
        <f>SUBTOTAL(109,SuiviEquipes7[Colonne158])</f>
        <v>34</v>
      </c>
      <c r="FE51" s="28">
        <f>SUBTOTAL(109,SuiviEquipes7[Colonne159])</f>
        <v>0</v>
      </c>
      <c r="FF51" s="28">
        <f>SUBTOTAL(109,SuiviEquipes7[Colonne160])</f>
        <v>33</v>
      </c>
      <c r="FG51" s="28">
        <f>SUBTOTAL(109,SuiviEquipes7[Colonne161])</f>
        <v>0</v>
      </c>
      <c r="FH51" s="28">
        <f>SUBTOTAL(109,SuiviEquipes7[Colonne162])</f>
        <v>0</v>
      </c>
      <c r="FI51" s="28">
        <f>SUBTOTAL(109,SuiviEquipes7[Colonne163])</f>
        <v>34</v>
      </c>
      <c r="FJ51" s="28">
        <f>SUBTOTAL(109,SuiviEquipes7[Colonne164])</f>
        <v>34</v>
      </c>
      <c r="FK51" s="28">
        <f>SUBTOTAL(109,SuiviEquipes7[Colonne165])</f>
        <v>34</v>
      </c>
      <c r="FL51" s="28">
        <f>SUBTOTAL(109,SuiviEquipes7[Colonne166])</f>
        <v>34</v>
      </c>
      <c r="FM51" s="28">
        <f>SUBTOTAL(109,SuiviEquipes7[Colonne167])</f>
        <v>34</v>
      </c>
      <c r="FN51" s="28">
        <f>SUBTOTAL(109,SuiviEquipes7[Colonne168])</f>
        <v>0</v>
      </c>
      <c r="FO51" s="28">
        <f>SUBTOTAL(109,SuiviEquipes7[Colonne169])</f>
        <v>0</v>
      </c>
      <c r="FP51" s="28">
        <f>SUBTOTAL(109,SuiviEquipes7[Colonne170])</f>
        <v>34</v>
      </c>
      <c r="FQ51" s="28">
        <f>SUBTOTAL(109,SuiviEquipes7[Colonne171])</f>
        <v>34</v>
      </c>
      <c r="FR51" s="28">
        <f>SUBTOTAL(109,SuiviEquipes7[Colonne172])</f>
        <v>34</v>
      </c>
      <c r="FS51" s="28">
        <f>SUBTOTAL(109,SuiviEquipes7[Colonne173])</f>
        <v>33</v>
      </c>
      <c r="FT51" s="28">
        <f>SUBTOTAL(109,SuiviEquipes7[Colonne174])</f>
        <v>34</v>
      </c>
      <c r="FU51" s="28">
        <f>SUBTOTAL(109,SuiviEquipes7[Colonne175])</f>
        <v>0</v>
      </c>
      <c r="FV51" s="28">
        <f>SUBTOTAL(109,SuiviEquipes7[Colonne176])</f>
        <v>0</v>
      </c>
      <c r="FW51" s="28">
        <f>SUBTOTAL(109,SuiviEquipes7[Colonne177])</f>
        <v>34</v>
      </c>
      <c r="FX51" s="28">
        <f>SUBTOTAL(109,SuiviEquipes7[Colonne178])</f>
        <v>34</v>
      </c>
      <c r="FY51" s="28">
        <f>SUBTOTAL(109,SuiviEquipes7[Colonne179])</f>
        <v>34</v>
      </c>
      <c r="FZ51" s="28">
        <f>SUBTOTAL(109,SuiviEquipes7[Colonne180])</f>
        <v>0</v>
      </c>
      <c r="GA51" s="28">
        <f>SUBTOTAL(109,SuiviEquipes7[Colonne181])</f>
        <v>32</v>
      </c>
      <c r="GB51" s="28">
        <f>SUBTOTAL(109,SuiviEquipes7[Colonne182])</f>
        <v>0</v>
      </c>
      <c r="GC51" s="28">
        <f>SUBTOTAL(109,SuiviEquipes7[Colonne183])</f>
        <v>0</v>
      </c>
      <c r="GD51" s="28">
        <f>SUBTOTAL(109,SuiviEquipes7[Colonne184])</f>
        <v>34</v>
      </c>
      <c r="GE51" s="28">
        <f>SUBTOTAL(109,SuiviEquipes7[Colonne185])</f>
        <v>34</v>
      </c>
      <c r="GF51" s="28">
        <f>SUBTOTAL(109,SuiviEquipes7[Colonne186])</f>
        <v>34</v>
      </c>
      <c r="GG51" s="28">
        <f>SUBTOTAL(109,SuiviEquipes7[Colonne187])</f>
        <v>34</v>
      </c>
      <c r="GH51" s="28">
        <f>SUBTOTAL(109,SuiviEquipes7[Colonne188])</f>
        <v>34</v>
      </c>
      <c r="GI51" s="28">
        <f>SUBTOTAL(109,SuiviEquipes7[Colonne189])</f>
        <v>0</v>
      </c>
      <c r="GJ51" s="28">
        <f>SUBTOTAL(109,SuiviEquipes7[Colonne190])</f>
        <v>0</v>
      </c>
      <c r="GK51" s="28">
        <f>SUBTOTAL(109,SuiviEquipes7[Colonne191])</f>
        <v>0</v>
      </c>
      <c r="GL51" s="28">
        <f>SUBTOTAL(109,SuiviEquipes7[Colonne192])</f>
        <v>34</v>
      </c>
      <c r="GM51" s="28">
        <f>SUBTOTAL(109,SuiviEquipes7[Colonne193])</f>
        <v>33</v>
      </c>
      <c r="GN51" s="28">
        <f>SUBTOTAL(109,SuiviEquipes7[Colonne194])</f>
        <v>34</v>
      </c>
      <c r="GO51" s="28">
        <f>SUBTOTAL(109,SuiviEquipes7[Colonne195])</f>
        <v>34</v>
      </c>
      <c r="GP51" s="28">
        <f>SUBTOTAL(109,SuiviEquipes7[Colonne196])</f>
        <v>0</v>
      </c>
      <c r="GQ51" s="28">
        <f>SUBTOTAL(109,SuiviEquipes7[Colonne197])</f>
        <v>0</v>
      </c>
      <c r="GR51" s="28">
        <f>SUBTOTAL(109,SuiviEquipes7[Colonne198])</f>
        <v>34</v>
      </c>
      <c r="GS51" s="28">
        <f>SUBTOTAL(109,SuiviEquipes7[Colonne199])</f>
        <v>34</v>
      </c>
      <c r="GT51" s="28">
        <f>SUBTOTAL(109,SuiviEquipes7[Colonne200])</f>
        <v>34</v>
      </c>
      <c r="GU51" s="28">
        <f>SUBTOTAL(109,SuiviEquipes7[Colonne201])</f>
        <v>34</v>
      </c>
      <c r="GV51" s="28">
        <f>SUBTOTAL(109,SuiviEquipes7[Colonne202])</f>
        <v>34</v>
      </c>
      <c r="GW51" s="28">
        <f>SUBTOTAL(109,SuiviEquipes7[Colonne203])</f>
        <v>0</v>
      </c>
      <c r="GX51" s="28">
        <f>SUBTOTAL(109,SuiviEquipes7[Colonne204])</f>
        <v>0</v>
      </c>
      <c r="GY51" s="28">
        <f>SUBTOTAL(109,SuiviEquipes7[Colonne205])</f>
        <v>34</v>
      </c>
      <c r="GZ51" s="28">
        <f>SUBTOTAL(109,SuiviEquipes7[Colonne206])</f>
        <v>34</v>
      </c>
      <c r="HA51" s="28">
        <f>SUBTOTAL(109,SuiviEquipes7[Colonne207])</f>
        <v>34</v>
      </c>
      <c r="HB51" s="28">
        <f>SUBTOTAL(109,SuiviEquipes7[Colonne208])</f>
        <v>34</v>
      </c>
      <c r="HC51" s="28">
        <f>SUBTOTAL(109,SuiviEquipes7[Colonne209])</f>
        <v>34</v>
      </c>
      <c r="HD51" s="28">
        <f>SUBTOTAL(109,SuiviEquipes7[Colonne210])</f>
        <v>0</v>
      </c>
      <c r="HE51" s="28">
        <f>SUBTOTAL(109,SuiviEquipes7[Colonne211])</f>
        <v>0</v>
      </c>
      <c r="HF51" s="28">
        <f>SUBTOTAL(109,SuiviEquipes7[Colonne212])</f>
        <v>34</v>
      </c>
      <c r="HG51" s="28">
        <f>SUBTOTAL(109,SuiviEquipes7[Colonne213])</f>
        <v>34</v>
      </c>
      <c r="HH51" s="28">
        <f>SUBTOTAL(109,SuiviEquipes7[Colonne214])</f>
        <v>34</v>
      </c>
      <c r="HI51" s="28">
        <f>SUBTOTAL(109,SuiviEquipes7[Colonne215])</f>
        <v>34</v>
      </c>
      <c r="HJ51" s="28">
        <f>SUBTOTAL(109,SuiviEquipes7[Colonne216])</f>
        <v>34</v>
      </c>
      <c r="HK51" s="28">
        <f>SUBTOTAL(109,SuiviEquipes7[Colonne217])</f>
        <v>0</v>
      </c>
      <c r="HL51" s="28">
        <f>SUBTOTAL(109,SuiviEquipes7[Colonne218])</f>
        <v>0</v>
      </c>
      <c r="HM51" s="28">
        <f>SUBTOTAL(109,SuiviEquipes7[Colonne219])</f>
        <v>34</v>
      </c>
      <c r="HN51" s="28">
        <f>SUBTOTAL(109,SuiviEquipes7[Colonne220])</f>
        <v>34</v>
      </c>
      <c r="HO51" s="28">
        <f>SUBTOTAL(109,SuiviEquipes7[Colonne221])</f>
        <v>34</v>
      </c>
      <c r="HP51" s="28">
        <f>SUBTOTAL(109,SuiviEquipes7[Colonne222])</f>
        <v>34</v>
      </c>
      <c r="HQ51" s="28">
        <f>SUBTOTAL(109,SuiviEquipes7[Colonne223])</f>
        <v>33</v>
      </c>
      <c r="HR51" s="28">
        <f>SUBTOTAL(109,SuiviEquipes7[Colonne224])</f>
        <v>0</v>
      </c>
      <c r="HS51" s="28">
        <f>SUBTOTAL(109,SuiviEquipes7[Colonne225])</f>
        <v>0</v>
      </c>
      <c r="HT51" s="28">
        <f>SUBTOTAL(109,SuiviEquipes7[Colonne226])</f>
        <v>0</v>
      </c>
      <c r="HU51" s="28">
        <f>SUBTOTAL(109,SuiviEquipes7[Colonne227])</f>
        <v>33</v>
      </c>
      <c r="HV51" s="28">
        <f>SUBTOTAL(109,SuiviEquipes7[Colonne228])</f>
        <v>33</v>
      </c>
      <c r="HW51" s="28">
        <f>SUBTOTAL(109,SuiviEquipes7[Colonne229])</f>
        <v>33</v>
      </c>
      <c r="HX51" s="28">
        <f>SUBTOTAL(109,SuiviEquipes7[Colonne230])</f>
        <v>33</v>
      </c>
      <c r="HY51" s="28">
        <f>SUBTOTAL(109,SuiviEquipes7[Colonne231])</f>
        <v>0</v>
      </c>
      <c r="HZ51" s="28">
        <f>SUBTOTAL(109,SuiviEquipes7[Colonne232])</f>
        <v>0</v>
      </c>
      <c r="IA51" s="28">
        <f>SUBTOTAL(109,SuiviEquipes7[Colonne233])</f>
        <v>34</v>
      </c>
      <c r="IB51" s="28">
        <f>SUBTOTAL(109,SuiviEquipes7[Colonne234])</f>
        <v>34</v>
      </c>
      <c r="IC51" s="28">
        <f>SUBTOTAL(109,SuiviEquipes7[Colonne235])</f>
        <v>34</v>
      </c>
      <c r="ID51" s="28">
        <f>SUBTOTAL(109,SuiviEquipes7[Colonne236])</f>
        <v>34</v>
      </c>
      <c r="IE51" s="28">
        <f>SUBTOTAL(109,SuiviEquipes7[Colonne237])</f>
        <v>34</v>
      </c>
      <c r="IF51" s="28">
        <f>SUBTOTAL(109,SuiviEquipes7[Colonne238])</f>
        <v>0</v>
      </c>
      <c r="IG51" s="28">
        <f>SUBTOTAL(109,SuiviEquipes7[Colonne239])</f>
        <v>0</v>
      </c>
      <c r="IH51" s="28">
        <f>SUBTOTAL(109,SuiviEquipes7[Colonne240])</f>
        <v>34</v>
      </c>
      <c r="II51" s="28">
        <f>SUBTOTAL(109,SuiviEquipes7[Colonne241])</f>
        <v>34</v>
      </c>
      <c r="IJ51" s="28">
        <f>SUBTOTAL(109,SuiviEquipes7[Colonne242])</f>
        <v>34</v>
      </c>
      <c r="IK51" s="28">
        <f>SUBTOTAL(109,SuiviEquipes7[Colonne243])</f>
        <v>34</v>
      </c>
      <c r="IL51" s="28">
        <f>SUBTOTAL(109,SuiviEquipes7[Colonne244])</f>
        <v>34</v>
      </c>
      <c r="IM51" s="28">
        <f>SUBTOTAL(109,SuiviEquipes7[Colonne245])</f>
        <v>0</v>
      </c>
      <c r="IN51" s="28">
        <f>SUBTOTAL(109,SuiviEquipes7[Colonne246])</f>
        <v>0</v>
      </c>
      <c r="IO51" s="28">
        <f>SUBTOTAL(109,SuiviEquipes7[Colonne247])</f>
        <v>33</v>
      </c>
      <c r="IP51" s="28">
        <f>SUBTOTAL(109,SuiviEquipes7[Colonne248])</f>
        <v>33</v>
      </c>
      <c r="IQ51" s="28">
        <f>SUBTOTAL(109,SuiviEquipes7[Colonne249])</f>
        <v>33</v>
      </c>
      <c r="IR51" s="28">
        <f>SUBTOTAL(109,SuiviEquipes7[Colonne250])</f>
        <v>33</v>
      </c>
      <c r="IS51" s="28">
        <f>SUBTOTAL(109,SuiviEquipes7[Colonne251])</f>
        <v>33</v>
      </c>
      <c r="IT51" s="28">
        <f>SUBTOTAL(109,SuiviEquipes7[Colonne252])</f>
        <v>0</v>
      </c>
      <c r="IU51" s="28">
        <f>SUBTOTAL(109,SuiviEquipes7[Colonne253])</f>
        <v>0</v>
      </c>
      <c r="IV51" s="28">
        <f>SUBTOTAL(109,SuiviEquipes7[Colonne254])</f>
        <v>33</v>
      </c>
      <c r="IW51" s="28">
        <f>SUBTOTAL(109,SuiviEquipes7[Colonne255])</f>
        <v>33</v>
      </c>
      <c r="IX51" s="28">
        <f>SUBTOTAL(109,SuiviEquipes7[Colonne256])</f>
        <v>33</v>
      </c>
      <c r="IY51" s="28">
        <f>SUBTOTAL(109,SuiviEquipes7[Colonne257])</f>
        <v>33</v>
      </c>
      <c r="IZ51" s="28">
        <f>SUBTOTAL(109,SuiviEquipes7[Colonne258])</f>
        <v>0</v>
      </c>
      <c r="JA51" s="28">
        <f>SUBTOTAL(109,SuiviEquipes7[Colonne259])</f>
        <v>0</v>
      </c>
      <c r="JB51" s="28">
        <f>SUBTOTAL(109,SuiviEquipes7[Colonne260])</f>
        <v>0</v>
      </c>
      <c r="JC51" s="28">
        <f>SUBTOTAL(109,SuiviEquipes7[Colonne261])</f>
        <v>34</v>
      </c>
      <c r="JD51" s="28">
        <f>SUBTOTAL(109,SuiviEquipes7[Colonne262])</f>
        <v>34</v>
      </c>
      <c r="JE51" s="28">
        <f>SUBTOTAL(109,SuiviEquipes7[Colonne263])</f>
        <v>34</v>
      </c>
      <c r="JF51" s="28">
        <f>SUBTOTAL(109,SuiviEquipes7[Colonne264])</f>
        <v>34</v>
      </c>
      <c r="JG51" s="28">
        <f>SUBTOTAL(109,SuiviEquipes7[Colonne265])</f>
        <v>34</v>
      </c>
      <c r="JH51" s="28">
        <f>SUBTOTAL(109,SuiviEquipes7[Colonne266])</f>
        <v>0</v>
      </c>
      <c r="JI51" s="28">
        <f>SUBTOTAL(109,SuiviEquipes7[Colonne267])</f>
        <v>0</v>
      </c>
      <c r="JJ51" s="28">
        <f>SUBTOTAL(109,SuiviEquipes7[Colonne268])</f>
        <v>34</v>
      </c>
      <c r="JK51" s="28">
        <f>SUBTOTAL(109,SuiviEquipes7[Colonne269])</f>
        <v>34</v>
      </c>
      <c r="JL51" s="28">
        <f>SUBTOTAL(109,SuiviEquipes7[Colonne270])</f>
        <v>34</v>
      </c>
      <c r="JM51" s="28">
        <f>SUBTOTAL(109,SuiviEquipes7[Colonne271])</f>
        <v>34</v>
      </c>
      <c r="JN51" s="28">
        <f>SUBTOTAL(109,SuiviEquipes7[Colonne272])</f>
        <v>34</v>
      </c>
      <c r="JO51" s="28">
        <f>SUBTOTAL(109,SuiviEquipes7[Colonne273])</f>
        <v>0</v>
      </c>
      <c r="JP51" s="28">
        <f>SUBTOTAL(109,SuiviEquipes7[Colonne274])</f>
        <v>0</v>
      </c>
      <c r="JQ51" s="28">
        <f>SUBTOTAL(109,SuiviEquipes7[Colonne275])</f>
        <v>34</v>
      </c>
      <c r="JR51" s="28">
        <f>SUBTOTAL(109,SuiviEquipes7[Colonne276])</f>
        <v>34</v>
      </c>
      <c r="JS51" s="28">
        <f>SUBTOTAL(109,SuiviEquipes7[Colonne277])</f>
        <v>34</v>
      </c>
      <c r="JT51" s="28">
        <f>SUBTOTAL(109,SuiviEquipes7[Colonne278])</f>
        <v>34</v>
      </c>
      <c r="JU51" s="28">
        <f>SUBTOTAL(109,SuiviEquipes7[Colonne279])</f>
        <v>34</v>
      </c>
      <c r="JV51" s="28">
        <f>SUBTOTAL(109,SuiviEquipes7[Colonne280])</f>
        <v>0</v>
      </c>
      <c r="JW51" s="28">
        <f>SUBTOTAL(109,SuiviEquipes7[Colonne281])</f>
        <v>0</v>
      </c>
      <c r="JX51" s="28">
        <f>SUBTOTAL(109,SuiviEquipes7[Colonne282])</f>
        <v>34</v>
      </c>
      <c r="JY51" s="28">
        <f>SUBTOTAL(109,SuiviEquipes7[Colonne283])</f>
        <v>34</v>
      </c>
      <c r="JZ51" s="28">
        <f>SUBTOTAL(109,SuiviEquipes7[Colonne284])</f>
        <v>34</v>
      </c>
      <c r="KA51" s="28">
        <f>SUBTOTAL(109,SuiviEquipes7[Colonne285])</f>
        <v>34</v>
      </c>
      <c r="KB51" s="28">
        <f>SUBTOTAL(109,SuiviEquipes7[Colonne286])</f>
        <v>34</v>
      </c>
      <c r="KC51" s="28">
        <f>SUBTOTAL(109,SuiviEquipes7[Colonne287])</f>
        <v>0</v>
      </c>
      <c r="KD51" s="28">
        <f>SUBTOTAL(109,SuiviEquipes7[Colonne288])</f>
        <v>0</v>
      </c>
      <c r="KE51" s="28">
        <f>SUBTOTAL(109,SuiviEquipes7[Colonne289])</f>
        <v>34</v>
      </c>
      <c r="KF51" s="28">
        <f>SUBTOTAL(109,SuiviEquipes7[Colonne290])</f>
        <v>34</v>
      </c>
      <c r="KG51" s="28">
        <f>SUBTOTAL(109,SuiviEquipes7[Colonne291])</f>
        <v>34</v>
      </c>
      <c r="KH51" s="28">
        <f>SUBTOTAL(109,SuiviEquipes7[Colonne292])</f>
        <v>34</v>
      </c>
      <c r="KI51" s="28">
        <f>SUBTOTAL(109,SuiviEquipes7[Colonne293])</f>
        <v>34</v>
      </c>
      <c r="KJ51" s="28">
        <f>SUBTOTAL(109,SuiviEquipes7[Colonne294])</f>
        <v>0</v>
      </c>
      <c r="KK51" s="28">
        <f>SUBTOTAL(109,SuiviEquipes7[Colonne295])</f>
        <v>0</v>
      </c>
      <c r="KL51" s="28">
        <f>SUBTOTAL(109,SuiviEquipes7[Colonne296])</f>
        <v>34</v>
      </c>
      <c r="KM51" s="28">
        <f>SUBTOTAL(109,SuiviEquipes7[Colonne297])</f>
        <v>34</v>
      </c>
      <c r="KN51" s="28">
        <f>SUBTOTAL(109,SuiviEquipes7[Colonne298])</f>
        <v>33</v>
      </c>
      <c r="KO51" s="28">
        <f>SUBTOTAL(109,SuiviEquipes7[Colonne299])</f>
        <v>34</v>
      </c>
      <c r="KP51" s="28">
        <f>SUBTOTAL(109,SuiviEquipes7[Colonne300])</f>
        <v>34</v>
      </c>
      <c r="KQ51" s="28">
        <f>SUBTOTAL(109,SuiviEquipes7[Colonne301])</f>
        <v>0</v>
      </c>
      <c r="KR51" s="28">
        <f>SUBTOTAL(109,SuiviEquipes7[Colonne302])</f>
        <v>0</v>
      </c>
      <c r="KS51" s="28">
        <f>SUBTOTAL(109,SuiviEquipes7[Colonne303])</f>
        <v>34</v>
      </c>
      <c r="KT51" s="28">
        <f>SUBTOTAL(109,SuiviEquipes7[Colonne304])</f>
        <v>34</v>
      </c>
      <c r="KU51" s="28">
        <f>SUBTOTAL(109,SuiviEquipes7[Colonne305])</f>
        <v>34</v>
      </c>
      <c r="KV51" s="28">
        <f>SUBTOTAL(109,SuiviEquipes7[Colonne306])</f>
        <v>34</v>
      </c>
      <c r="KW51" s="28">
        <f>SUBTOTAL(109,SuiviEquipes7[Colonne307])</f>
        <v>34</v>
      </c>
      <c r="KX51" s="28">
        <f>SUBTOTAL(109,SuiviEquipes7[Colonne308])</f>
        <v>0</v>
      </c>
      <c r="KY51" s="28">
        <f>SUBTOTAL(109,SuiviEquipes7[Colonne309])</f>
        <v>0</v>
      </c>
      <c r="KZ51" s="28">
        <f>SUBTOTAL(109,SuiviEquipes7[Colonne310])</f>
        <v>34</v>
      </c>
      <c r="LA51" s="28">
        <f>SUBTOTAL(109,SuiviEquipes7[Colonne311])</f>
        <v>34</v>
      </c>
      <c r="LB51" s="28">
        <f>SUBTOTAL(109,SuiviEquipes7[Colonne312])</f>
        <v>34</v>
      </c>
      <c r="LC51" s="28">
        <f>SUBTOTAL(109,SuiviEquipes7[Colonne313])</f>
        <v>34</v>
      </c>
      <c r="LD51" s="28">
        <f>SUBTOTAL(109,SuiviEquipes7[Colonne314])</f>
        <v>34</v>
      </c>
      <c r="LE51" s="28">
        <f>SUBTOTAL(109,SuiviEquipes7[Colonne315])</f>
        <v>0</v>
      </c>
      <c r="LF51" s="28">
        <f>SUBTOTAL(109,SuiviEquipes7[Colonne316])</f>
        <v>0</v>
      </c>
      <c r="LG51" s="28">
        <f>SUBTOTAL(109,SuiviEquipes7[Colonne317])</f>
        <v>34</v>
      </c>
      <c r="LH51" s="28">
        <f>SUBTOTAL(109,SuiviEquipes7[Colonne318])</f>
        <v>34</v>
      </c>
      <c r="LI51" s="28">
        <f>SUBTOTAL(109,SuiviEquipes7[Colonne319])</f>
        <v>34</v>
      </c>
      <c r="LJ51" s="28">
        <f>SUBTOTAL(109,SuiviEquipes7[Colonne320])</f>
        <v>33</v>
      </c>
      <c r="LK51" s="28">
        <f>SUBTOTAL(109,SuiviEquipes7[Colonne321])</f>
        <v>34</v>
      </c>
      <c r="LL51" s="28">
        <f>SUBTOTAL(109,SuiviEquipes7[Colonne322])</f>
        <v>0</v>
      </c>
      <c r="LM51" s="28">
        <f>SUBTOTAL(109,SuiviEquipes7[Colonne323])</f>
        <v>0</v>
      </c>
      <c r="LN51" s="28">
        <f>SUBTOTAL(109,SuiviEquipes7[Colonne324])</f>
        <v>34</v>
      </c>
      <c r="LO51" s="28">
        <f>SUBTOTAL(109,SuiviEquipes7[Colonne325])</f>
        <v>34</v>
      </c>
      <c r="LP51" s="28">
        <f>SUBTOTAL(109,SuiviEquipes7[Colonne326])</f>
        <v>34</v>
      </c>
      <c r="LQ51" s="28">
        <f>SUBTOTAL(109,SuiviEquipes7[Colonne327])</f>
        <v>34</v>
      </c>
      <c r="LR51" s="28">
        <f>SUBTOTAL(109,SuiviEquipes7[Colonne328])</f>
        <v>34</v>
      </c>
      <c r="LS51" s="28">
        <f>SUBTOTAL(109,SuiviEquipes7[Colonne329])</f>
        <v>0</v>
      </c>
      <c r="LT51" s="28">
        <f>SUBTOTAL(109,SuiviEquipes7[Colonne330])</f>
        <v>0</v>
      </c>
      <c r="LU51" s="28">
        <f>SUBTOTAL(109,SuiviEquipes7[Colonne331])</f>
        <v>34</v>
      </c>
      <c r="LV51" s="28">
        <f>SUBTOTAL(109,SuiviEquipes7[Colonne332])</f>
        <v>34</v>
      </c>
      <c r="LW51" s="28">
        <f>SUBTOTAL(109,SuiviEquipes7[Colonne333])</f>
        <v>34</v>
      </c>
      <c r="LX51" s="28">
        <f>SUBTOTAL(109,SuiviEquipes7[Colonne334])</f>
        <v>34</v>
      </c>
      <c r="LY51" s="28">
        <f>SUBTOTAL(109,SuiviEquipes7[Colonne335])</f>
        <v>34</v>
      </c>
      <c r="LZ51" s="28">
        <f>SUBTOTAL(109,SuiviEquipes7[Colonne336])</f>
        <v>0</v>
      </c>
      <c r="MA51" s="28">
        <f>SUBTOTAL(109,SuiviEquipes7[Colonne337])</f>
        <v>0</v>
      </c>
      <c r="MB51" s="28">
        <f>SUBTOTAL(109,SuiviEquipes7[Colonne338])</f>
        <v>34</v>
      </c>
      <c r="MC51" s="28">
        <f>SUBTOTAL(109,SuiviEquipes7[Colonne339])</f>
        <v>34</v>
      </c>
      <c r="MD51" s="28">
        <f>SUBTOTAL(109,SuiviEquipes7[Colonne340])</f>
        <v>34</v>
      </c>
      <c r="ME51" s="28">
        <f>SUBTOTAL(109,SuiviEquipes7[Colonne341])</f>
        <v>34</v>
      </c>
      <c r="MF51" s="28">
        <f>SUBTOTAL(109,SuiviEquipes7[Colonne342])</f>
        <v>34</v>
      </c>
      <c r="MG51" s="28">
        <f>SUBTOTAL(109,SuiviEquipes7[Colonne343])</f>
        <v>0</v>
      </c>
      <c r="MH51" s="28">
        <f>SUBTOTAL(109,SuiviEquipes7[Colonne344])</f>
        <v>0</v>
      </c>
      <c r="MI51" s="28">
        <f>SUBTOTAL(109,SuiviEquipes7[Colonne345])</f>
        <v>34</v>
      </c>
      <c r="MJ51" s="28">
        <f>SUBTOTAL(109,SuiviEquipes7[Colonne346])</f>
        <v>34</v>
      </c>
      <c r="MK51" s="28">
        <f>SUBTOTAL(109,SuiviEquipes7[Colonne347])</f>
        <v>34</v>
      </c>
      <c r="ML51" s="28">
        <f>SUBTOTAL(109,SuiviEquipes7[Colonne348])</f>
        <v>34</v>
      </c>
      <c r="MM51" s="28">
        <f>SUBTOTAL(109,SuiviEquipes7[Colonne349])</f>
        <v>34</v>
      </c>
      <c r="MN51" s="28">
        <f>SUBTOTAL(109,SuiviEquipes7[Colonne350])</f>
        <v>0</v>
      </c>
      <c r="MO51" s="28">
        <f>SUBTOTAL(109,SuiviEquipes7[Colonne351])</f>
        <v>0</v>
      </c>
      <c r="MP51" s="28">
        <f>SUBTOTAL(109,SuiviEquipes7[Colonne352])</f>
        <v>34</v>
      </c>
      <c r="MQ51" s="28">
        <f>SUBTOTAL(109,SuiviEquipes7[Colonne353])</f>
        <v>34</v>
      </c>
      <c r="MR51" s="28">
        <f>SUBTOTAL(109,SuiviEquipes7[Colonne354])</f>
        <v>34</v>
      </c>
      <c r="MS51" s="28">
        <f>SUBTOTAL(109,SuiviEquipes7[Colonne355])</f>
        <v>34</v>
      </c>
      <c r="MT51" s="28">
        <f>SUBTOTAL(109,SuiviEquipes7[Colonne356])</f>
        <v>34</v>
      </c>
      <c r="MU51" s="28">
        <f>SUBTOTAL(109,SuiviEquipes7[Colonne357])</f>
        <v>0</v>
      </c>
      <c r="MV51" s="28">
        <f>SUBTOTAL(109,SuiviEquipes7[Colonne358])</f>
        <v>0</v>
      </c>
      <c r="MW51" s="28">
        <f>SUBTOTAL(109,SuiviEquipes7[Colonne359])</f>
        <v>34</v>
      </c>
      <c r="MX51" s="28">
        <f>SUBTOTAL(109,SuiviEquipes7[Colonne360])</f>
        <v>34</v>
      </c>
      <c r="MY51" s="28">
        <f>SUBTOTAL(109,SuiviEquipes7[Colonne361])</f>
        <v>34</v>
      </c>
      <c r="MZ51" s="28">
        <f>SUBTOTAL(109,SuiviEquipes7[Colonne362])</f>
        <v>34</v>
      </c>
      <c r="NA51" s="28">
        <f>SUBTOTAL(109,SuiviEquipes7[Colonne363])</f>
        <v>34</v>
      </c>
      <c r="NB51" s="28">
        <f>SUBTOTAL(109,SuiviEquipes7[Colonne364])</f>
        <v>0</v>
      </c>
      <c r="NC51" s="28">
        <f>SUBTOTAL(109,SuiviEquipes7[Colonne365])</f>
        <v>0</v>
      </c>
      <c r="ND51" s="28">
        <f>SUBTOTAL(109,SuiviEquipes7[Colonne366])</f>
        <v>34</v>
      </c>
      <c r="NE51" s="28">
        <f>SUBTOTAL(109,SuiviEquipes7[Colonne367])</f>
        <v>34</v>
      </c>
      <c r="NF51" s="28">
        <f>SUBTOTAL(109,SuiviEquipes7[Colonne368])</f>
        <v>34</v>
      </c>
      <c r="NG51" s="28">
        <f>SUBTOTAL(109,SuiviEquipes7[Colonne369])</f>
        <v>34</v>
      </c>
      <c r="NH51" s="28">
        <f>SUBTOTAL(109,SuiviEquipes7[Colonne370])</f>
        <v>34</v>
      </c>
      <c r="NI51" s="28">
        <f>SUBTOTAL(109,SuiviEquipes7[Colonne371])</f>
        <v>0</v>
      </c>
      <c r="NJ51" s="28">
        <f>SUBTOTAL(109,SuiviEquipes7[Colonne372])</f>
        <v>0</v>
      </c>
      <c r="NK51" s="28">
        <f>SUBTOTAL(109,SuiviEquipes7[Colonne373])</f>
        <v>34</v>
      </c>
      <c r="NL51" s="28">
        <f>SUBTOTAL(109,SuiviEquipes7[Colonne374])</f>
        <v>34</v>
      </c>
      <c r="NM51" s="28">
        <f>SUBTOTAL(109,SuiviEquipes7[Colonne375])</f>
        <v>34</v>
      </c>
      <c r="NN51" s="28">
        <f>SUBTOTAL(109,SuiviEquipes7[Colonne376])</f>
        <v>34</v>
      </c>
      <c r="NO51" s="28">
        <f>SUBTOTAL(109,SuiviEquipes7[Colonne377])</f>
        <v>34</v>
      </c>
      <c r="NP51" s="28">
        <f>SUBTOTAL(109,SuiviEquipes7[Colonne378])</f>
        <v>0</v>
      </c>
      <c r="NQ51" s="28">
        <f>SUBTOTAL(109,SuiviEquipes7[Colonne379])</f>
        <v>0</v>
      </c>
      <c r="NR51" s="28">
        <f>SUBTOTAL(109,SuiviEquipes7[Colonne380])</f>
        <v>34</v>
      </c>
      <c r="NS51" s="28">
        <f>SUBTOTAL(109,SuiviEquipes7[Colonne381])</f>
        <v>34</v>
      </c>
      <c r="NT51" s="28">
        <f>SUBTOTAL(109,SuiviEquipes7[Colonne382])</f>
        <v>34</v>
      </c>
      <c r="NU51" s="28">
        <f>SUBTOTAL(109,SuiviEquipes7[Colonne383])</f>
        <v>34</v>
      </c>
      <c r="NV51" s="28">
        <f>SUBTOTAL(109,SuiviEquipes7[Colonne384])</f>
        <v>33.5</v>
      </c>
      <c r="NW51" s="28">
        <f>SUBTOTAL(109,SuiviEquipes7[Colonne385])</f>
        <v>0</v>
      </c>
      <c r="NX51" s="28">
        <f>SUBTOTAL(109,SuiviEquipes7[Colonne386])</f>
        <v>0</v>
      </c>
      <c r="NY51" s="28">
        <f>SUBTOTAL(109,SuiviEquipes7[Colonne387])</f>
        <v>31</v>
      </c>
      <c r="NZ51" s="28">
        <f>SUBTOTAL(109,SuiviEquipes7[Colonne388])</f>
        <v>30</v>
      </c>
      <c r="OA51" s="28">
        <f>SUBTOTAL(109,SuiviEquipes7[Colonne389])</f>
        <v>30</v>
      </c>
      <c r="OB51" s="28">
        <f>SUBTOTAL(109,SuiviEquipes7[Colonne390])</f>
        <v>0</v>
      </c>
      <c r="OC51" s="28">
        <f>SUBTOTAL(109,SuiviEquipes7[Colonne391])</f>
        <v>31</v>
      </c>
      <c r="OD51" s="28">
        <f>SUBTOTAL(109,SuiviEquipes7[Colonne392])</f>
        <v>0</v>
      </c>
      <c r="OE51" s="28">
        <f>SUBTOTAL(109,SuiviEquipes7[Colonne393])</f>
        <v>0</v>
      </c>
      <c r="OF51" s="28">
        <f>SUBTOTAL(109,SuiviEquipes7[Colonne394])</f>
        <v>31</v>
      </c>
      <c r="OG51" s="28">
        <f>SUBTOTAL(109,SuiviEquipes7[Colonne395])</f>
        <v>31</v>
      </c>
      <c r="OH51" s="28">
        <f>SUBTOTAL(109,SuiviEquipes7[Colonne396])</f>
        <v>32</v>
      </c>
    </row>
    <row r="52" spans="1:399" s="3" customFormat="1" x14ac:dyDescent="0.3">
      <c r="A52" s="4"/>
      <c r="B52" s="4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8"/>
      <c r="AJ52" s="18"/>
      <c r="AK52" s="18"/>
      <c r="AL52" s="18"/>
      <c r="AM52" s="18"/>
      <c r="AN52" s="18"/>
      <c r="AO52" s="18"/>
      <c r="AP52" s="18"/>
      <c r="AQ52" s="18"/>
      <c r="AR52" s="18"/>
      <c r="AS52" s="18"/>
      <c r="AT52" s="18"/>
      <c r="AU52" s="18"/>
      <c r="AV52" s="18"/>
      <c r="AW52" s="18"/>
      <c r="AX52" s="18"/>
      <c r="AY52" s="18"/>
      <c r="AZ52" s="18"/>
      <c r="BA52" s="18"/>
      <c r="BB52" s="18"/>
      <c r="BC52" s="18"/>
      <c r="BD52" s="18"/>
      <c r="BE52" s="18"/>
      <c r="BF52" s="18"/>
      <c r="BG52" s="18"/>
      <c r="BH52" s="18"/>
      <c r="BI52" s="18"/>
      <c r="BJ52" s="18"/>
      <c r="BK52" s="18"/>
      <c r="BL52" s="18"/>
      <c r="BM52" s="18"/>
      <c r="BN52" s="18"/>
      <c r="BO52" s="18"/>
      <c r="BP52" s="18"/>
      <c r="BQ52" s="18"/>
      <c r="BR52" s="18"/>
      <c r="BS52" s="18"/>
      <c r="BT52" s="19"/>
      <c r="BU52" s="18"/>
      <c r="BV52" s="18"/>
      <c r="BW52" s="18"/>
      <c r="BX52" s="18"/>
      <c r="BY52" s="18"/>
      <c r="BZ52" s="18"/>
      <c r="CA52" s="18"/>
      <c r="CB52" s="18"/>
      <c r="CC52" s="18"/>
      <c r="CD52" s="18"/>
      <c r="CE52" s="18"/>
      <c r="CF52" s="18"/>
      <c r="CG52" s="18"/>
      <c r="CH52" s="18"/>
      <c r="CI52" s="18"/>
      <c r="CJ52" s="18"/>
      <c r="CK52" s="18"/>
      <c r="CL52" s="18"/>
      <c r="CM52" s="18"/>
      <c r="CN52" s="18"/>
      <c r="CO52" s="18"/>
      <c r="CP52" s="18"/>
      <c r="CQ52" s="18"/>
      <c r="CR52" s="18"/>
      <c r="CS52" s="18"/>
      <c r="CT52" s="18"/>
      <c r="CU52" s="18"/>
      <c r="CV52" s="18"/>
      <c r="CW52" s="18"/>
      <c r="CX52" s="18"/>
      <c r="CY52" s="18"/>
      <c r="CZ52" s="18"/>
      <c r="DA52" s="18"/>
      <c r="DB52" s="18"/>
      <c r="DC52" s="18"/>
      <c r="DD52" s="18"/>
      <c r="DE52" s="18"/>
      <c r="DF52" s="18"/>
      <c r="DG52" s="18"/>
      <c r="DH52" s="18"/>
      <c r="DI52" s="18"/>
      <c r="DJ52" s="18"/>
      <c r="DK52" s="18"/>
      <c r="DL52" s="18"/>
      <c r="DM52" s="18"/>
      <c r="DN52" s="17"/>
      <c r="DO52" s="17"/>
      <c r="DP52" s="17"/>
      <c r="DQ52" s="17"/>
      <c r="DR52" s="17"/>
      <c r="DS52" s="17"/>
      <c r="DT52" s="17"/>
      <c r="DU52" s="17"/>
      <c r="DV52" s="17"/>
      <c r="DW52" s="17"/>
      <c r="DX52" s="17"/>
      <c r="DY52" s="17"/>
      <c r="DZ52" s="17"/>
      <c r="EA52" s="17"/>
      <c r="EB52" s="17"/>
      <c r="EC52" s="17"/>
      <c r="ED52" s="17"/>
      <c r="EE52" s="17"/>
      <c r="EF52" s="17"/>
      <c r="EG52" s="17"/>
      <c r="EH52" s="17"/>
      <c r="EI52" s="17"/>
      <c r="EJ52" s="17"/>
      <c r="EK52" s="17"/>
      <c r="EL52" s="17"/>
      <c r="EM52" s="17"/>
      <c r="EN52" s="17"/>
      <c r="EO52" s="17"/>
      <c r="EP52" s="17"/>
      <c r="EQ52" s="17"/>
      <c r="ER52" s="17"/>
      <c r="ES52" s="17"/>
      <c r="ET52" s="17"/>
      <c r="EU52" s="17"/>
      <c r="EV52" s="17"/>
      <c r="EW52" s="17"/>
      <c r="EX52" s="17"/>
      <c r="EY52" s="17"/>
      <c r="EZ52" s="17"/>
      <c r="FA52" s="17"/>
      <c r="FB52" s="17"/>
      <c r="FC52" s="17"/>
      <c r="FD52" s="17"/>
      <c r="FE52" s="17"/>
      <c r="FF52" s="17"/>
      <c r="FG52" s="17"/>
      <c r="FH52" s="17"/>
      <c r="FI52" s="17"/>
      <c r="FJ52" s="17"/>
      <c r="FK52" s="17"/>
      <c r="FL52" s="17"/>
      <c r="FM52" s="17"/>
      <c r="FN52" s="17"/>
      <c r="FO52" s="17"/>
      <c r="FP52" s="17"/>
      <c r="FQ52" s="17"/>
      <c r="FR52" s="17"/>
      <c r="FS52" s="17"/>
      <c r="FT52" s="17"/>
      <c r="FU52" s="17"/>
      <c r="FV52" s="17"/>
      <c r="FW52" s="17"/>
      <c r="FX52" s="17"/>
      <c r="FY52" s="17"/>
      <c r="FZ52" s="17"/>
      <c r="GA52" s="17"/>
      <c r="GB52" s="17"/>
      <c r="GC52" s="17"/>
      <c r="GD52" s="17"/>
      <c r="GE52" s="17"/>
      <c r="GF52" s="17"/>
      <c r="GG52" s="17"/>
      <c r="GH52" s="17"/>
      <c r="GI52" s="17"/>
      <c r="GJ52" s="17"/>
      <c r="GK52" s="17"/>
      <c r="GL52" s="17"/>
      <c r="GM52" s="17"/>
      <c r="GN52" s="17"/>
      <c r="GO52" s="17"/>
      <c r="GP52" s="17"/>
      <c r="GQ52" s="17"/>
      <c r="GR52" s="17"/>
      <c r="GS52" s="17"/>
      <c r="GT52" s="17"/>
      <c r="GU52" s="17"/>
      <c r="GV52" s="17"/>
      <c r="GW52" s="17"/>
      <c r="GX52" s="17"/>
      <c r="GY52" s="17"/>
      <c r="GZ52" s="17"/>
      <c r="HA52" s="17"/>
      <c r="HB52" s="17"/>
      <c r="HC52" s="17"/>
      <c r="HD52" s="17"/>
      <c r="HE52" s="17"/>
      <c r="HF52" s="17"/>
      <c r="HG52" s="17"/>
      <c r="HH52" s="17"/>
      <c r="HI52" s="17"/>
      <c r="HJ52" s="17"/>
      <c r="HK52" s="17"/>
      <c r="HL52" s="17"/>
      <c r="HM52" s="17"/>
      <c r="HN52" s="17"/>
      <c r="HO52" s="17"/>
      <c r="HP52" s="17"/>
      <c r="HQ52" s="17"/>
      <c r="HR52" s="17"/>
      <c r="HS52" s="17"/>
      <c r="HT52" s="17"/>
      <c r="HU52" s="17"/>
      <c r="HV52" s="17"/>
      <c r="HW52" s="17"/>
      <c r="HX52" s="17"/>
      <c r="HY52" s="17"/>
      <c r="HZ52" s="17"/>
      <c r="IA52" s="17"/>
      <c r="IB52" s="17"/>
      <c r="IC52" s="17"/>
      <c r="ID52" s="17"/>
      <c r="IE52" s="17"/>
      <c r="IF52" s="17"/>
      <c r="IG52" s="17"/>
      <c r="IH52" s="17"/>
      <c r="II52" s="17"/>
      <c r="IJ52" s="17"/>
      <c r="IK52" s="17"/>
      <c r="IL52" s="17"/>
      <c r="IM52" s="17"/>
      <c r="IN52" s="17"/>
      <c r="IO52" s="17"/>
      <c r="IP52" s="17"/>
      <c r="IQ52" s="17"/>
      <c r="IR52" s="17"/>
      <c r="IS52" s="17"/>
      <c r="IT52" s="17"/>
      <c r="IU52" s="17"/>
      <c r="IV52" s="17"/>
      <c r="IW52" s="17"/>
      <c r="IX52" s="17"/>
      <c r="IY52" s="17"/>
      <c r="IZ52" s="17"/>
      <c r="JA52" s="17"/>
      <c r="JB52" s="17"/>
      <c r="JC52" s="17"/>
      <c r="JD52" s="17"/>
      <c r="JE52" s="17"/>
      <c r="JF52" s="17"/>
      <c r="JG52" s="17"/>
      <c r="JH52" s="17"/>
      <c r="JI52" s="17"/>
      <c r="JJ52" s="17"/>
      <c r="JK52" s="17"/>
      <c r="JL52" s="17"/>
      <c r="JM52" s="17"/>
      <c r="JN52" s="17"/>
      <c r="JO52" s="17"/>
      <c r="JP52" s="17"/>
      <c r="JQ52" s="17"/>
      <c r="JR52" s="17"/>
      <c r="JS52" s="17"/>
      <c r="JT52" s="17"/>
      <c r="JU52" s="17"/>
      <c r="JV52" s="17"/>
      <c r="JW52" s="17"/>
      <c r="JX52" s="17"/>
      <c r="JY52" s="17"/>
      <c r="JZ52" s="17"/>
      <c r="KA52" s="17"/>
      <c r="KB52" s="17"/>
      <c r="KC52" s="17"/>
      <c r="KD52" s="17"/>
      <c r="KE52" s="17"/>
      <c r="KF52" s="17"/>
      <c r="KG52" s="17"/>
      <c r="KH52" s="17"/>
      <c r="KI52" s="17"/>
      <c r="KJ52" s="17"/>
      <c r="KK52" s="17"/>
      <c r="KL52" s="17"/>
      <c r="KM52" s="17"/>
      <c r="KN52" s="17"/>
      <c r="KO52" s="17"/>
      <c r="KP52" s="17"/>
      <c r="KQ52" s="17"/>
      <c r="KR52" s="17"/>
      <c r="KS52" s="17"/>
      <c r="KT52" s="17"/>
      <c r="KU52" s="17"/>
      <c r="KV52" s="17"/>
      <c r="KW52" s="17"/>
      <c r="KX52" s="17"/>
      <c r="KY52" s="17"/>
      <c r="KZ52" s="17"/>
      <c r="LA52" s="17"/>
      <c r="LB52" s="17"/>
      <c r="LC52" s="17"/>
      <c r="LD52" s="17"/>
      <c r="LE52" s="17"/>
      <c r="LF52" s="17"/>
      <c r="LG52" s="17"/>
      <c r="LH52" s="17"/>
      <c r="LI52" s="17"/>
      <c r="LJ52" s="17"/>
      <c r="LK52" s="17"/>
      <c r="LL52" s="17"/>
      <c r="LM52" s="17"/>
      <c r="LN52" s="17"/>
      <c r="LO52" s="17"/>
      <c r="LP52" s="17"/>
      <c r="LQ52" s="17"/>
      <c r="LR52" s="17"/>
      <c r="LS52" s="17"/>
      <c r="LT52" s="17"/>
      <c r="LU52" s="17"/>
      <c r="LV52" s="17"/>
      <c r="LW52" s="17"/>
      <c r="LX52" s="17"/>
      <c r="LY52" s="17"/>
      <c r="LZ52" s="17"/>
      <c r="MA52" s="17"/>
      <c r="MB52" s="17"/>
      <c r="MC52" s="17"/>
      <c r="MD52" s="17"/>
      <c r="ME52" s="17"/>
      <c r="MF52" s="17"/>
      <c r="MG52" s="17"/>
      <c r="MH52" s="17"/>
      <c r="MI52" s="17"/>
      <c r="MJ52" s="17"/>
      <c r="MK52" s="17"/>
      <c r="ML52" s="17"/>
      <c r="MM52" s="17"/>
      <c r="MN52" s="17"/>
      <c r="MO52" s="17"/>
      <c r="MP52" s="17"/>
      <c r="MQ52" s="17"/>
      <c r="MR52" s="17"/>
      <c r="MS52" s="17"/>
      <c r="MT52" s="17"/>
      <c r="MU52" s="17"/>
      <c r="MV52" s="17"/>
      <c r="MW52" s="17"/>
      <c r="MX52" s="17"/>
      <c r="MY52" s="17"/>
      <c r="MZ52" s="17"/>
      <c r="NA52" s="17"/>
      <c r="NB52" s="17"/>
      <c r="NC52" s="17"/>
      <c r="ND52" s="17"/>
      <c r="NE52" s="17"/>
      <c r="NF52" s="17"/>
      <c r="NG52" s="17"/>
      <c r="NH52" s="17"/>
      <c r="NI52" s="17"/>
      <c r="NJ52" s="17"/>
      <c r="NK52" s="17"/>
      <c r="NL52" s="18"/>
      <c r="NM52" s="18"/>
      <c r="NN52" s="18"/>
      <c r="NO52" s="18"/>
      <c r="NP52" s="18"/>
      <c r="NQ52" s="18"/>
      <c r="NR52" s="18"/>
      <c r="NS52" s="18"/>
      <c r="NT52" s="18"/>
      <c r="NU52" s="18"/>
      <c r="NV52" s="18"/>
      <c r="NW52" s="18"/>
      <c r="NX52" s="18"/>
      <c r="NY52" s="18"/>
      <c r="NZ52" s="17"/>
      <c r="OA52" s="17"/>
      <c r="OB52" s="17"/>
      <c r="OC52" s="17"/>
      <c r="OD52" s="17"/>
      <c r="OE52" s="17"/>
      <c r="OF52" s="17"/>
      <c r="OG52" s="17"/>
      <c r="OH52" s="17"/>
    </row>
    <row r="53" spans="1:399" s="3" customFormat="1" x14ac:dyDescent="0.3">
      <c r="C53" s="20"/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  <c r="AA53" s="20"/>
      <c r="AB53" s="20"/>
      <c r="AC53" s="20"/>
      <c r="AD53" s="20"/>
      <c r="AE53" s="20"/>
      <c r="AF53" s="20"/>
      <c r="AG53" s="20"/>
      <c r="AH53" s="20"/>
      <c r="AI53" s="16"/>
      <c r="AJ53" s="16"/>
      <c r="AK53" s="16"/>
      <c r="AL53" s="16"/>
      <c r="AM53" s="16"/>
      <c r="AN53" s="16"/>
      <c r="AO53" s="16"/>
      <c r="AP53" s="16"/>
      <c r="AQ53" s="16"/>
      <c r="AR53" s="16"/>
      <c r="AS53" s="16"/>
      <c r="AT53" s="16"/>
      <c r="AU53" s="16"/>
      <c r="AV53" s="16"/>
      <c r="AW53" s="16"/>
      <c r="AX53" s="16"/>
      <c r="AY53" s="16"/>
      <c r="AZ53" s="16"/>
      <c r="BA53" s="16"/>
      <c r="BB53" s="16"/>
      <c r="BC53" s="16"/>
      <c r="BD53" s="16"/>
      <c r="BE53" s="16"/>
      <c r="BF53" s="16"/>
      <c r="BG53" s="16"/>
      <c r="BH53" s="16"/>
      <c r="BI53" s="16"/>
      <c r="BJ53" s="16"/>
      <c r="BK53" s="16"/>
      <c r="BL53" s="16"/>
      <c r="BM53" s="16"/>
      <c r="BN53" s="16"/>
      <c r="BO53" s="16"/>
      <c r="BP53" s="16"/>
      <c r="BQ53" s="16"/>
      <c r="BR53" s="16"/>
      <c r="BS53" s="16"/>
      <c r="BT53" s="16"/>
      <c r="BU53" s="16"/>
      <c r="BV53" s="16"/>
      <c r="BW53" s="16"/>
      <c r="BX53" s="16"/>
      <c r="BY53" s="16"/>
      <c r="BZ53" s="16"/>
      <c r="CA53" s="16"/>
      <c r="CB53" s="16"/>
      <c r="CC53" s="16"/>
      <c r="CD53" s="16"/>
      <c r="CE53" s="16"/>
      <c r="CF53" s="16"/>
      <c r="CG53" s="16"/>
      <c r="CH53" s="16"/>
      <c r="CI53" s="16"/>
      <c r="CJ53" s="16"/>
      <c r="CK53" s="16"/>
      <c r="CL53" s="16"/>
      <c r="CM53" s="16"/>
      <c r="CN53" s="16"/>
      <c r="CO53" s="16"/>
      <c r="CP53" s="16"/>
      <c r="CQ53" s="16"/>
      <c r="CR53" s="16"/>
      <c r="CS53" s="16"/>
      <c r="CT53" s="16"/>
      <c r="CU53" s="16"/>
      <c r="CV53" s="16"/>
      <c r="CW53" s="16"/>
      <c r="CX53" s="16"/>
      <c r="CY53" s="16"/>
      <c r="CZ53" s="16"/>
      <c r="DA53" s="16"/>
      <c r="DB53" s="16"/>
      <c r="DC53" s="16"/>
      <c r="DD53" s="16"/>
      <c r="DE53" s="16"/>
      <c r="DF53" s="16"/>
      <c r="DG53" s="16"/>
      <c r="DH53" s="16"/>
      <c r="DI53" s="16"/>
      <c r="DJ53" s="16"/>
      <c r="DK53" s="16"/>
      <c r="DL53" s="16"/>
      <c r="DM53" s="16"/>
      <c r="DN53" s="20"/>
      <c r="DO53" s="20"/>
      <c r="DP53" s="20"/>
      <c r="DQ53" s="20"/>
      <c r="DR53" s="20"/>
      <c r="DS53" s="20"/>
      <c r="DT53" s="20"/>
      <c r="DU53" s="20"/>
      <c r="DV53" s="20"/>
      <c r="DW53" s="20"/>
      <c r="DX53" s="20"/>
      <c r="DY53" s="20"/>
      <c r="DZ53" s="20"/>
      <c r="EA53" s="20"/>
      <c r="EB53" s="20"/>
      <c r="EC53" s="20"/>
      <c r="ED53" s="20"/>
      <c r="EE53" s="20"/>
      <c r="EF53" s="20"/>
      <c r="EG53" s="20"/>
      <c r="EH53" s="20"/>
      <c r="EI53" s="20"/>
      <c r="EJ53" s="20"/>
      <c r="EK53" s="20"/>
      <c r="EL53" s="20"/>
      <c r="EM53" s="20"/>
      <c r="EN53" s="20"/>
      <c r="EO53" s="20"/>
      <c r="EP53" s="20"/>
      <c r="EQ53" s="20"/>
      <c r="ER53" s="20"/>
      <c r="ES53" s="20"/>
      <c r="ET53" s="20"/>
      <c r="EU53" s="20"/>
      <c r="EV53" s="20"/>
      <c r="EW53" s="20"/>
      <c r="EX53" s="20"/>
      <c r="EY53" s="20"/>
      <c r="EZ53" s="20"/>
      <c r="FA53" s="20"/>
      <c r="FB53" s="20"/>
      <c r="FC53" s="20"/>
      <c r="FD53" s="20"/>
      <c r="FE53" s="20"/>
      <c r="FF53" s="20"/>
      <c r="FG53" s="20"/>
      <c r="FH53" s="20"/>
      <c r="FI53" s="20"/>
      <c r="FJ53" s="20"/>
      <c r="FK53" s="20"/>
      <c r="FL53" s="20"/>
      <c r="FM53" s="20"/>
      <c r="FN53" s="20"/>
      <c r="FO53" s="20"/>
      <c r="FP53" s="20"/>
      <c r="FQ53" s="20"/>
      <c r="FR53" s="20"/>
      <c r="FS53" s="20"/>
      <c r="FT53" s="20"/>
      <c r="FU53" s="20"/>
      <c r="FV53" s="20"/>
      <c r="FW53" s="20"/>
      <c r="FX53" s="20"/>
      <c r="FY53" s="20"/>
      <c r="FZ53" s="20"/>
      <c r="GA53" s="20"/>
      <c r="GB53" s="20"/>
      <c r="GC53" s="20"/>
      <c r="GD53" s="20"/>
      <c r="GE53" s="20"/>
      <c r="GF53" s="20"/>
      <c r="GG53" s="20"/>
      <c r="GH53" s="20"/>
      <c r="GI53" s="20"/>
      <c r="GJ53" s="20"/>
      <c r="GK53" s="20"/>
      <c r="GL53" s="20"/>
      <c r="GM53" s="20"/>
      <c r="GN53" s="20"/>
      <c r="GO53" s="20"/>
      <c r="GP53" s="20"/>
      <c r="GQ53" s="20"/>
      <c r="GR53" s="20"/>
      <c r="GS53" s="20"/>
      <c r="GT53" s="20"/>
      <c r="GU53" s="20"/>
      <c r="GV53" s="20"/>
      <c r="GW53" s="20"/>
      <c r="GX53" s="20"/>
      <c r="GY53" s="20"/>
      <c r="GZ53" s="20"/>
      <c r="HA53" s="20"/>
      <c r="HB53" s="20"/>
      <c r="HC53" s="20"/>
      <c r="HD53" s="20"/>
      <c r="HE53" s="20"/>
      <c r="HF53" s="20"/>
      <c r="HG53" s="20"/>
      <c r="HH53" s="20"/>
      <c r="HI53" s="20"/>
      <c r="HJ53" s="20"/>
      <c r="HK53" s="20"/>
      <c r="HL53" s="20"/>
      <c r="HM53" s="20"/>
      <c r="HN53" s="20"/>
      <c r="HO53" s="20"/>
      <c r="HP53" s="20"/>
      <c r="HQ53" s="20"/>
      <c r="HR53" s="20"/>
      <c r="HS53" s="20"/>
      <c r="HT53" s="20"/>
      <c r="HU53" s="20"/>
      <c r="HV53" s="20"/>
      <c r="HW53" s="20"/>
      <c r="HX53" s="20"/>
      <c r="HY53" s="20"/>
      <c r="HZ53" s="20"/>
      <c r="IA53" s="20"/>
      <c r="IB53" s="20"/>
      <c r="IC53" s="20"/>
      <c r="ID53" s="20"/>
      <c r="IE53" s="20"/>
      <c r="IF53" s="20"/>
      <c r="IG53" s="20"/>
      <c r="IH53" s="20"/>
      <c r="II53" s="20"/>
      <c r="IJ53" s="20"/>
      <c r="IK53" s="20"/>
      <c r="IL53" s="20"/>
      <c r="IM53" s="20"/>
      <c r="IN53" s="20"/>
      <c r="IO53" s="20"/>
      <c r="IP53" s="20"/>
      <c r="IQ53" s="20"/>
      <c r="IR53" s="20"/>
      <c r="IS53" s="20"/>
      <c r="IT53" s="20"/>
      <c r="IU53" s="20"/>
      <c r="IV53" s="20"/>
      <c r="IW53" s="20"/>
      <c r="IX53" s="20"/>
      <c r="IY53" s="20"/>
      <c r="IZ53" s="20"/>
      <c r="JA53" s="20"/>
      <c r="JB53" s="20"/>
      <c r="JC53" s="20"/>
      <c r="JD53" s="20"/>
      <c r="JE53" s="20"/>
      <c r="JF53" s="20"/>
      <c r="JG53" s="20"/>
      <c r="JH53" s="20"/>
      <c r="JI53" s="20"/>
      <c r="JJ53" s="20"/>
      <c r="JK53" s="20"/>
      <c r="JL53" s="20"/>
      <c r="JM53" s="20"/>
      <c r="JN53" s="20"/>
      <c r="JO53" s="20"/>
      <c r="JP53" s="20"/>
      <c r="JQ53" s="20"/>
      <c r="JR53" s="20"/>
      <c r="JS53" s="20"/>
      <c r="JT53" s="20"/>
      <c r="JU53" s="20"/>
      <c r="JV53" s="20"/>
      <c r="JW53" s="20"/>
      <c r="JX53" s="20"/>
      <c r="JY53" s="20"/>
      <c r="JZ53" s="20"/>
      <c r="KA53" s="20"/>
      <c r="KB53" s="20"/>
      <c r="KC53" s="20"/>
      <c r="KD53" s="20"/>
      <c r="KE53" s="20"/>
      <c r="KF53" s="20"/>
      <c r="KG53" s="20"/>
      <c r="KH53" s="20"/>
      <c r="KI53" s="20"/>
      <c r="KJ53" s="20"/>
      <c r="KK53" s="20"/>
      <c r="KL53" s="20"/>
      <c r="KM53" s="20"/>
      <c r="KN53" s="20"/>
      <c r="KO53" s="20"/>
      <c r="KP53" s="20"/>
      <c r="KQ53" s="20"/>
      <c r="KR53" s="20"/>
      <c r="KS53" s="20"/>
      <c r="KT53" s="20"/>
      <c r="KU53" s="20"/>
      <c r="KV53" s="20"/>
      <c r="KW53" s="20"/>
      <c r="KX53" s="20"/>
      <c r="KY53" s="20"/>
      <c r="KZ53" s="20"/>
      <c r="LA53" s="20"/>
      <c r="LB53" s="20"/>
      <c r="LC53" s="20"/>
      <c r="LD53" s="20"/>
      <c r="LE53" s="20"/>
      <c r="LF53" s="20"/>
      <c r="LG53" s="20"/>
      <c r="LH53" s="20"/>
      <c r="LI53" s="20"/>
      <c r="LJ53" s="20"/>
      <c r="LK53" s="20"/>
      <c r="LL53" s="20"/>
      <c r="LM53" s="20"/>
      <c r="LN53" s="20"/>
      <c r="LO53" s="20"/>
      <c r="LP53" s="20"/>
      <c r="LQ53" s="20"/>
      <c r="LR53" s="20"/>
      <c r="LS53" s="20"/>
      <c r="LT53" s="20"/>
      <c r="LU53" s="20"/>
      <c r="LV53" s="20"/>
      <c r="LW53" s="20"/>
      <c r="LX53" s="20"/>
      <c r="LY53" s="20"/>
      <c r="LZ53" s="20"/>
      <c r="MA53" s="20"/>
      <c r="MB53" s="20"/>
      <c r="MC53" s="20"/>
      <c r="MD53" s="20"/>
      <c r="ME53" s="20"/>
      <c r="MF53" s="20"/>
      <c r="MG53" s="20"/>
      <c r="MH53" s="20"/>
      <c r="MI53" s="20"/>
      <c r="MJ53" s="20"/>
      <c r="MK53" s="20"/>
      <c r="ML53" s="20"/>
      <c r="MM53" s="20"/>
      <c r="MN53" s="20"/>
      <c r="MO53" s="20"/>
      <c r="MP53" s="20"/>
      <c r="MQ53" s="20"/>
      <c r="MR53" s="20"/>
      <c r="MS53" s="20"/>
      <c r="MT53" s="20"/>
      <c r="MU53" s="20"/>
      <c r="MV53" s="20"/>
      <c r="MW53" s="20"/>
      <c r="MX53" s="20"/>
      <c r="MY53" s="20"/>
      <c r="MZ53" s="20"/>
      <c r="NA53" s="20"/>
      <c r="NB53" s="20"/>
      <c r="NC53" s="20"/>
      <c r="ND53" s="20"/>
      <c r="NE53" s="20"/>
      <c r="NF53" s="20"/>
      <c r="NG53" s="20"/>
      <c r="NH53" s="20"/>
      <c r="NI53" s="20"/>
      <c r="NJ53" s="20"/>
      <c r="NK53" s="20"/>
      <c r="NL53" s="16"/>
      <c r="NM53" s="16"/>
      <c r="NN53" s="16"/>
      <c r="NO53" s="16"/>
      <c r="NP53" s="16"/>
      <c r="NQ53" s="16"/>
      <c r="NR53" s="16"/>
      <c r="NS53" s="16"/>
      <c r="NT53" s="16"/>
      <c r="NU53" s="16"/>
      <c r="NV53" s="16"/>
      <c r="NW53" s="16"/>
      <c r="NX53" s="16"/>
      <c r="NY53" s="16"/>
      <c r="NZ53" s="20"/>
      <c r="OA53" s="20"/>
      <c r="OB53" s="20"/>
      <c r="OC53" s="20"/>
      <c r="OD53" s="20"/>
      <c r="OE53" s="20"/>
      <c r="OF53" s="20"/>
      <c r="OG53" s="20"/>
      <c r="OH53" s="20"/>
    </row>
    <row r="54" spans="1:399" s="3" customFormat="1" x14ac:dyDescent="0.3"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  <c r="AC54" s="20"/>
      <c r="AD54" s="20"/>
      <c r="AE54" s="20"/>
      <c r="AF54" s="20"/>
      <c r="AG54" s="20"/>
      <c r="AH54" s="20"/>
      <c r="AI54" s="16"/>
      <c r="AJ54" s="16"/>
      <c r="AK54" s="16"/>
      <c r="AL54" s="16"/>
      <c r="AM54" s="16"/>
      <c r="AN54" s="16"/>
      <c r="AO54" s="16"/>
      <c r="AP54" s="16"/>
      <c r="AQ54" s="16"/>
      <c r="AR54" s="16"/>
      <c r="AS54" s="16"/>
      <c r="AT54" s="16"/>
      <c r="AU54" s="16" t="str" cm="1">
        <f t="array" ref="AU54">INDEX(Paramètres!$W:$W,MAX((Date_IA_PIP[Date début]&lt;=AU9)*(Date_IA_PIP[[Date fin ]]&gt;=AU9)*ROW(Date_IA_PIP[PI])))</f>
        <v>Présentiel</v>
      </c>
      <c r="AV54" s="16"/>
      <c r="AW54" s="16"/>
      <c r="AX54" s="16"/>
      <c r="AY54" s="16"/>
      <c r="AZ54" s="16"/>
      <c r="BA54" s="16"/>
      <c r="BB54" s="16"/>
      <c r="BC54" s="16"/>
      <c r="BD54" s="16"/>
      <c r="BE54" s="16"/>
      <c r="BF54" s="16"/>
      <c r="BG54" s="16"/>
      <c r="BH54" s="16"/>
      <c r="BI54" s="16"/>
      <c r="BJ54" s="16"/>
      <c r="BK54" s="16"/>
      <c r="BL54" s="16"/>
      <c r="BM54" s="16"/>
      <c r="BN54" s="16"/>
      <c r="BO54" s="16"/>
      <c r="BP54" s="16"/>
      <c r="BQ54" s="16"/>
      <c r="BR54" s="16"/>
      <c r="BS54" s="16"/>
      <c r="BT54" s="16"/>
      <c r="BU54" s="16"/>
      <c r="BV54" s="16"/>
      <c r="BW54" s="16"/>
      <c r="BX54" s="16"/>
      <c r="BY54" s="16"/>
      <c r="BZ54" s="16"/>
      <c r="CA54" s="16"/>
      <c r="CB54" s="16"/>
      <c r="CC54" s="16"/>
      <c r="CD54" s="16"/>
      <c r="CE54" s="16"/>
      <c r="CF54" s="16"/>
      <c r="CG54" s="16"/>
      <c r="CH54" s="16"/>
      <c r="CI54" s="16"/>
      <c r="CJ54" s="16"/>
      <c r="CK54" s="16"/>
      <c r="CL54" s="16"/>
      <c r="CM54" s="16"/>
      <c r="CN54" s="16"/>
      <c r="CO54" s="16"/>
      <c r="CP54" s="16"/>
      <c r="CQ54" s="16"/>
      <c r="CR54" s="16"/>
      <c r="CS54" s="16"/>
      <c r="CT54" s="16"/>
      <c r="CU54" s="16"/>
      <c r="CV54" s="16"/>
      <c r="CW54" s="16"/>
      <c r="CX54" s="16"/>
      <c r="CY54" s="16"/>
      <c r="CZ54" s="16"/>
      <c r="DA54" s="16"/>
      <c r="DB54" s="16"/>
      <c r="DC54" s="16"/>
      <c r="DD54" s="16"/>
      <c r="DE54" s="16"/>
      <c r="DF54" s="16"/>
      <c r="DG54" s="16"/>
      <c r="DH54" s="16"/>
      <c r="DI54" s="16"/>
      <c r="DJ54" s="16"/>
      <c r="DK54" s="16"/>
      <c r="DL54" s="16"/>
      <c r="DM54" s="16"/>
      <c r="DN54" s="20"/>
      <c r="DO54" s="20"/>
      <c r="DP54" s="20"/>
      <c r="DQ54" s="20"/>
      <c r="DR54" s="20"/>
      <c r="DS54" s="20"/>
      <c r="DT54" s="20"/>
      <c r="DU54" s="20"/>
      <c r="DV54" s="20"/>
      <c r="DW54" s="20"/>
      <c r="DX54" s="20"/>
      <c r="DY54" s="20"/>
      <c r="DZ54" s="20"/>
      <c r="EA54" s="20"/>
      <c r="EB54" s="20"/>
      <c r="EC54" s="20"/>
      <c r="ED54" s="20"/>
      <c r="EE54" s="20"/>
      <c r="EF54" s="20"/>
      <c r="EG54" s="20"/>
      <c r="EH54" s="20"/>
      <c r="EI54" s="20"/>
      <c r="EJ54" s="20"/>
      <c r="EK54" s="20"/>
      <c r="EL54" s="20"/>
      <c r="EM54" s="20"/>
      <c r="EN54" s="20"/>
      <c r="EO54" s="20"/>
      <c r="EP54" s="20"/>
      <c r="EQ54" s="20"/>
      <c r="ER54" s="20"/>
      <c r="ES54" s="20"/>
      <c r="ET54" s="20"/>
      <c r="EU54" s="20"/>
      <c r="EV54" s="20"/>
      <c r="EW54" s="20"/>
      <c r="EX54" s="20"/>
      <c r="EY54" s="20"/>
      <c r="EZ54" s="20"/>
      <c r="FA54" s="20"/>
      <c r="FB54" s="20"/>
      <c r="FC54" s="20"/>
      <c r="FD54" s="20"/>
      <c r="FE54" s="20"/>
      <c r="FF54" s="20"/>
      <c r="FG54" s="20"/>
      <c r="FH54" s="20"/>
      <c r="FI54" s="20"/>
      <c r="FJ54" s="20"/>
      <c r="FK54" s="20"/>
      <c r="FL54" s="20"/>
      <c r="FM54" s="20"/>
      <c r="FN54" s="20"/>
      <c r="FO54" s="20"/>
      <c r="FP54" s="20"/>
      <c r="FQ54" s="20"/>
      <c r="FR54" s="20"/>
      <c r="FS54" s="20"/>
      <c r="FT54" s="20"/>
      <c r="FU54" s="20"/>
      <c r="FV54" s="20"/>
      <c r="FW54" s="20"/>
      <c r="FX54" s="20"/>
      <c r="FY54" s="20"/>
      <c r="FZ54" s="20"/>
      <c r="GA54" s="20"/>
      <c r="GB54" s="20"/>
      <c r="GC54" s="20"/>
      <c r="GD54" s="20"/>
      <c r="GE54" s="20"/>
      <c r="GF54" s="20"/>
      <c r="GG54" s="20"/>
      <c r="GH54" s="20"/>
      <c r="GI54" s="20"/>
      <c r="GJ54" s="20"/>
      <c r="GK54" s="20"/>
      <c r="GL54" s="20"/>
      <c r="GM54" s="20"/>
      <c r="GN54" s="20"/>
      <c r="GO54" s="20"/>
      <c r="GP54" s="20"/>
      <c r="GQ54" s="20"/>
      <c r="GR54" s="20"/>
      <c r="GS54" s="20"/>
      <c r="GT54" s="20"/>
      <c r="GU54" s="20"/>
      <c r="GV54" s="20"/>
      <c r="GW54" s="20"/>
      <c r="GX54" s="20"/>
      <c r="GY54" s="20"/>
      <c r="GZ54" s="20"/>
      <c r="HA54" s="20"/>
      <c r="HB54" s="20"/>
      <c r="HC54" s="20"/>
      <c r="HD54" s="20"/>
      <c r="HE54" s="20"/>
      <c r="HF54" s="20"/>
      <c r="HG54" s="20"/>
      <c r="HH54" s="20"/>
      <c r="HI54" s="20"/>
      <c r="HJ54" s="20"/>
      <c r="HK54" s="20"/>
      <c r="HL54" s="20"/>
      <c r="HM54" s="20"/>
      <c r="HN54" s="20"/>
      <c r="HO54" s="20"/>
      <c r="HP54" s="20"/>
      <c r="HQ54" s="20"/>
      <c r="HR54" s="20"/>
      <c r="HS54" s="20"/>
      <c r="HT54" s="20"/>
      <c r="HU54" s="20"/>
      <c r="HV54" s="20"/>
      <c r="HW54" s="20"/>
      <c r="HX54" s="20"/>
      <c r="HY54" s="20"/>
      <c r="HZ54" s="20"/>
      <c r="IA54" s="20"/>
      <c r="IB54" s="20"/>
      <c r="IC54" s="20"/>
      <c r="ID54" s="20"/>
      <c r="IE54" s="20"/>
      <c r="IF54" s="20"/>
      <c r="IG54" s="20"/>
      <c r="IH54" s="20"/>
      <c r="II54" s="20"/>
      <c r="IJ54" s="20"/>
      <c r="IK54" s="20"/>
      <c r="IL54" s="20"/>
      <c r="IM54" s="20"/>
      <c r="IN54" s="20"/>
      <c r="IO54" s="20"/>
      <c r="IP54" s="20"/>
      <c r="IQ54" s="20"/>
      <c r="IR54" s="20"/>
      <c r="IS54" s="20"/>
      <c r="IT54" s="20"/>
      <c r="IU54" s="20"/>
      <c r="IV54" s="20"/>
      <c r="IW54" s="20"/>
      <c r="IX54" s="20"/>
      <c r="IY54" s="20"/>
      <c r="IZ54" s="20"/>
      <c r="JA54" s="20"/>
      <c r="JB54" s="20"/>
      <c r="JC54" s="20"/>
      <c r="JD54" s="20"/>
      <c r="JE54" s="20"/>
      <c r="JF54" s="20"/>
      <c r="JG54" s="20"/>
      <c r="JH54" s="20"/>
      <c r="JI54" s="20"/>
      <c r="JJ54" s="20"/>
      <c r="JK54" s="20"/>
      <c r="JL54" s="20"/>
      <c r="JM54" s="20"/>
      <c r="JN54" s="20"/>
      <c r="JO54" s="20"/>
      <c r="JP54" s="20"/>
      <c r="JQ54" s="20"/>
      <c r="JR54" s="20"/>
      <c r="JS54" s="20"/>
      <c r="JT54" s="20"/>
      <c r="JU54" s="20"/>
      <c r="JV54" s="20"/>
      <c r="JW54" s="20"/>
      <c r="JX54" s="20"/>
      <c r="JY54" s="20"/>
      <c r="JZ54" s="20"/>
      <c r="KA54" s="20"/>
      <c r="KB54" s="20"/>
      <c r="KC54" s="20"/>
      <c r="KD54" s="20"/>
      <c r="KE54" s="20"/>
      <c r="KF54" s="20"/>
      <c r="KG54" s="20"/>
      <c r="KH54" s="20"/>
      <c r="KI54" s="20"/>
      <c r="KJ54" s="20"/>
      <c r="KK54" s="20"/>
      <c r="KL54" s="20"/>
      <c r="KM54" s="20"/>
      <c r="KN54" s="20"/>
      <c r="KO54" s="20"/>
      <c r="KP54" s="20"/>
      <c r="KQ54" s="20"/>
      <c r="KR54" s="20"/>
      <c r="KS54" s="20"/>
      <c r="KT54" s="20"/>
      <c r="KU54" s="20"/>
      <c r="KV54" s="20"/>
      <c r="KW54" s="20"/>
      <c r="KX54" s="20"/>
      <c r="KY54" s="20"/>
      <c r="KZ54" s="20"/>
      <c r="LA54" s="20"/>
      <c r="LB54" s="20"/>
      <c r="LC54" s="20"/>
      <c r="LD54" s="20"/>
      <c r="LE54" s="20"/>
      <c r="LF54" s="20"/>
      <c r="LG54" s="20"/>
      <c r="LH54" s="20"/>
      <c r="LI54" s="20"/>
      <c r="LJ54" s="20"/>
      <c r="LK54" s="20"/>
      <c r="LL54" s="20"/>
      <c r="LM54" s="20"/>
      <c r="LN54" s="20"/>
      <c r="LO54" s="20"/>
      <c r="LP54" s="20"/>
      <c r="LQ54" s="20"/>
      <c r="LR54" s="20"/>
      <c r="LS54" s="20"/>
      <c r="LT54" s="20"/>
      <c r="LU54" s="20"/>
      <c r="LV54" s="20"/>
      <c r="LW54" s="20"/>
      <c r="LX54" s="20"/>
      <c r="LY54" s="20"/>
      <c r="LZ54" s="20"/>
      <c r="MA54" s="20"/>
      <c r="MB54" s="20"/>
      <c r="MC54" s="20"/>
      <c r="MD54" s="20"/>
      <c r="ME54" s="20"/>
      <c r="MF54" s="20"/>
      <c r="MG54" s="20"/>
      <c r="MH54" s="20"/>
      <c r="MI54" s="20"/>
      <c r="MJ54" s="20"/>
      <c r="MK54" s="20"/>
      <c r="ML54" s="20"/>
      <c r="MM54" s="20"/>
      <c r="MN54" s="20"/>
      <c r="MO54" s="20"/>
      <c r="MP54" s="20"/>
      <c r="MQ54" s="20"/>
      <c r="MR54" s="20"/>
      <c r="MS54" s="20"/>
      <c r="MT54" s="20"/>
      <c r="MU54" s="20"/>
      <c r="MV54" s="20"/>
      <c r="MW54" s="20"/>
      <c r="MX54" s="20"/>
      <c r="MY54" s="20"/>
      <c r="MZ54" s="20"/>
      <c r="NA54" s="20"/>
      <c r="NB54" s="20"/>
      <c r="NC54" s="20"/>
      <c r="ND54" s="20"/>
      <c r="NE54" s="20"/>
      <c r="NF54" s="20"/>
      <c r="NG54" s="20"/>
      <c r="NH54" s="20"/>
      <c r="NI54" s="20"/>
      <c r="NJ54" s="20"/>
      <c r="NK54" s="20"/>
      <c r="NL54" s="16"/>
      <c r="NM54" s="16"/>
      <c r="NN54" s="16"/>
      <c r="NO54" s="16"/>
      <c r="NP54" s="16"/>
      <c r="NQ54" s="16"/>
      <c r="NR54" s="16"/>
      <c r="NS54" s="16"/>
      <c r="NT54" s="16"/>
      <c r="NU54" s="16"/>
      <c r="NV54" s="16"/>
      <c r="NW54" s="16"/>
      <c r="NX54" s="16"/>
      <c r="NY54" s="16"/>
      <c r="NZ54" s="20"/>
      <c r="OA54" s="20"/>
      <c r="OB54" s="20"/>
      <c r="OC54" s="20"/>
      <c r="OD54" s="20"/>
      <c r="OE54" s="20"/>
      <c r="OF54" s="20"/>
      <c r="OG54" s="20"/>
      <c r="OH54" s="20"/>
    </row>
    <row r="55" spans="1:399" s="3" customFormat="1" x14ac:dyDescent="0.3"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20"/>
      <c r="AC55" s="20"/>
      <c r="AD55" s="20"/>
      <c r="AE55" s="20"/>
      <c r="AF55" s="20"/>
      <c r="AG55" s="20"/>
      <c r="AH55" s="20"/>
      <c r="AI55" s="16"/>
      <c r="AJ55" s="16"/>
      <c r="AK55" s="16"/>
      <c r="AL55" s="16"/>
      <c r="AM55" s="16"/>
      <c r="AN55" s="16"/>
      <c r="AO55" s="16"/>
      <c r="AP55" s="16"/>
      <c r="AQ55" s="16"/>
      <c r="AR55" s="16"/>
      <c r="AS55" s="16"/>
      <c r="AT55" s="16"/>
      <c r="AU55" s="16"/>
      <c r="AV55" s="16"/>
      <c r="AW55" s="16"/>
      <c r="AX55" s="16"/>
      <c r="AY55" s="16"/>
      <c r="AZ55" s="16"/>
      <c r="BA55" s="16"/>
      <c r="BB55" s="16"/>
      <c r="BC55" s="16"/>
      <c r="BD55" s="16"/>
      <c r="BE55" s="16"/>
      <c r="BF55" s="16"/>
      <c r="BG55" s="16"/>
      <c r="BH55" s="16"/>
      <c r="BI55" s="16"/>
      <c r="BJ55" s="16"/>
      <c r="BK55" s="16"/>
      <c r="BL55" s="16"/>
      <c r="BM55" s="16"/>
      <c r="BN55" s="16"/>
      <c r="BO55" s="16"/>
      <c r="BP55" s="16"/>
      <c r="BQ55" s="16"/>
      <c r="BR55" s="16"/>
      <c r="BS55" s="16"/>
      <c r="BT55" s="16"/>
      <c r="BU55" s="16"/>
      <c r="BV55" s="16"/>
      <c r="BW55" s="16"/>
      <c r="BX55" s="16"/>
      <c r="BY55" s="16"/>
      <c r="BZ55" s="16"/>
      <c r="CA55" s="16"/>
      <c r="CB55" s="16"/>
      <c r="CC55" s="16"/>
      <c r="CD55" s="16"/>
      <c r="CE55" s="16"/>
      <c r="CF55" s="16"/>
      <c r="CG55" s="16"/>
      <c r="CH55" s="16"/>
      <c r="CI55" s="16"/>
      <c r="CJ55" s="16"/>
      <c r="CK55" s="16"/>
      <c r="CL55" s="16"/>
      <c r="CM55" s="16"/>
      <c r="CN55" s="16"/>
      <c r="CO55" s="16"/>
      <c r="CP55" s="16"/>
      <c r="CQ55" s="16"/>
      <c r="CR55" s="16"/>
      <c r="CS55" s="16"/>
      <c r="CT55" s="16"/>
      <c r="CU55" s="16"/>
      <c r="CV55" s="16"/>
      <c r="CW55" s="16"/>
      <c r="CX55" s="16"/>
      <c r="CY55" s="16"/>
      <c r="CZ55" s="16"/>
      <c r="DA55" s="16"/>
      <c r="DB55" s="16"/>
      <c r="DC55" s="16"/>
      <c r="DD55" s="16"/>
      <c r="DE55" s="16"/>
      <c r="DF55" s="16"/>
      <c r="DG55" s="16"/>
      <c r="DH55" s="16"/>
      <c r="DI55" s="16"/>
      <c r="DJ55" s="16"/>
      <c r="DK55" s="16"/>
      <c r="DL55" s="16"/>
      <c r="DM55" s="16"/>
      <c r="DN55" s="20"/>
      <c r="DO55" s="20"/>
      <c r="DP55" s="20"/>
      <c r="DQ55" s="20"/>
      <c r="DR55" s="20"/>
      <c r="DS55" s="20"/>
      <c r="DT55" s="20"/>
      <c r="DU55" s="20"/>
      <c r="DV55" s="20"/>
      <c r="DW55" s="20"/>
      <c r="DX55" s="20"/>
      <c r="DY55" s="20"/>
      <c r="DZ55" s="20"/>
      <c r="EA55" s="20"/>
      <c r="EB55" s="20"/>
      <c r="EC55" s="20"/>
      <c r="ED55" s="20"/>
      <c r="EE55" s="20"/>
      <c r="EF55" s="20"/>
      <c r="EG55" s="20"/>
      <c r="EH55" s="20"/>
      <c r="EI55" s="20"/>
      <c r="EJ55" s="20"/>
      <c r="EK55" s="20"/>
      <c r="EL55" s="20"/>
      <c r="EM55" s="20"/>
      <c r="EN55" s="20"/>
      <c r="EO55" s="20"/>
      <c r="EP55" s="20"/>
      <c r="EQ55" s="20"/>
      <c r="ER55" s="20"/>
      <c r="ES55" s="20"/>
      <c r="ET55" s="20"/>
      <c r="EU55" s="20"/>
      <c r="EV55" s="20"/>
      <c r="EW55" s="20"/>
      <c r="EX55" s="20"/>
      <c r="EY55" s="20"/>
      <c r="EZ55" s="20"/>
      <c r="FA55" s="20"/>
      <c r="FB55" s="20"/>
      <c r="FC55" s="20"/>
      <c r="FD55" s="20"/>
      <c r="FE55" s="20"/>
      <c r="FF55" s="20"/>
      <c r="FG55" s="20"/>
      <c r="FH55" s="20"/>
      <c r="FI55" s="20"/>
      <c r="FJ55" s="20"/>
      <c r="FK55" s="20"/>
      <c r="FL55" s="20"/>
      <c r="FM55" s="20"/>
      <c r="FN55" s="20"/>
      <c r="FO55" s="20"/>
      <c r="FP55" s="20"/>
      <c r="FQ55" s="20"/>
      <c r="FR55" s="20"/>
      <c r="FS55" s="20"/>
      <c r="FT55" s="20"/>
      <c r="FU55" s="20"/>
      <c r="FV55" s="20"/>
      <c r="FW55" s="20"/>
      <c r="FX55" s="20"/>
      <c r="FY55" s="20"/>
      <c r="FZ55" s="20"/>
      <c r="GA55" s="20"/>
      <c r="GB55" s="20"/>
      <c r="GC55" s="20"/>
      <c r="GD55" s="20"/>
      <c r="GE55" s="20"/>
      <c r="GF55" s="20"/>
      <c r="GG55" s="20"/>
      <c r="GH55" s="20"/>
      <c r="GI55" s="20"/>
      <c r="GJ55" s="20"/>
      <c r="GK55" s="20"/>
      <c r="GL55" s="20"/>
      <c r="GM55" s="20"/>
      <c r="GN55" s="20"/>
      <c r="GO55" s="20"/>
      <c r="GP55" s="20"/>
      <c r="GQ55" s="20"/>
      <c r="GR55" s="20"/>
      <c r="GS55" s="20"/>
      <c r="GT55" s="20"/>
      <c r="GU55" s="20"/>
      <c r="GV55" s="20"/>
      <c r="GW55" s="20"/>
      <c r="GX55" s="20"/>
      <c r="GY55" s="20"/>
      <c r="GZ55" s="20"/>
      <c r="HA55" s="20"/>
      <c r="HB55" s="20"/>
      <c r="HC55" s="20"/>
      <c r="HD55" s="20"/>
      <c r="HE55" s="20"/>
      <c r="HF55" s="20"/>
      <c r="HG55" s="20"/>
      <c r="HH55" s="20"/>
      <c r="HI55" s="20"/>
      <c r="HJ55" s="20"/>
      <c r="HK55" s="20"/>
      <c r="HL55" s="20"/>
      <c r="HM55" s="20"/>
      <c r="HN55" s="20"/>
      <c r="HO55" s="20"/>
      <c r="HP55" s="20"/>
      <c r="HQ55" s="20"/>
      <c r="HR55" s="20"/>
      <c r="HS55" s="20"/>
      <c r="HT55" s="20"/>
      <c r="HU55" s="20"/>
      <c r="HV55" s="20"/>
      <c r="HW55" s="20"/>
      <c r="HX55" s="20"/>
      <c r="HY55" s="20"/>
      <c r="HZ55" s="20"/>
      <c r="IA55" s="20"/>
      <c r="IB55" s="20"/>
      <c r="IC55" s="20"/>
      <c r="ID55" s="20"/>
      <c r="IE55" s="20"/>
      <c r="IF55" s="20"/>
      <c r="IG55" s="20"/>
      <c r="IH55" s="20"/>
      <c r="II55" s="20"/>
      <c r="IJ55" s="20"/>
      <c r="IK55" s="20"/>
      <c r="IL55" s="20"/>
      <c r="IM55" s="20"/>
      <c r="IN55" s="20"/>
      <c r="IO55" s="20"/>
      <c r="IP55" s="20"/>
      <c r="IQ55" s="20"/>
      <c r="IR55" s="20"/>
      <c r="IS55" s="20"/>
      <c r="IT55" s="20"/>
      <c r="IU55" s="20"/>
      <c r="IV55" s="20"/>
      <c r="IW55" s="20"/>
      <c r="IX55" s="20"/>
      <c r="IY55" s="20"/>
      <c r="IZ55" s="20"/>
      <c r="JA55" s="20"/>
      <c r="JB55" s="20"/>
      <c r="JC55" s="20"/>
      <c r="JD55" s="20"/>
      <c r="JE55" s="20"/>
      <c r="JF55" s="20"/>
      <c r="JG55" s="20"/>
      <c r="JH55" s="20"/>
      <c r="JI55" s="20"/>
      <c r="JJ55" s="20"/>
      <c r="JK55" s="20"/>
      <c r="JL55" s="20"/>
      <c r="JM55" s="20"/>
      <c r="JN55" s="20"/>
      <c r="JO55" s="20"/>
      <c r="JP55" s="20"/>
      <c r="JQ55" s="20"/>
      <c r="JR55" s="20"/>
      <c r="JS55" s="20"/>
      <c r="JT55" s="20"/>
      <c r="JU55" s="20"/>
      <c r="JV55" s="20"/>
      <c r="JW55" s="20"/>
      <c r="JX55" s="20"/>
      <c r="JY55" s="20"/>
      <c r="JZ55" s="20"/>
      <c r="KA55" s="20"/>
      <c r="KB55" s="20"/>
      <c r="KC55" s="20"/>
      <c r="KD55" s="20"/>
      <c r="KE55" s="20"/>
      <c r="KF55" s="20"/>
      <c r="KG55" s="20"/>
      <c r="KH55" s="20"/>
      <c r="KI55" s="20"/>
      <c r="KJ55" s="20"/>
      <c r="KK55" s="20"/>
      <c r="KL55" s="20"/>
      <c r="KM55" s="20"/>
      <c r="KN55" s="20"/>
      <c r="KO55" s="20"/>
      <c r="KP55" s="20"/>
      <c r="KQ55" s="20"/>
      <c r="KR55" s="20"/>
      <c r="KS55" s="20"/>
      <c r="KT55" s="20"/>
      <c r="KU55" s="20"/>
      <c r="KV55" s="20"/>
      <c r="KW55" s="20"/>
      <c r="KX55" s="20"/>
      <c r="KY55" s="20"/>
      <c r="KZ55" s="20"/>
      <c r="LA55" s="20"/>
      <c r="LB55" s="20"/>
      <c r="LC55" s="20"/>
      <c r="LD55" s="20"/>
      <c r="LE55" s="20"/>
      <c r="LF55" s="20"/>
      <c r="LG55" s="20"/>
      <c r="LH55" s="20"/>
      <c r="LI55" s="20"/>
      <c r="LJ55" s="20"/>
      <c r="LK55" s="20"/>
      <c r="LL55" s="20"/>
      <c r="LM55" s="20"/>
      <c r="LN55" s="20"/>
      <c r="LO55" s="20"/>
      <c r="LP55" s="20"/>
      <c r="LQ55" s="20"/>
      <c r="LR55" s="20"/>
      <c r="LS55" s="20"/>
      <c r="LT55" s="20"/>
      <c r="LU55" s="20"/>
      <c r="LV55" s="20"/>
      <c r="LW55" s="20"/>
      <c r="LX55" s="20"/>
      <c r="LY55" s="20"/>
      <c r="LZ55" s="20"/>
      <c r="MA55" s="20"/>
      <c r="MB55" s="20"/>
      <c r="MC55" s="20"/>
      <c r="MD55" s="20"/>
      <c r="ME55" s="20"/>
      <c r="MF55" s="20"/>
      <c r="MG55" s="20"/>
      <c r="MH55" s="20"/>
      <c r="MI55" s="20"/>
      <c r="MJ55" s="20"/>
      <c r="MK55" s="20"/>
      <c r="ML55" s="20"/>
      <c r="MM55" s="20"/>
      <c r="MN55" s="20"/>
      <c r="MO55" s="20"/>
      <c r="MP55" s="20"/>
      <c r="MQ55" s="20"/>
      <c r="MR55" s="20"/>
      <c r="MS55" s="20"/>
      <c r="MT55" s="20"/>
      <c r="MU55" s="20"/>
      <c r="MV55" s="20"/>
      <c r="MW55" s="20"/>
      <c r="MX55" s="20"/>
      <c r="MY55" s="20"/>
      <c r="MZ55" s="20"/>
      <c r="NA55" s="20"/>
      <c r="NB55" s="20"/>
      <c r="NC55" s="20"/>
      <c r="ND55" s="20"/>
      <c r="NE55" s="20"/>
      <c r="NF55" s="20"/>
      <c r="NG55" s="20"/>
      <c r="NH55" s="20"/>
      <c r="NI55" s="20"/>
      <c r="NJ55" s="20"/>
      <c r="NK55" s="20"/>
      <c r="NL55" s="16"/>
      <c r="NM55" s="16"/>
      <c r="NN55" s="16"/>
      <c r="NO55" s="16"/>
      <c r="NP55" s="16"/>
      <c r="NQ55" s="16"/>
      <c r="NR55" s="16"/>
      <c r="NS55" s="16"/>
      <c r="NT55" s="16"/>
      <c r="NU55" s="16"/>
      <c r="NV55" s="16"/>
      <c r="NW55" s="16"/>
      <c r="NX55" s="16"/>
      <c r="NY55" s="16"/>
      <c r="NZ55" s="20"/>
      <c r="OA55" s="20"/>
      <c r="OB55" s="20"/>
      <c r="OC55" s="20"/>
      <c r="OD55" s="20"/>
      <c r="OE55" s="20"/>
      <c r="OF55" s="20"/>
      <c r="OG55" s="20"/>
      <c r="OH55" s="20"/>
    </row>
    <row r="56" spans="1:399" s="3" customFormat="1" x14ac:dyDescent="0.3"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  <c r="AA56" s="20"/>
      <c r="AB56" s="20"/>
      <c r="AC56" s="20"/>
      <c r="AD56" s="20"/>
      <c r="AE56" s="20"/>
      <c r="AF56" s="20"/>
      <c r="AG56" s="20"/>
      <c r="AH56" s="20"/>
      <c r="AI56" s="16"/>
      <c r="AJ56" s="16"/>
      <c r="AK56" s="16"/>
      <c r="AL56" s="16"/>
      <c r="AM56" s="16"/>
      <c r="AN56" s="16"/>
      <c r="AO56" s="16"/>
      <c r="AP56" s="16"/>
      <c r="AQ56" s="16"/>
      <c r="AR56" s="16"/>
      <c r="AS56" s="16"/>
      <c r="AT56" s="16"/>
      <c r="AU56" s="16"/>
      <c r="AV56" s="16"/>
      <c r="AW56" s="16"/>
      <c r="AX56" s="16"/>
      <c r="AY56" s="16"/>
      <c r="AZ56" s="16"/>
      <c r="BA56" s="16"/>
      <c r="BB56" s="16"/>
      <c r="BC56" s="16"/>
      <c r="BD56" s="16"/>
      <c r="BE56" s="16"/>
      <c r="BF56" s="16"/>
      <c r="BG56" s="16"/>
      <c r="BH56" s="16"/>
      <c r="BI56" s="16"/>
      <c r="BJ56" s="16"/>
      <c r="BK56" s="16"/>
      <c r="BL56" s="16"/>
      <c r="BM56" s="16"/>
      <c r="BN56" s="16"/>
      <c r="BO56" s="16"/>
      <c r="BP56" s="16"/>
      <c r="BQ56" s="16"/>
      <c r="BR56" s="16"/>
      <c r="BS56" s="16"/>
      <c r="BT56" s="16"/>
      <c r="BU56" s="16"/>
      <c r="BV56" s="16"/>
      <c r="BW56" s="16"/>
      <c r="BX56" s="16"/>
      <c r="BY56" s="16"/>
      <c r="BZ56" s="16"/>
      <c r="CA56" s="16"/>
      <c r="CB56" s="16"/>
      <c r="CC56" s="16"/>
      <c r="CD56" s="16"/>
      <c r="CE56" s="16"/>
      <c r="CF56" s="16"/>
      <c r="CG56" s="16"/>
      <c r="CH56" s="16"/>
      <c r="CI56" s="16"/>
      <c r="CJ56" s="16"/>
      <c r="CK56" s="16"/>
      <c r="CL56" s="16"/>
      <c r="CM56" s="16"/>
      <c r="CN56" s="16"/>
      <c r="CO56" s="16"/>
      <c r="CP56" s="16"/>
      <c r="CQ56" s="16"/>
      <c r="CR56" s="16"/>
      <c r="CS56" s="16"/>
      <c r="CT56" s="16"/>
      <c r="CU56" s="16"/>
      <c r="CV56" s="16"/>
      <c r="CW56" s="16"/>
      <c r="CX56" s="16"/>
      <c r="CY56" s="16"/>
      <c r="CZ56" s="16"/>
      <c r="DA56" s="16"/>
      <c r="DB56" s="16"/>
      <c r="DC56" s="16"/>
      <c r="DD56" s="16"/>
      <c r="DE56" s="16"/>
      <c r="DF56" s="16"/>
      <c r="DG56" s="16"/>
      <c r="DH56" s="16"/>
      <c r="DI56" s="16"/>
      <c r="DJ56" s="16"/>
      <c r="DK56" s="16"/>
      <c r="DL56" s="16"/>
      <c r="DM56" s="16"/>
      <c r="DN56" s="20"/>
      <c r="DO56" s="20"/>
      <c r="DP56" s="20"/>
      <c r="DQ56" s="20"/>
      <c r="DR56" s="20"/>
      <c r="DS56" s="20"/>
      <c r="DT56" s="20"/>
      <c r="DU56" s="20"/>
      <c r="DV56" s="20"/>
      <c r="DW56" s="20"/>
      <c r="DX56" s="20"/>
      <c r="DY56" s="20"/>
      <c r="DZ56" s="20"/>
      <c r="EA56" s="20"/>
      <c r="EB56" s="20"/>
      <c r="EC56" s="20"/>
      <c r="ED56" s="20"/>
      <c r="EE56" s="20"/>
      <c r="EF56" s="20"/>
      <c r="EG56" s="20"/>
      <c r="EH56" s="20"/>
      <c r="EI56" s="20"/>
      <c r="EJ56" s="20"/>
      <c r="EK56" s="20"/>
      <c r="EL56" s="20"/>
      <c r="EM56" s="20"/>
      <c r="EN56" s="20"/>
      <c r="EO56" s="20"/>
      <c r="EP56" s="20"/>
      <c r="EQ56" s="20"/>
      <c r="ER56" s="20"/>
      <c r="ES56" s="20"/>
      <c r="ET56" s="20"/>
      <c r="EU56" s="20"/>
      <c r="EV56" s="20"/>
      <c r="EW56" s="20"/>
      <c r="EX56" s="20"/>
      <c r="EY56" s="20"/>
      <c r="EZ56" s="20"/>
      <c r="FA56" s="20"/>
      <c r="FB56" s="20"/>
      <c r="FC56" s="20"/>
      <c r="FD56" s="20"/>
      <c r="FE56" s="20"/>
      <c r="FF56" s="20"/>
      <c r="FG56" s="20"/>
      <c r="FH56" s="20"/>
      <c r="FI56" s="20"/>
      <c r="FJ56" s="20"/>
      <c r="FK56" s="20"/>
      <c r="FL56" s="20"/>
      <c r="FM56" s="20"/>
      <c r="FN56" s="20"/>
      <c r="FO56" s="20"/>
      <c r="FP56" s="20"/>
      <c r="FQ56" s="20"/>
      <c r="FR56" s="20"/>
      <c r="FS56" s="20"/>
      <c r="FT56" s="20"/>
      <c r="FU56" s="20"/>
      <c r="FV56" s="20"/>
      <c r="FW56" s="20"/>
      <c r="FX56" s="20"/>
      <c r="FY56" s="20"/>
      <c r="FZ56" s="20"/>
      <c r="GA56" s="20"/>
      <c r="GB56" s="20"/>
      <c r="GC56" s="20"/>
      <c r="GD56" s="20"/>
      <c r="GE56" s="20"/>
      <c r="GF56" s="20"/>
      <c r="GG56" s="20"/>
      <c r="GH56" s="20"/>
      <c r="GI56" s="20"/>
      <c r="GJ56" s="20"/>
      <c r="GK56" s="20"/>
      <c r="GL56" s="20"/>
      <c r="GM56" s="20"/>
      <c r="GN56" s="20"/>
      <c r="GO56" s="20"/>
      <c r="GP56" s="20"/>
      <c r="GQ56" s="20"/>
      <c r="GR56" s="20"/>
      <c r="GS56" s="20"/>
      <c r="GT56" s="20"/>
      <c r="GU56" s="20"/>
      <c r="GV56" s="20"/>
      <c r="GW56" s="20"/>
      <c r="GX56" s="20"/>
      <c r="GY56" s="20"/>
      <c r="GZ56" s="20"/>
      <c r="HA56" s="20"/>
      <c r="HB56" s="20"/>
      <c r="HC56" s="20"/>
      <c r="HD56" s="20"/>
      <c r="HE56" s="20"/>
      <c r="HF56" s="20"/>
      <c r="HG56" s="20"/>
      <c r="HH56" s="20"/>
      <c r="HI56" s="20"/>
      <c r="HJ56" s="20"/>
      <c r="HK56" s="20"/>
      <c r="HL56" s="20"/>
      <c r="HM56" s="20"/>
      <c r="HN56" s="20"/>
      <c r="HO56" s="20"/>
      <c r="HP56" s="20"/>
      <c r="HQ56" s="20"/>
      <c r="HR56" s="20"/>
      <c r="HS56" s="20"/>
      <c r="HT56" s="20"/>
      <c r="HU56" s="20"/>
      <c r="HV56" s="20"/>
      <c r="HW56" s="20"/>
      <c r="HX56" s="20"/>
      <c r="HY56" s="20"/>
      <c r="HZ56" s="20"/>
      <c r="IA56" s="20"/>
      <c r="IB56" s="20"/>
      <c r="IC56" s="20"/>
      <c r="ID56" s="20"/>
      <c r="IE56" s="20"/>
      <c r="IF56" s="20"/>
      <c r="IG56" s="20"/>
      <c r="IH56" s="20"/>
      <c r="II56" s="20"/>
      <c r="IJ56" s="20"/>
      <c r="IK56" s="20"/>
      <c r="IL56" s="20"/>
      <c r="IM56" s="20"/>
      <c r="IN56" s="20"/>
      <c r="IO56" s="20"/>
      <c r="IP56" s="20"/>
      <c r="IQ56" s="20"/>
      <c r="IR56" s="20"/>
      <c r="IS56" s="20"/>
      <c r="IT56" s="20"/>
      <c r="IU56" s="20"/>
      <c r="IV56" s="20"/>
      <c r="IW56" s="20"/>
      <c r="IX56" s="20"/>
      <c r="IY56" s="20"/>
      <c r="IZ56" s="20"/>
      <c r="JA56" s="20"/>
      <c r="JB56" s="20"/>
      <c r="JC56" s="20"/>
      <c r="JD56" s="20"/>
      <c r="JE56" s="20"/>
      <c r="JF56" s="20"/>
      <c r="JG56" s="20"/>
      <c r="JH56" s="20"/>
      <c r="JI56" s="20"/>
      <c r="JJ56" s="20"/>
      <c r="JK56" s="20"/>
      <c r="JL56" s="20"/>
      <c r="JM56" s="20"/>
      <c r="JN56" s="20"/>
      <c r="JO56" s="20"/>
      <c r="JP56" s="20"/>
      <c r="JQ56" s="20"/>
      <c r="JR56" s="20"/>
      <c r="JS56" s="20"/>
      <c r="JT56" s="20"/>
      <c r="JU56" s="20"/>
      <c r="JV56" s="20"/>
      <c r="JW56" s="20"/>
      <c r="JX56" s="20"/>
      <c r="JY56" s="20"/>
      <c r="JZ56" s="20"/>
      <c r="KA56" s="20"/>
      <c r="KB56" s="20"/>
      <c r="KC56" s="20"/>
      <c r="KD56" s="20"/>
      <c r="KE56" s="20"/>
      <c r="KF56" s="20"/>
      <c r="KG56" s="20"/>
      <c r="KH56" s="20"/>
      <c r="KI56" s="20"/>
      <c r="KJ56" s="20"/>
      <c r="KK56" s="20"/>
      <c r="KL56" s="20"/>
      <c r="KM56" s="20"/>
      <c r="KN56" s="20"/>
      <c r="KO56" s="20"/>
      <c r="KP56" s="20"/>
      <c r="KQ56" s="20"/>
      <c r="KR56" s="20"/>
      <c r="KS56" s="20"/>
      <c r="KT56" s="20"/>
      <c r="KU56" s="20"/>
      <c r="KV56" s="20"/>
      <c r="KW56" s="20"/>
      <c r="KX56" s="20"/>
      <c r="KY56" s="20"/>
      <c r="KZ56" s="20"/>
      <c r="LA56" s="20"/>
      <c r="LB56" s="20"/>
      <c r="LC56" s="20"/>
      <c r="LD56" s="20"/>
      <c r="LE56" s="20"/>
      <c r="LF56" s="20"/>
      <c r="LG56" s="20"/>
      <c r="LH56" s="20"/>
      <c r="LI56" s="20"/>
      <c r="LJ56" s="20"/>
      <c r="LK56" s="20"/>
      <c r="LL56" s="20"/>
      <c r="LM56" s="20"/>
      <c r="LN56" s="20"/>
      <c r="LO56" s="20"/>
      <c r="LP56" s="20"/>
      <c r="LQ56" s="20"/>
      <c r="LR56" s="20"/>
      <c r="LS56" s="20"/>
      <c r="LT56" s="20"/>
      <c r="LU56" s="20"/>
      <c r="LV56" s="20"/>
      <c r="LW56" s="20"/>
      <c r="LX56" s="20"/>
      <c r="LY56" s="20"/>
      <c r="LZ56" s="20"/>
      <c r="MA56" s="20"/>
      <c r="MB56" s="20"/>
      <c r="MC56" s="20"/>
      <c r="MD56" s="20"/>
      <c r="ME56" s="20"/>
      <c r="MF56" s="20"/>
      <c r="MG56" s="20"/>
      <c r="MH56" s="20"/>
      <c r="MI56" s="20"/>
      <c r="MJ56" s="20"/>
      <c r="MK56" s="20"/>
      <c r="ML56" s="20"/>
      <c r="MM56" s="20"/>
      <c r="MN56" s="20"/>
      <c r="MO56" s="20"/>
      <c r="MP56" s="20"/>
      <c r="MQ56" s="20"/>
      <c r="MR56" s="20"/>
      <c r="MS56" s="20"/>
      <c r="MT56" s="20"/>
      <c r="MU56" s="20"/>
      <c r="MV56" s="20"/>
      <c r="MW56" s="20"/>
      <c r="MX56" s="20"/>
      <c r="MY56" s="20"/>
      <c r="MZ56" s="20"/>
      <c r="NA56" s="20"/>
      <c r="NB56" s="20"/>
      <c r="NC56" s="20"/>
      <c r="ND56" s="20"/>
      <c r="NE56" s="20"/>
      <c r="NF56" s="20"/>
      <c r="NG56" s="20"/>
      <c r="NH56" s="20"/>
      <c r="NI56" s="20"/>
      <c r="NJ56" s="20"/>
      <c r="NK56" s="20"/>
      <c r="NL56" s="16"/>
      <c r="NM56" s="16"/>
      <c r="NN56" s="16"/>
      <c r="NO56" s="16"/>
      <c r="NP56" s="16"/>
      <c r="NQ56" s="16"/>
      <c r="NR56" s="16"/>
      <c r="NS56" s="16"/>
      <c r="NT56" s="16"/>
      <c r="NU56" s="16"/>
      <c r="NV56" s="16"/>
      <c r="NW56" s="16"/>
      <c r="NX56" s="16"/>
      <c r="NY56" s="16"/>
      <c r="NZ56" s="20"/>
      <c r="OA56" s="20"/>
      <c r="OB56" s="20"/>
      <c r="OC56" s="20"/>
      <c r="OD56" s="20"/>
      <c r="OE56" s="20"/>
      <c r="OF56" s="20"/>
      <c r="OG56" s="20"/>
      <c r="OH56" s="20"/>
    </row>
    <row r="57" spans="1:399" s="3" customFormat="1" x14ac:dyDescent="0.3"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  <c r="AA57" s="20"/>
      <c r="AB57" s="20"/>
      <c r="AC57" s="20"/>
      <c r="AD57" s="20"/>
      <c r="AE57" s="20"/>
      <c r="AF57" s="20"/>
      <c r="AG57" s="20"/>
      <c r="AH57" s="20"/>
      <c r="AI57" s="16"/>
      <c r="AJ57" s="16"/>
      <c r="AK57" s="16"/>
      <c r="AL57" s="16"/>
      <c r="AM57" s="16"/>
      <c r="AN57" s="16"/>
      <c r="AO57" s="16"/>
      <c r="AP57" s="16"/>
      <c r="AQ57" s="16"/>
      <c r="AR57" s="16"/>
      <c r="AS57" s="16"/>
      <c r="AT57" s="16"/>
      <c r="AU57" s="16"/>
      <c r="AV57" s="16"/>
      <c r="AW57" s="16"/>
      <c r="AX57" s="16"/>
      <c r="AY57" s="16"/>
      <c r="AZ57" s="16"/>
      <c r="BA57" s="16"/>
      <c r="BB57" s="16"/>
      <c r="BC57" s="16"/>
      <c r="BD57" s="16"/>
      <c r="BE57" s="16"/>
      <c r="BF57" s="16"/>
      <c r="BG57" s="16"/>
      <c r="BH57" s="16"/>
      <c r="BI57" s="16"/>
      <c r="BJ57" s="16"/>
      <c r="BK57" s="16"/>
      <c r="BL57" s="16"/>
      <c r="BM57" s="16"/>
      <c r="BN57" s="16"/>
      <c r="BO57" s="16"/>
      <c r="BP57" s="16"/>
      <c r="BQ57" s="16"/>
      <c r="BR57" s="16"/>
      <c r="BS57" s="16"/>
      <c r="BT57" s="16"/>
      <c r="BU57" s="16"/>
      <c r="BV57" s="16"/>
      <c r="BW57" s="16"/>
      <c r="BX57" s="16"/>
      <c r="BY57" s="16"/>
      <c r="BZ57" s="16"/>
      <c r="CA57" s="16"/>
      <c r="CB57" s="16"/>
      <c r="CC57" s="16"/>
      <c r="CD57" s="16"/>
      <c r="CE57" s="16"/>
      <c r="CF57" s="16"/>
      <c r="CG57" s="16"/>
      <c r="CH57" s="16"/>
      <c r="CI57" s="16"/>
      <c r="CJ57" s="16"/>
      <c r="CK57" s="16"/>
      <c r="CL57" s="16"/>
      <c r="CM57" s="16"/>
      <c r="CN57" s="16"/>
      <c r="CO57" s="16"/>
      <c r="CP57" s="16"/>
      <c r="CQ57" s="16"/>
      <c r="CR57" s="16"/>
      <c r="CS57" s="16"/>
      <c r="CT57" s="16"/>
      <c r="CU57" s="16"/>
      <c r="CV57" s="16"/>
      <c r="CW57" s="16"/>
      <c r="CX57" s="16"/>
      <c r="CY57" s="16"/>
      <c r="CZ57" s="16"/>
      <c r="DA57" s="16"/>
      <c r="DB57" s="16"/>
      <c r="DC57" s="16"/>
      <c r="DD57" s="16"/>
      <c r="DE57" s="16"/>
      <c r="DF57" s="16"/>
      <c r="DG57" s="16"/>
      <c r="DH57" s="16"/>
      <c r="DI57" s="16"/>
      <c r="DJ57" s="16"/>
      <c r="DK57" s="16"/>
      <c r="DL57" s="16"/>
      <c r="DM57" s="16"/>
      <c r="DN57" s="20"/>
      <c r="DO57" s="20"/>
      <c r="DP57" s="20"/>
      <c r="DQ57" s="20"/>
      <c r="DR57" s="20"/>
      <c r="DS57" s="20"/>
      <c r="DT57" s="20"/>
      <c r="DU57" s="20"/>
      <c r="DV57" s="20"/>
      <c r="DW57" s="20"/>
      <c r="DX57" s="20"/>
      <c r="DY57" s="20"/>
      <c r="DZ57" s="20"/>
      <c r="EA57" s="20"/>
      <c r="EB57" s="20"/>
      <c r="EC57" s="20"/>
      <c r="ED57" s="20"/>
      <c r="EE57" s="20"/>
      <c r="EF57" s="20"/>
      <c r="EG57" s="20"/>
      <c r="EH57" s="20"/>
      <c r="EI57" s="20"/>
      <c r="EJ57" s="20"/>
      <c r="EK57" s="20"/>
      <c r="EL57" s="20"/>
      <c r="EM57" s="20"/>
      <c r="EN57" s="20"/>
      <c r="EO57" s="20"/>
      <c r="EP57" s="20"/>
      <c r="EQ57" s="20"/>
      <c r="ER57" s="20"/>
      <c r="ES57" s="20"/>
      <c r="ET57" s="20"/>
      <c r="EU57" s="20"/>
      <c r="EV57" s="20"/>
      <c r="EW57" s="20"/>
      <c r="EX57" s="20"/>
      <c r="EY57" s="20"/>
      <c r="EZ57" s="20"/>
      <c r="FA57" s="20"/>
      <c r="FB57" s="20"/>
      <c r="FC57" s="20"/>
      <c r="FD57" s="20"/>
      <c r="FE57" s="20"/>
      <c r="FF57" s="20"/>
      <c r="FG57" s="20"/>
      <c r="FH57" s="20"/>
      <c r="FI57" s="20"/>
      <c r="FJ57" s="20"/>
      <c r="FK57" s="20"/>
      <c r="FL57" s="20"/>
      <c r="FM57" s="20"/>
      <c r="FN57" s="20"/>
      <c r="FO57" s="20"/>
      <c r="FP57" s="20"/>
      <c r="FQ57" s="20"/>
      <c r="FR57" s="20"/>
      <c r="FS57" s="20"/>
      <c r="FT57" s="20"/>
      <c r="FU57" s="20"/>
      <c r="FV57" s="20"/>
      <c r="FW57" s="20"/>
      <c r="FX57" s="20"/>
      <c r="FY57" s="20"/>
      <c r="FZ57" s="20"/>
      <c r="GA57" s="20"/>
      <c r="GB57" s="20"/>
      <c r="GC57" s="20"/>
      <c r="GD57" s="20"/>
      <c r="GE57" s="20"/>
      <c r="GF57" s="20"/>
      <c r="GG57" s="20"/>
      <c r="GH57" s="20"/>
      <c r="GI57" s="20"/>
      <c r="GJ57" s="20"/>
      <c r="GK57" s="20"/>
      <c r="GL57" s="20"/>
      <c r="GM57" s="20"/>
      <c r="GN57" s="20"/>
      <c r="GO57" s="20"/>
      <c r="GP57" s="20"/>
      <c r="GQ57" s="20"/>
      <c r="GR57" s="20"/>
      <c r="GS57" s="20"/>
      <c r="GT57" s="20"/>
      <c r="GU57" s="20"/>
      <c r="GV57" s="20"/>
      <c r="GW57" s="20"/>
      <c r="GX57" s="20"/>
      <c r="GY57" s="20"/>
      <c r="GZ57" s="20"/>
      <c r="HA57" s="20"/>
      <c r="HB57" s="20"/>
      <c r="HC57" s="20"/>
      <c r="HD57" s="20"/>
      <c r="HE57" s="20"/>
      <c r="HF57" s="20"/>
      <c r="HG57" s="20"/>
      <c r="HH57" s="20"/>
      <c r="HI57" s="20"/>
      <c r="HJ57" s="20"/>
      <c r="HK57" s="20"/>
      <c r="HL57" s="20"/>
      <c r="HM57" s="20"/>
      <c r="HN57" s="20"/>
      <c r="HO57" s="20"/>
      <c r="HP57" s="20"/>
      <c r="HQ57" s="20"/>
      <c r="HR57" s="20"/>
      <c r="HS57" s="20"/>
      <c r="HT57" s="20"/>
      <c r="HU57" s="20"/>
      <c r="HV57" s="20"/>
      <c r="HW57" s="20"/>
      <c r="HX57" s="20"/>
      <c r="HY57" s="20"/>
      <c r="HZ57" s="20"/>
      <c r="IA57" s="20"/>
      <c r="IB57" s="20"/>
      <c r="IC57" s="20"/>
      <c r="ID57" s="20"/>
      <c r="IE57" s="20"/>
      <c r="IF57" s="20"/>
      <c r="IG57" s="20"/>
      <c r="IH57" s="20"/>
      <c r="II57" s="20"/>
      <c r="IJ57" s="20"/>
      <c r="IK57" s="20"/>
      <c r="IL57" s="20"/>
      <c r="IM57" s="20"/>
      <c r="IN57" s="20"/>
      <c r="IO57" s="20"/>
      <c r="IP57" s="20"/>
      <c r="IQ57" s="20"/>
      <c r="IR57" s="20"/>
      <c r="IS57" s="20"/>
      <c r="IT57" s="20"/>
      <c r="IU57" s="20"/>
      <c r="IV57" s="20"/>
      <c r="IW57" s="20"/>
      <c r="IX57" s="20"/>
      <c r="IY57" s="20"/>
      <c r="IZ57" s="20"/>
      <c r="JA57" s="20"/>
      <c r="JB57" s="20"/>
      <c r="JC57" s="20"/>
      <c r="JD57" s="20"/>
      <c r="JE57" s="20"/>
      <c r="JF57" s="20"/>
      <c r="JG57" s="20"/>
      <c r="JH57" s="20"/>
      <c r="JI57" s="20"/>
      <c r="JJ57" s="20"/>
      <c r="JK57" s="20"/>
      <c r="JL57" s="20"/>
      <c r="JM57" s="20"/>
      <c r="JN57" s="20"/>
      <c r="JO57" s="20"/>
      <c r="JP57" s="20"/>
      <c r="JQ57" s="20"/>
      <c r="JR57" s="20"/>
      <c r="JS57" s="20"/>
      <c r="JT57" s="20"/>
      <c r="JU57" s="20"/>
      <c r="JV57" s="20"/>
      <c r="JW57" s="20"/>
      <c r="JX57" s="20"/>
      <c r="JY57" s="20"/>
      <c r="JZ57" s="20"/>
      <c r="KA57" s="20"/>
      <c r="KB57" s="20"/>
      <c r="KC57" s="20"/>
      <c r="KD57" s="20"/>
      <c r="KE57" s="20"/>
      <c r="KF57" s="20"/>
      <c r="KG57" s="20"/>
      <c r="KH57" s="20"/>
      <c r="KI57" s="20"/>
      <c r="KJ57" s="20"/>
      <c r="KK57" s="20"/>
      <c r="KL57" s="20"/>
      <c r="KM57" s="20"/>
      <c r="KN57" s="20"/>
      <c r="KO57" s="20"/>
      <c r="KP57" s="20"/>
      <c r="KQ57" s="20"/>
      <c r="KR57" s="20"/>
      <c r="KS57" s="20"/>
      <c r="KT57" s="20"/>
      <c r="KU57" s="20"/>
      <c r="KV57" s="20"/>
      <c r="KW57" s="20"/>
      <c r="KX57" s="20"/>
      <c r="KY57" s="20"/>
      <c r="KZ57" s="20"/>
      <c r="LA57" s="20"/>
      <c r="LB57" s="20"/>
      <c r="LC57" s="20"/>
      <c r="LD57" s="20"/>
      <c r="LE57" s="20"/>
      <c r="LF57" s="20"/>
      <c r="LG57" s="20"/>
      <c r="LH57" s="20"/>
      <c r="LI57" s="20"/>
      <c r="LJ57" s="20"/>
      <c r="LK57" s="20"/>
      <c r="LL57" s="20"/>
      <c r="LM57" s="20"/>
      <c r="LN57" s="20"/>
      <c r="LO57" s="20"/>
      <c r="LP57" s="20"/>
      <c r="LQ57" s="20"/>
      <c r="LR57" s="20"/>
      <c r="LS57" s="20"/>
      <c r="LT57" s="20"/>
      <c r="LU57" s="20"/>
      <c r="LV57" s="20"/>
      <c r="LW57" s="20"/>
      <c r="LX57" s="20"/>
      <c r="LY57" s="20"/>
      <c r="LZ57" s="20"/>
      <c r="MA57" s="20"/>
      <c r="MB57" s="20"/>
      <c r="MC57" s="20"/>
      <c r="MD57" s="20"/>
      <c r="ME57" s="20"/>
      <c r="MF57" s="20"/>
      <c r="MG57" s="20"/>
      <c r="MH57" s="20"/>
      <c r="MI57" s="20"/>
      <c r="MJ57" s="20"/>
      <c r="MK57" s="20"/>
      <c r="ML57" s="20"/>
      <c r="MM57" s="20"/>
      <c r="MN57" s="20"/>
      <c r="MO57" s="20"/>
      <c r="MP57" s="20"/>
      <c r="MQ57" s="20"/>
      <c r="MR57" s="20"/>
      <c r="MS57" s="20"/>
      <c r="MT57" s="20"/>
      <c r="MU57" s="20"/>
      <c r="MV57" s="20"/>
      <c r="MW57" s="20"/>
      <c r="MX57" s="20"/>
      <c r="MY57" s="20"/>
      <c r="MZ57" s="20"/>
      <c r="NA57" s="20"/>
      <c r="NB57" s="20"/>
      <c r="NC57" s="20"/>
      <c r="ND57" s="20"/>
      <c r="NE57" s="20"/>
      <c r="NF57" s="20"/>
      <c r="NG57" s="20"/>
      <c r="NH57" s="20"/>
      <c r="NI57" s="20"/>
      <c r="NJ57" s="20"/>
      <c r="NK57" s="20"/>
      <c r="NL57" s="16"/>
      <c r="NM57" s="16"/>
      <c r="NN57" s="16"/>
      <c r="NO57" s="16"/>
      <c r="NP57" s="16"/>
      <c r="NQ57" s="16"/>
      <c r="NR57" s="16"/>
      <c r="NS57" s="16"/>
      <c r="NT57" s="16"/>
      <c r="NU57" s="16"/>
      <c r="NV57" s="16"/>
      <c r="NW57" s="16"/>
      <c r="NX57" s="16"/>
      <c r="NY57" s="16"/>
      <c r="NZ57" s="20"/>
      <c r="OA57" s="20"/>
      <c r="OB57" s="20"/>
      <c r="OC57" s="20"/>
      <c r="OD57" s="20"/>
      <c r="OE57" s="20"/>
      <c r="OF57" s="20"/>
      <c r="OG57" s="20"/>
      <c r="OH57" s="20"/>
    </row>
    <row r="58" spans="1:399" s="3" customFormat="1" x14ac:dyDescent="0.3"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  <c r="AA58" s="20"/>
      <c r="AB58" s="20"/>
      <c r="AC58" s="20"/>
      <c r="AD58" s="20"/>
      <c r="AE58" s="20"/>
      <c r="AF58" s="20"/>
      <c r="AG58" s="20"/>
      <c r="AH58" s="20"/>
      <c r="AI58" s="16"/>
      <c r="AJ58" s="16"/>
      <c r="AK58" s="16"/>
      <c r="AL58" s="16"/>
      <c r="AM58" s="16"/>
      <c r="AN58" s="16"/>
      <c r="AO58" s="16"/>
      <c r="AP58" s="16"/>
      <c r="AQ58" s="16"/>
      <c r="AR58" s="16"/>
      <c r="AS58" s="16"/>
      <c r="AT58" s="16"/>
      <c r="AU58" s="16"/>
      <c r="AV58" s="16"/>
      <c r="AW58" s="16"/>
      <c r="AX58" s="16"/>
      <c r="AY58" s="16"/>
      <c r="AZ58" s="16"/>
      <c r="BA58" s="16"/>
      <c r="BB58" s="16"/>
      <c r="BC58" s="16"/>
      <c r="BD58" s="16"/>
      <c r="BE58" s="16"/>
      <c r="BF58" s="16"/>
      <c r="BG58" s="16"/>
      <c r="BH58" s="16"/>
      <c r="BI58" s="16"/>
      <c r="BJ58" s="16"/>
      <c r="BK58" s="16"/>
      <c r="BL58" s="16"/>
      <c r="BM58" s="16"/>
      <c r="BN58" s="16"/>
      <c r="BO58" s="16"/>
      <c r="BP58" s="16"/>
      <c r="BQ58" s="16"/>
      <c r="BR58" s="16"/>
      <c r="BS58" s="16"/>
      <c r="BT58" s="16"/>
      <c r="BU58" s="16"/>
      <c r="BV58" s="16"/>
      <c r="BW58" s="16"/>
      <c r="BX58" s="16"/>
      <c r="BY58" s="16"/>
      <c r="BZ58" s="16"/>
      <c r="CA58" s="16"/>
      <c r="CB58" s="16"/>
      <c r="CC58" s="16"/>
      <c r="CD58" s="16"/>
      <c r="CE58" s="16"/>
      <c r="CF58" s="16"/>
      <c r="CG58" s="16"/>
      <c r="CH58" s="16"/>
      <c r="CI58" s="16"/>
      <c r="CJ58" s="16"/>
      <c r="CK58" s="16"/>
      <c r="CL58" s="16"/>
      <c r="CM58" s="16"/>
      <c r="CN58" s="16"/>
      <c r="CO58" s="16"/>
      <c r="CP58" s="16"/>
      <c r="CQ58" s="16"/>
      <c r="CR58" s="16"/>
      <c r="CS58" s="16"/>
      <c r="CT58" s="16"/>
      <c r="CU58" s="16"/>
      <c r="CV58" s="16"/>
      <c r="CW58" s="16"/>
      <c r="CX58" s="16"/>
      <c r="CY58" s="16"/>
      <c r="CZ58" s="16"/>
      <c r="DA58" s="16"/>
      <c r="DB58" s="16"/>
      <c r="DC58" s="16"/>
      <c r="DD58" s="16"/>
      <c r="DE58" s="16"/>
      <c r="DF58" s="16"/>
      <c r="DG58" s="16"/>
      <c r="DH58" s="16"/>
      <c r="DI58" s="16"/>
      <c r="DJ58" s="16"/>
      <c r="DK58" s="16"/>
      <c r="DL58" s="16"/>
      <c r="DM58" s="16"/>
      <c r="DN58" s="20"/>
      <c r="DO58" s="20"/>
      <c r="DP58" s="20"/>
      <c r="DQ58" s="20"/>
      <c r="DR58" s="20"/>
      <c r="DS58" s="20"/>
      <c r="DT58" s="20"/>
      <c r="DU58" s="20"/>
      <c r="DV58" s="20"/>
      <c r="DW58" s="20"/>
      <c r="DX58" s="20"/>
      <c r="DY58" s="20"/>
      <c r="DZ58" s="20"/>
      <c r="EA58" s="20"/>
      <c r="EB58" s="20"/>
      <c r="EC58" s="20"/>
      <c r="ED58" s="20"/>
      <c r="EE58" s="20"/>
      <c r="EF58" s="20"/>
      <c r="EG58" s="20"/>
      <c r="EH58" s="20"/>
      <c r="EI58" s="20"/>
      <c r="EJ58" s="20"/>
      <c r="EK58" s="20"/>
      <c r="EL58" s="20"/>
      <c r="EM58" s="20"/>
      <c r="EN58" s="20"/>
      <c r="EO58" s="20"/>
      <c r="EP58" s="20"/>
      <c r="EQ58" s="20"/>
      <c r="ER58" s="20"/>
      <c r="ES58" s="20"/>
      <c r="ET58" s="20"/>
      <c r="EU58" s="20"/>
      <c r="EV58" s="20"/>
      <c r="EW58" s="20"/>
      <c r="EX58" s="20"/>
      <c r="EY58" s="20"/>
      <c r="EZ58" s="20"/>
      <c r="FA58" s="20"/>
      <c r="FB58" s="20"/>
      <c r="FC58" s="20"/>
      <c r="FD58" s="20"/>
      <c r="FE58" s="20"/>
      <c r="FF58" s="20"/>
      <c r="FG58" s="20"/>
      <c r="FH58" s="20"/>
      <c r="FI58" s="20"/>
      <c r="FJ58" s="20"/>
      <c r="FK58" s="20"/>
      <c r="FL58" s="20"/>
      <c r="FM58" s="20"/>
      <c r="FN58" s="20"/>
      <c r="FO58" s="20"/>
      <c r="FP58" s="20"/>
      <c r="FQ58" s="20"/>
      <c r="FR58" s="20"/>
      <c r="FS58" s="20"/>
      <c r="FT58" s="20"/>
      <c r="FU58" s="20"/>
      <c r="FV58" s="20"/>
      <c r="FW58" s="20"/>
      <c r="FX58" s="20"/>
      <c r="FY58" s="20"/>
      <c r="FZ58" s="20"/>
      <c r="GA58" s="20"/>
      <c r="GB58" s="20"/>
      <c r="GC58" s="20"/>
      <c r="GD58" s="20"/>
      <c r="GE58" s="20"/>
      <c r="GF58" s="20"/>
      <c r="GG58" s="20"/>
      <c r="GH58" s="20"/>
      <c r="GI58" s="20"/>
      <c r="GJ58" s="20"/>
      <c r="GK58" s="20"/>
      <c r="GL58" s="20"/>
      <c r="GM58" s="20"/>
      <c r="GN58" s="20"/>
      <c r="GO58" s="20"/>
      <c r="GP58" s="20"/>
      <c r="GQ58" s="20"/>
      <c r="GR58" s="20"/>
      <c r="GS58" s="20"/>
      <c r="GT58" s="20"/>
      <c r="GU58" s="20"/>
      <c r="GV58" s="20"/>
      <c r="GW58" s="20"/>
      <c r="GX58" s="20"/>
      <c r="GY58" s="20"/>
      <c r="GZ58" s="20"/>
      <c r="HA58" s="20"/>
      <c r="HB58" s="20"/>
      <c r="HC58" s="20"/>
      <c r="HD58" s="20"/>
      <c r="HE58" s="20"/>
      <c r="HF58" s="20"/>
      <c r="HG58" s="20"/>
      <c r="HH58" s="20"/>
      <c r="HI58" s="20"/>
      <c r="HJ58" s="20"/>
      <c r="HK58" s="20"/>
      <c r="HL58" s="20"/>
      <c r="HM58" s="20"/>
      <c r="HN58" s="20"/>
      <c r="HO58" s="20"/>
      <c r="HP58" s="20"/>
      <c r="HQ58" s="20"/>
      <c r="HR58" s="20"/>
      <c r="HS58" s="20"/>
      <c r="HT58" s="20"/>
      <c r="HU58" s="20"/>
      <c r="HV58" s="20"/>
      <c r="HW58" s="20"/>
      <c r="HX58" s="20"/>
      <c r="HY58" s="20"/>
      <c r="HZ58" s="20"/>
      <c r="IA58" s="20"/>
      <c r="IB58" s="20"/>
      <c r="IC58" s="20"/>
      <c r="ID58" s="20"/>
      <c r="IE58" s="20"/>
      <c r="IF58" s="20"/>
      <c r="IG58" s="20"/>
      <c r="IH58" s="20"/>
      <c r="II58" s="20"/>
      <c r="IJ58" s="20"/>
      <c r="IK58" s="20"/>
      <c r="IL58" s="20"/>
      <c r="IM58" s="20"/>
      <c r="IN58" s="20"/>
      <c r="IO58" s="20"/>
      <c r="IP58" s="20"/>
      <c r="IQ58" s="20"/>
      <c r="IR58" s="20"/>
      <c r="IS58" s="20"/>
      <c r="IT58" s="20"/>
      <c r="IU58" s="20"/>
      <c r="IV58" s="20"/>
      <c r="IW58" s="20"/>
      <c r="IX58" s="20"/>
      <c r="IY58" s="20"/>
      <c r="IZ58" s="20"/>
      <c r="JA58" s="20"/>
      <c r="JB58" s="20"/>
      <c r="JC58" s="20"/>
      <c r="JD58" s="20"/>
      <c r="JE58" s="20"/>
      <c r="JF58" s="20"/>
      <c r="JG58" s="20"/>
      <c r="JH58" s="20"/>
      <c r="JI58" s="20"/>
      <c r="JJ58" s="20"/>
      <c r="JK58" s="20"/>
      <c r="JL58" s="20"/>
      <c r="JM58" s="20"/>
      <c r="JN58" s="20"/>
      <c r="JO58" s="20"/>
      <c r="JP58" s="20"/>
      <c r="JQ58" s="20"/>
      <c r="JR58" s="20"/>
      <c r="JS58" s="20"/>
      <c r="JT58" s="20"/>
      <c r="JU58" s="20"/>
      <c r="JV58" s="20"/>
      <c r="JW58" s="20"/>
      <c r="JX58" s="20"/>
      <c r="JY58" s="20"/>
      <c r="JZ58" s="20"/>
      <c r="KA58" s="20"/>
      <c r="KB58" s="20"/>
      <c r="KC58" s="20"/>
      <c r="KD58" s="20"/>
      <c r="KE58" s="20"/>
      <c r="KF58" s="20"/>
      <c r="KG58" s="20"/>
      <c r="KH58" s="20"/>
      <c r="KI58" s="20"/>
      <c r="KJ58" s="20"/>
      <c r="KK58" s="20"/>
      <c r="KL58" s="20"/>
      <c r="KM58" s="20"/>
      <c r="KN58" s="20"/>
      <c r="KO58" s="20"/>
      <c r="KP58" s="20"/>
      <c r="KQ58" s="20"/>
      <c r="KR58" s="20"/>
      <c r="KS58" s="20"/>
      <c r="KT58" s="20"/>
      <c r="KU58" s="20"/>
      <c r="KV58" s="20"/>
      <c r="KW58" s="20"/>
      <c r="KX58" s="20"/>
      <c r="KY58" s="20"/>
      <c r="KZ58" s="20"/>
      <c r="LA58" s="20"/>
      <c r="LB58" s="20"/>
      <c r="LC58" s="20"/>
      <c r="LD58" s="20"/>
      <c r="LE58" s="20"/>
      <c r="LF58" s="20"/>
      <c r="LG58" s="20"/>
      <c r="LH58" s="20"/>
      <c r="LI58" s="20"/>
      <c r="LJ58" s="20"/>
      <c r="LK58" s="20"/>
      <c r="LL58" s="20"/>
      <c r="LM58" s="20"/>
      <c r="LN58" s="20"/>
      <c r="LO58" s="20"/>
      <c r="LP58" s="20"/>
      <c r="LQ58" s="20"/>
      <c r="LR58" s="20"/>
      <c r="LS58" s="20"/>
      <c r="LT58" s="20"/>
      <c r="LU58" s="20"/>
      <c r="LV58" s="20"/>
      <c r="LW58" s="20"/>
      <c r="LX58" s="20"/>
      <c r="LY58" s="20"/>
      <c r="LZ58" s="20"/>
      <c r="MA58" s="20"/>
      <c r="MB58" s="20"/>
      <c r="MC58" s="20"/>
      <c r="MD58" s="20"/>
      <c r="ME58" s="20"/>
      <c r="MF58" s="20"/>
      <c r="MG58" s="20"/>
      <c r="MH58" s="20"/>
      <c r="MI58" s="20"/>
      <c r="MJ58" s="20"/>
      <c r="MK58" s="20"/>
      <c r="ML58" s="20"/>
      <c r="MM58" s="20"/>
      <c r="MN58" s="20"/>
      <c r="MO58" s="20"/>
      <c r="MP58" s="20"/>
      <c r="MQ58" s="20"/>
      <c r="MR58" s="20"/>
      <c r="MS58" s="20"/>
      <c r="MT58" s="20"/>
      <c r="MU58" s="20"/>
      <c r="MV58" s="20"/>
      <c r="MW58" s="20"/>
      <c r="MX58" s="20"/>
      <c r="MY58" s="20"/>
      <c r="MZ58" s="20"/>
      <c r="NA58" s="20"/>
      <c r="NB58" s="20"/>
      <c r="NC58" s="20"/>
      <c r="ND58" s="20"/>
      <c r="NE58" s="20"/>
      <c r="NF58" s="20"/>
      <c r="NG58" s="20"/>
      <c r="NH58" s="20"/>
      <c r="NI58" s="20"/>
      <c r="NJ58" s="20"/>
      <c r="NK58" s="20"/>
      <c r="NL58" s="16"/>
      <c r="NM58" s="16"/>
      <c r="NN58" s="16"/>
      <c r="NO58" s="16"/>
      <c r="NP58" s="16"/>
      <c r="NQ58" s="16"/>
      <c r="NR58" s="16"/>
      <c r="NS58" s="16"/>
      <c r="NT58" s="16"/>
      <c r="NU58" s="16"/>
      <c r="NV58" s="16"/>
      <c r="NW58" s="16"/>
      <c r="NX58" s="16"/>
      <c r="NY58" s="16"/>
      <c r="NZ58" s="20"/>
      <c r="OA58" s="20"/>
      <c r="OB58" s="20"/>
      <c r="OC58" s="20"/>
      <c r="OD58" s="20"/>
      <c r="OE58" s="20"/>
      <c r="OF58" s="20"/>
      <c r="OG58" s="20"/>
      <c r="OH58" s="20"/>
    </row>
    <row r="59" spans="1:399" s="3" customFormat="1" x14ac:dyDescent="0.3">
      <c r="C59" s="20"/>
      <c r="D59" s="20"/>
      <c r="E59" s="20"/>
      <c r="F59" s="20"/>
      <c r="G59" s="20"/>
      <c r="H59" s="20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  <c r="AA59" s="20"/>
      <c r="AB59" s="20"/>
      <c r="AC59" s="20"/>
      <c r="AD59" s="20"/>
      <c r="AE59" s="20"/>
      <c r="AF59" s="20"/>
      <c r="AG59" s="20"/>
      <c r="AH59" s="20"/>
      <c r="AI59" s="16"/>
      <c r="AJ59" s="16"/>
      <c r="AK59" s="16"/>
      <c r="AL59" s="16"/>
      <c r="AM59" s="16"/>
      <c r="AN59" s="16"/>
      <c r="AO59" s="16"/>
      <c r="AP59" s="16"/>
      <c r="AQ59" s="16"/>
      <c r="AR59" s="16"/>
      <c r="AS59" s="16"/>
      <c r="AT59" s="16"/>
      <c r="AU59" s="16"/>
      <c r="AV59" s="16"/>
      <c r="AW59" s="16"/>
      <c r="AX59" s="16"/>
      <c r="AY59" s="16"/>
      <c r="AZ59" s="16"/>
      <c r="BA59" s="16"/>
      <c r="BB59" s="16"/>
      <c r="BC59" s="16"/>
      <c r="BD59" s="16"/>
      <c r="BE59" s="16"/>
      <c r="BF59" s="16"/>
      <c r="BG59" s="16"/>
      <c r="BH59" s="16"/>
      <c r="BI59" s="16"/>
      <c r="BJ59" s="16"/>
      <c r="BK59" s="16"/>
      <c r="BL59" s="16"/>
      <c r="BM59" s="16"/>
      <c r="BN59" s="16"/>
      <c r="BO59" s="16"/>
      <c r="BP59" s="16"/>
      <c r="BQ59" s="16"/>
      <c r="BR59" s="16"/>
      <c r="BS59" s="16"/>
      <c r="BT59" s="16"/>
      <c r="BU59" s="16"/>
      <c r="BV59" s="16"/>
      <c r="BW59" s="16"/>
      <c r="BX59" s="16"/>
      <c r="BY59" s="16"/>
      <c r="BZ59" s="16"/>
      <c r="CA59" s="16"/>
      <c r="CB59" s="16"/>
      <c r="CC59" s="16"/>
      <c r="CD59" s="16"/>
      <c r="CE59" s="16"/>
      <c r="CF59" s="16"/>
      <c r="CG59" s="16"/>
      <c r="CH59" s="16"/>
      <c r="CI59" s="16"/>
      <c r="CJ59" s="16"/>
      <c r="CK59" s="16"/>
      <c r="CL59" s="16"/>
      <c r="CM59" s="16"/>
      <c r="CN59" s="16"/>
      <c r="CO59" s="16"/>
      <c r="CP59" s="16"/>
      <c r="CQ59" s="16"/>
      <c r="CR59" s="16"/>
      <c r="CS59" s="16"/>
      <c r="CT59" s="16"/>
      <c r="CU59" s="16"/>
      <c r="CV59" s="16"/>
      <c r="CW59" s="16"/>
      <c r="CX59" s="16"/>
      <c r="CY59" s="16"/>
      <c r="CZ59" s="16"/>
      <c r="DA59" s="16"/>
      <c r="DB59" s="16"/>
      <c r="DC59" s="16"/>
      <c r="DD59" s="16"/>
      <c r="DE59" s="16"/>
      <c r="DF59" s="16"/>
      <c r="DG59" s="16"/>
      <c r="DH59" s="16"/>
      <c r="DI59" s="16"/>
      <c r="DJ59" s="16"/>
      <c r="DK59" s="16"/>
      <c r="DL59" s="16"/>
      <c r="DM59" s="16"/>
      <c r="DN59" s="20"/>
      <c r="DO59" s="20"/>
      <c r="DP59" s="20"/>
      <c r="DQ59" s="20"/>
      <c r="DR59" s="20"/>
      <c r="DS59" s="20"/>
      <c r="DT59" s="20"/>
      <c r="DU59" s="20"/>
      <c r="DV59" s="20"/>
      <c r="DW59" s="20"/>
      <c r="DX59" s="20"/>
      <c r="DY59" s="20"/>
      <c r="DZ59" s="20"/>
      <c r="EA59" s="20"/>
      <c r="EB59" s="20"/>
      <c r="EC59" s="20"/>
      <c r="ED59" s="20"/>
      <c r="EE59" s="20"/>
      <c r="EF59" s="20"/>
      <c r="EG59" s="20"/>
      <c r="EH59" s="20"/>
      <c r="EI59" s="20"/>
      <c r="EJ59" s="20"/>
      <c r="EK59" s="20"/>
      <c r="EL59" s="20"/>
      <c r="EM59" s="20"/>
      <c r="EN59" s="20"/>
      <c r="EO59" s="20"/>
      <c r="EP59" s="20"/>
      <c r="EQ59" s="20"/>
      <c r="ER59" s="20"/>
      <c r="ES59" s="20"/>
      <c r="ET59" s="20"/>
      <c r="EU59" s="20"/>
      <c r="EV59" s="20"/>
      <c r="EW59" s="20"/>
      <c r="EX59" s="20"/>
      <c r="EY59" s="20"/>
      <c r="EZ59" s="20"/>
      <c r="FA59" s="20"/>
      <c r="FB59" s="20"/>
      <c r="FC59" s="20"/>
      <c r="FD59" s="20"/>
      <c r="FE59" s="20"/>
      <c r="FF59" s="20"/>
      <c r="FG59" s="20"/>
      <c r="FH59" s="20"/>
      <c r="FI59" s="20"/>
      <c r="FJ59" s="20"/>
      <c r="FK59" s="20"/>
      <c r="FL59" s="20"/>
      <c r="FM59" s="20"/>
      <c r="FN59" s="20"/>
      <c r="FO59" s="20"/>
      <c r="FP59" s="20"/>
      <c r="FQ59" s="20"/>
      <c r="FR59" s="20"/>
      <c r="FS59" s="20"/>
      <c r="FT59" s="20"/>
      <c r="FU59" s="20"/>
      <c r="FV59" s="20"/>
      <c r="FW59" s="20"/>
      <c r="FX59" s="20"/>
      <c r="FY59" s="20"/>
      <c r="FZ59" s="20"/>
      <c r="GA59" s="20"/>
      <c r="GB59" s="20"/>
      <c r="GC59" s="20"/>
      <c r="GD59" s="20"/>
      <c r="GE59" s="20"/>
      <c r="GF59" s="20"/>
      <c r="GG59" s="20"/>
      <c r="GH59" s="20"/>
      <c r="GI59" s="20"/>
      <c r="GJ59" s="20"/>
      <c r="GK59" s="20"/>
      <c r="GL59" s="20"/>
      <c r="GM59" s="20"/>
      <c r="GN59" s="20"/>
      <c r="GO59" s="20"/>
      <c r="GP59" s="20"/>
      <c r="GQ59" s="20"/>
      <c r="GR59" s="20"/>
      <c r="GS59" s="20"/>
      <c r="GT59" s="20"/>
      <c r="GU59" s="20"/>
      <c r="GV59" s="20"/>
      <c r="GW59" s="20"/>
      <c r="GX59" s="20"/>
      <c r="GY59" s="20"/>
      <c r="GZ59" s="20"/>
      <c r="HA59" s="20"/>
      <c r="HB59" s="20"/>
      <c r="HC59" s="20"/>
      <c r="HD59" s="20"/>
      <c r="HE59" s="20"/>
      <c r="HF59" s="20"/>
      <c r="HG59" s="20"/>
      <c r="HH59" s="20"/>
      <c r="HI59" s="20"/>
      <c r="HJ59" s="20"/>
      <c r="HK59" s="20"/>
      <c r="HL59" s="20"/>
      <c r="HM59" s="20"/>
      <c r="HN59" s="20"/>
      <c r="HO59" s="20"/>
      <c r="HP59" s="20"/>
      <c r="HQ59" s="20"/>
      <c r="HR59" s="20"/>
      <c r="HS59" s="20"/>
      <c r="HT59" s="20"/>
      <c r="HU59" s="20"/>
      <c r="HV59" s="20"/>
      <c r="HW59" s="20"/>
      <c r="HX59" s="20"/>
      <c r="HY59" s="20"/>
      <c r="HZ59" s="20"/>
      <c r="IA59" s="20"/>
      <c r="IB59" s="20"/>
      <c r="IC59" s="20"/>
      <c r="ID59" s="20"/>
      <c r="IE59" s="20"/>
      <c r="IF59" s="20"/>
      <c r="IG59" s="20"/>
      <c r="IH59" s="20"/>
      <c r="II59" s="20"/>
      <c r="IJ59" s="20"/>
      <c r="IK59" s="20"/>
      <c r="IL59" s="20"/>
      <c r="IM59" s="20"/>
      <c r="IN59" s="20"/>
      <c r="IO59" s="20"/>
      <c r="IP59" s="20"/>
      <c r="IQ59" s="20"/>
      <c r="IR59" s="20"/>
      <c r="IS59" s="20"/>
      <c r="IT59" s="20"/>
      <c r="IU59" s="20"/>
      <c r="IV59" s="20"/>
      <c r="IW59" s="20"/>
      <c r="IX59" s="20"/>
      <c r="IY59" s="20"/>
      <c r="IZ59" s="20"/>
      <c r="JA59" s="20"/>
      <c r="JB59" s="20"/>
      <c r="JC59" s="20"/>
      <c r="JD59" s="20"/>
      <c r="JE59" s="20"/>
      <c r="JF59" s="20"/>
      <c r="JG59" s="20"/>
      <c r="JH59" s="20"/>
      <c r="JI59" s="20"/>
      <c r="JJ59" s="20"/>
      <c r="JK59" s="20"/>
      <c r="JL59" s="20"/>
      <c r="JM59" s="20"/>
      <c r="JN59" s="20"/>
      <c r="JO59" s="20"/>
      <c r="JP59" s="20"/>
      <c r="JQ59" s="20"/>
      <c r="JR59" s="20"/>
      <c r="JS59" s="20"/>
      <c r="JT59" s="20"/>
      <c r="JU59" s="20"/>
      <c r="JV59" s="20"/>
      <c r="JW59" s="20"/>
      <c r="JX59" s="20"/>
      <c r="JY59" s="20"/>
      <c r="JZ59" s="20"/>
      <c r="KA59" s="20"/>
      <c r="KB59" s="20"/>
      <c r="KC59" s="20"/>
      <c r="KD59" s="20"/>
      <c r="KE59" s="20"/>
      <c r="KF59" s="20"/>
      <c r="KG59" s="20"/>
      <c r="KH59" s="20"/>
      <c r="KI59" s="20"/>
      <c r="KJ59" s="20"/>
      <c r="KK59" s="20"/>
      <c r="KL59" s="20"/>
      <c r="KM59" s="20"/>
      <c r="KN59" s="20"/>
      <c r="KO59" s="20"/>
      <c r="KP59" s="20"/>
      <c r="KQ59" s="20"/>
      <c r="KR59" s="20"/>
      <c r="KS59" s="20"/>
      <c r="KT59" s="20"/>
      <c r="KU59" s="20"/>
      <c r="KV59" s="20"/>
      <c r="KW59" s="20"/>
      <c r="KX59" s="20"/>
      <c r="KY59" s="20"/>
      <c r="KZ59" s="20"/>
      <c r="LA59" s="20"/>
      <c r="LB59" s="20"/>
      <c r="LC59" s="20"/>
      <c r="LD59" s="20"/>
      <c r="LE59" s="20"/>
      <c r="LF59" s="20"/>
      <c r="LG59" s="20"/>
      <c r="LH59" s="20"/>
      <c r="LI59" s="20"/>
      <c r="LJ59" s="20"/>
      <c r="LK59" s="20"/>
      <c r="LL59" s="20"/>
      <c r="LM59" s="20"/>
      <c r="LN59" s="20"/>
      <c r="LO59" s="20"/>
      <c r="LP59" s="20"/>
      <c r="LQ59" s="20"/>
      <c r="LR59" s="20"/>
      <c r="LS59" s="20"/>
      <c r="LT59" s="20"/>
      <c r="LU59" s="20"/>
      <c r="LV59" s="20"/>
      <c r="LW59" s="20"/>
      <c r="LX59" s="20"/>
      <c r="LY59" s="20"/>
      <c r="LZ59" s="20"/>
      <c r="MA59" s="20"/>
      <c r="MB59" s="20"/>
      <c r="MC59" s="20"/>
      <c r="MD59" s="20"/>
      <c r="ME59" s="20"/>
      <c r="MF59" s="20"/>
      <c r="MG59" s="20"/>
      <c r="MH59" s="20"/>
      <c r="MI59" s="20"/>
      <c r="MJ59" s="20"/>
      <c r="MK59" s="20"/>
      <c r="ML59" s="20"/>
      <c r="MM59" s="20"/>
      <c r="MN59" s="20"/>
      <c r="MO59" s="20"/>
      <c r="MP59" s="20"/>
      <c r="MQ59" s="20"/>
      <c r="MR59" s="20"/>
      <c r="MS59" s="20"/>
      <c r="MT59" s="20"/>
      <c r="MU59" s="20"/>
      <c r="MV59" s="20"/>
      <c r="MW59" s="20"/>
      <c r="MX59" s="20"/>
      <c r="MY59" s="20"/>
      <c r="MZ59" s="20"/>
      <c r="NA59" s="20"/>
      <c r="NB59" s="20"/>
      <c r="NC59" s="20"/>
      <c r="ND59" s="20"/>
      <c r="NE59" s="20"/>
      <c r="NF59" s="20"/>
      <c r="NG59" s="20"/>
      <c r="NH59" s="20"/>
      <c r="NI59" s="20"/>
      <c r="NJ59" s="20"/>
      <c r="NK59" s="20"/>
      <c r="NL59" s="16"/>
      <c r="NM59" s="16"/>
      <c r="NN59" s="16"/>
      <c r="NO59" s="16"/>
      <c r="NP59" s="16"/>
      <c r="NQ59" s="16"/>
      <c r="NR59" s="16"/>
      <c r="NS59" s="16"/>
      <c r="NT59" s="16"/>
      <c r="NU59" s="16"/>
      <c r="NV59" s="16"/>
      <c r="NW59" s="16"/>
      <c r="NX59" s="16"/>
      <c r="NY59" s="16"/>
      <c r="NZ59" s="20"/>
      <c r="OA59" s="20"/>
      <c r="OB59" s="20"/>
      <c r="OC59" s="20"/>
      <c r="OD59" s="20"/>
      <c r="OE59" s="20"/>
      <c r="OF59" s="20"/>
      <c r="OG59" s="20"/>
      <c r="OH59" s="20"/>
    </row>
    <row r="60" spans="1:399" s="3" customFormat="1" x14ac:dyDescent="0.3"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  <c r="AA60" s="20"/>
      <c r="AB60" s="20"/>
      <c r="AC60" s="20"/>
      <c r="AD60" s="20"/>
      <c r="AE60" s="20"/>
      <c r="AF60" s="20"/>
      <c r="AG60" s="20"/>
      <c r="AH60" s="20"/>
      <c r="AI60" s="16"/>
      <c r="AJ60" s="16"/>
      <c r="AK60" s="16"/>
      <c r="AL60" s="16"/>
      <c r="AM60" s="16"/>
      <c r="AN60" s="16"/>
      <c r="AO60" s="16"/>
      <c r="AP60" s="16"/>
      <c r="AQ60" s="16"/>
      <c r="AR60" s="16"/>
      <c r="AS60" s="16"/>
      <c r="AT60" s="16"/>
      <c r="AU60" s="16"/>
      <c r="AV60" s="16"/>
      <c r="AW60" s="16"/>
      <c r="AX60" s="16"/>
      <c r="AY60" s="16"/>
      <c r="AZ60" s="16"/>
      <c r="BA60" s="16"/>
      <c r="BB60" s="16"/>
      <c r="BC60" s="16"/>
      <c r="BD60" s="16"/>
      <c r="BE60" s="16"/>
      <c r="BF60" s="16"/>
      <c r="BG60" s="16"/>
      <c r="BH60" s="16"/>
      <c r="BI60" s="16"/>
      <c r="BJ60" s="16"/>
      <c r="BK60" s="16"/>
      <c r="BL60" s="16"/>
      <c r="BM60" s="16"/>
      <c r="BN60" s="16"/>
      <c r="BO60" s="16"/>
      <c r="BP60" s="16"/>
      <c r="BQ60" s="16"/>
      <c r="BR60" s="16"/>
      <c r="BS60" s="16"/>
      <c r="BT60" s="16"/>
      <c r="BU60" s="16"/>
      <c r="BV60" s="16"/>
      <c r="BW60" s="16"/>
      <c r="BX60" s="16"/>
      <c r="BY60" s="16"/>
      <c r="BZ60" s="16"/>
      <c r="CA60" s="16"/>
      <c r="CB60" s="16"/>
      <c r="CC60" s="16"/>
      <c r="CD60" s="16"/>
      <c r="CE60" s="16"/>
      <c r="CF60" s="16"/>
      <c r="CG60" s="16"/>
      <c r="CH60" s="16"/>
      <c r="CI60" s="16"/>
      <c r="CJ60" s="16"/>
      <c r="CK60" s="16"/>
      <c r="CL60" s="16"/>
      <c r="CM60" s="16"/>
      <c r="CN60" s="16"/>
      <c r="CO60" s="16"/>
      <c r="CP60" s="16"/>
      <c r="CQ60" s="16"/>
      <c r="CR60" s="16"/>
      <c r="CS60" s="16"/>
      <c r="CT60" s="16"/>
      <c r="CU60" s="16"/>
      <c r="CV60" s="16"/>
      <c r="CW60" s="16"/>
      <c r="CX60" s="16"/>
      <c r="CY60" s="16"/>
      <c r="CZ60" s="16"/>
      <c r="DA60" s="16"/>
      <c r="DB60" s="16"/>
      <c r="DC60" s="16"/>
      <c r="DD60" s="16"/>
      <c r="DE60" s="16"/>
      <c r="DF60" s="16"/>
      <c r="DG60" s="16"/>
      <c r="DH60" s="16"/>
      <c r="DI60" s="16"/>
      <c r="DJ60" s="16"/>
      <c r="DK60" s="16"/>
      <c r="DL60" s="16"/>
      <c r="DM60" s="16"/>
      <c r="DN60" s="20"/>
      <c r="DO60" s="20"/>
      <c r="DP60" s="20"/>
      <c r="DQ60" s="20"/>
      <c r="DR60" s="20"/>
      <c r="DS60" s="20"/>
      <c r="DT60" s="20"/>
      <c r="DU60" s="20"/>
      <c r="DV60" s="20"/>
      <c r="DW60" s="20"/>
      <c r="DX60" s="20"/>
      <c r="DY60" s="20"/>
      <c r="DZ60" s="20"/>
      <c r="EA60" s="20"/>
      <c r="EB60" s="20"/>
      <c r="EC60" s="20"/>
      <c r="ED60" s="20"/>
      <c r="EE60" s="20"/>
      <c r="EF60" s="20"/>
      <c r="EG60" s="20"/>
      <c r="EH60" s="20"/>
      <c r="EI60" s="20"/>
      <c r="EJ60" s="20"/>
      <c r="EK60" s="20"/>
      <c r="EL60" s="20"/>
      <c r="EM60" s="20"/>
      <c r="EN60" s="20"/>
      <c r="EO60" s="20"/>
      <c r="EP60" s="20"/>
      <c r="EQ60" s="20"/>
      <c r="ER60" s="20"/>
      <c r="ES60" s="20"/>
      <c r="ET60" s="20"/>
      <c r="EU60" s="20"/>
      <c r="EV60" s="20"/>
      <c r="EW60" s="20"/>
      <c r="EX60" s="20"/>
      <c r="EY60" s="20"/>
      <c r="EZ60" s="20"/>
      <c r="FA60" s="20"/>
      <c r="FB60" s="20"/>
      <c r="FC60" s="20"/>
      <c r="FD60" s="20"/>
      <c r="FE60" s="20"/>
      <c r="FF60" s="20"/>
      <c r="FG60" s="20"/>
      <c r="FH60" s="20"/>
      <c r="FI60" s="20"/>
      <c r="FJ60" s="20"/>
      <c r="FK60" s="20"/>
      <c r="FL60" s="20"/>
      <c r="FM60" s="20"/>
      <c r="FN60" s="20"/>
      <c r="FO60" s="20"/>
      <c r="FP60" s="20"/>
      <c r="FQ60" s="20"/>
      <c r="FR60" s="20"/>
      <c r="FS60" s="20"/>
      <c r="FT60" s="20"/>
      <c r="FU60" s="20"/>
      <c r="FV60" s="20"/>
      <c r="FW60" s="20"/>
      <c r="FX60" s="20"/>
      <c r="FY60" s="20"/>
      <c r="FZ60" s="20"/>
      <c r="GA60" s="20"/>
      <c r="GB60" s="20"/>
      <c r="GC60" s="20"/>
      <c r="GD60" s="20"/>
      <c r="GE60" s="20"/>
      <c r="GF60" s="20"/>
      <c r="GG60" s="20"/>
      <c r="GH60" s="20"/>
      <c r="GI60" s="20"/>
      <c r="GJ60" s="20"/>
      <c r="GK60" s="20"/>
      <c r="GL60" s="20"/>
      <c r="GM60" s="20"/>
      <c r="GN60" s="20"/>
      <c r="GO60" s="20"/>
      <c r="GP60" s="20"/>
      <c r="GQ60" s="20"/>
      <c r="GR60" s="20"/>
      <c r="GS60" s="20"/>
      <c r="GT60" s="20"/>
      <c r="GU60" s="20"/>
      <c r="GV60" s="20"/>
      <c r="GW60" s="20"/>
      <c r="GX60" s="20"/>
      <c r="GY60" s="20"/>
      <c r="GZ60" s="20"/>
      <c r="HA60" s="20"/>
      <c r="HB60" s="20"/>
      <c r="HC60" s="20"/>
      <c r="HD60" s="20"/>
      <c r="HE60" s="20"/>
      <c r="HF60" s="20"/>
      <c r="HG60" s="20"/>
      <c r="HH60" s="20"/>
      <c r="HI60" s="20"/>
      <c r="HJ60" s="20"/>
      <c r="HK60" s="20"/>
      <c r="HL60" s="20"/>
      <c r="HM60" s="20"/>
      <c r="HN60" s="20"/>
      <c r="HO60" s="20"/>
      <c r="HP60" s="20"/>
      <c r="HQ60" s="20"/>
      <c r="HR60" s="20"/>
      <c r="HS60" s="20"/>
      <c r="HT60" s="20"/>
      <c r="HU60" s="20"/>
      <c r="HV60" s="20"/>
      <c r="HW60" s="20"/>
      <c r="HX60" s="20"/>
      <c r="HY60" s="20"/>
      <c r="HZ60" s="20"/>
      <c r="IA60" s="20"/>
      <c r="IB60" s="20"/>
      <c r="IC60" s="20"/>
      <c r="ID60" s="20"/>
      <c r="IE60" s="20"/>
      <c r="IF60" s="20"/>
      <c r="IG60" s="20"/>
      <c r="IH60" s="20"/>
      <c r="II60" s="20"/>
      <c r="IJ60" s="20"/>
      <c r="IK60" s="20"/>
      <c r="IL60" s="20"/>
      <c r="IM60" s="20"/>
      <c r="IN60" s="20"/>
      <c r="IO60" s="20"/>
      <c r="IP60" s="20"/>
      <c r="IQ60" s="20"/>
      <c r="IR60" s="20"/>
      <c r="IS60" s="20"/>
      <c r="IT60" s="20"/>
      <c r="IU60" s="20"/>
      <c r="IV60" s="20"/>
      <c r="IW60" s="20"/>
      <c r="IX60" s="20"/>
      <c r="IY60" s="20"/>
      <c r="IZ60" s="20"/>
      <c r="JA60" s="20"/>
      <c r="JB60" s="20"/>
      <c r="JC60" s="20"/>
      <c r="JD60" s="20"/>
      <c r="JE60" s="20"/>
      <c r="JF60" s="20"/>
      <c r="JG60" s="20"/>
      <c r="JH60" s="20"/>
      <c r="JI60" s="20"/>
      <c r="JJ60" s="20"/>
      <c r="JK60" s="20"/>
      <c r="JL60" s="20"/>
      <c r="JM60" s="20"/>
      <c r="JN60" s="20"/>
      <c r="JO60" s="20"/>
      <c r="JP60" s="20"/>
      <c r="JQ60" s="20"/>
      <c r="JR60" s="20"/>
      <c r="JS60" s="20"/>
      <c r="JT60" s="20"/>
      <c r="JU60" s="20"/>
      <c r="JV60" s="20"/>
      <c r="JW60" s="20"/>
      <c r="JX60" s="20"/>
      <c r="JY60" s="20"/>
      <c r="JZ60" s="20"/>
      <c r="KA60" s="20"/>
      <c r="KB60" s="20"/>
      <c r="KC60" s="20"/>
      <c r="KD60" s="20"/>
      <c r="KE60" s="20"/>
      <c r="KF60" s="20"/>
      <c r="KG60" s="20"/>
      <c r="KH60" s="20"/>
      <c r="KI60" s="20"/>
      <c r="KJ60" s="20"/>
      <c r="KK60" s="20"/>
      <c r="KL60" s="20"/>
      <c r="KM60" s="20"/>
      <c r="KN60" s="20"/>
      <c r="KO60" s="20"/>
      <c r="KP60" s="20"/>
      <c r="KQ60" s="20"/>
      <c r="KR60" s="20"/>
      <c r="KS60" s="20"/>
      <c r="KT60" s="20"/>
      <c r="KU60" s="20"/>
      <c r="KV60" s="20"/>
      <c r="KW60" s="20"/>
      <c r="KX60" s="20"/>
      <c r="KY60" s="20"/>
      <c r="KZ60" s="20"/>
      <c r="LA60" s="20"/>
      <c r="LB60" s="20"/>
      <c r="LC60" s="20"/>
      <c r="LD60" s="20"/>
      <c r="LE60" s="20"/>
      <c r="LF60" s="20"/>
      <c r="LG60" s="20"/>
      <c r="LH60" s="20"/>
      <c r="LI60" s="20"/>
      <c r="LJ60" s="20"/>
      <c r="LK60" s="20"/>
      <c r="LL60" s="20"/>
      <c r="LM60" s="20"/>
      <c r="LN60" s="20"/>
      <c r="LO60" s="20"/>
      <c r="LP60" s="20"/>
      <c r="LQ60" s="20"/>
      <c r="LR60" s="20"/>
      <c r="LS60" s="20"/>
      <c r="LT60" s="20"/>
      <c r="LU60" s="20"/>
      <c r="LV60" s="20"/>
      <c r="LW60" s="20"/>
      <c r="LX60" s="20"/>
      <c r="LY60" s="20"/>
      <c r="LZ60" s="20"/>
      <c r="MA60" s="20"/>
      <c r="MB60" s="20"/>
      <c r="MC60" s="20"/>
      <c r="MD60" s="20"/>
      <c r="ME60" s="20"/>
      <c r="MF60" s="20"/>
      <c r="MG60" s="20"/>
      <c r="MH60" s="20"/>
      <c r="MI60" s="20"/>
      <c r="MJ60" s="20"/>
      <c r="MK60" s="20"/>
      <c r="ML60" s="20"/>
      <c r="MM60" s="20"/>
      <c r="MN60" s="20"/>
      <c r="MO60" s="20"/>
      <c r="MP60" s="20"/>
      <c r="MQ60" s="20"/>
      <c r="MR60" s="20"/>
      <c r="MS60" s="20"/>
      <c r="MT60" s="20"/>
      <c r="MU60" s="20"/>
      <c r="MV60" s="20"/>
      <c r="MW60" s="20"/>
      <c r="MX60" s="20"/>
      <c r="MY60" s="20"/>
      <c r="MZ60" s="20"/>
      <c r="NA60" s="20"/>
      <c r="NB60" s="20"/>
      <c r="NC60" s="20"/>
      <c r="ND60" s="20"/>
      <c r="NE60" s="20"/>
      <c r="NF60" s="20"/>
      <c r="NG60" s="20"/>
      <c r="NH60" s="20"/>
      <c r="NI60" s="20"/>
      <c r="NJ60" s="20"/>
      <c r="NK60" s="20"/>
      <c r="NL60" s="16"/>
      <c r="NM60" s="16"/>
      <c r="NN60" s="16"/>
      <c r="NO60" s="16"/>
      <c r="NP60" s="16"/>
      <c r="NQ60" s="16"/>
      <c r="NR60" s="16"/>
      <c r="NS60" s="16"/>
      <c r="NT60" s="16"/>
      <c r="NU60" s="16"/>
      <c r="NV60" s="16"/>
      <c r="NW60" s="16"/>
      <c r="NX60" s="16"/>
      <c r="NY60" s="16"/>
      <c r="NZ60" s="20"/>
      <c r="OA60" s="20"/>
      <c r="OB60" s="20"/>
      <c r="OC60" s="20"/>
      <c r="OD60" s="20"/>
      <c r="OE60" s="20"/>
      <c r="OF60" s="20"/>
      <c r="OG60" s="20"/>
      <c r="OH60" s="20"/>
    </row>
    <row r="61" spans="1:399" s="3" customFormat="1" x14ac:dyDescent="0.3"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  <c r="AA61" s="20"/>
      <c r="AB61" s="20"/>
      <c r="AC61" s="20"/>
      <c r="AD61" s="20"/>
      <c r="AE61" s="20"/>
      <c r="AF61" s="20"/>
      <c r="AG61" s="20"/>
      <c r="AH61" s="20"/>
      <c r="AI61" s="16"/>
      <c r="AJ61" s="16"/>
      <c r="AK61" s="16"/>
      <c r="AL61" s="16"/>
      <c r="AM61" s="16"/>
      <c r="AN61" s="16"/>
      <c r="AO61" s="16"/>
      <c r="AP61" s="16"/>
      <c r="AQ61" s="16"/>
      <c r="AR61" s="16"/>
      <c r="AS61" s="16"/>
      <c r="AT61" s="16"/>
      <c r="AU61" s="16"/>
      <c r="AV61" s="16"/>
      <c r="AW61" s="16"/>
      <c r="AX61" s="16"/>
      <c r="AY61" s="16"/>
      <c r="AZ61" s="16"/>
      <c r="BA61" s="16"/>
      <c r="BB61" s="16"/>
      <c r="BC61" s="16"/>
      <c r="BD61" s="16"/>
      <c r="BE61" s="16"/>
      <c r="BF61" s="16"/>
      <c r="BG61" s="16"/>
      <c r="BH61" s="16"/>
      <c r="BI61" s="16"/>
      <c r="BJ61" s="16"/>
      <c r="BK61" s="16"/>
      <c r="BL61" s="16"/>
      <c r="BM61" s="16"/>
      <c r="BN61" s="16"/>
      <c r="BO61" s="16"/>
      <c r="BP61" s="16"/>
      <c r="BQ61" s="16"/>
      <c r="BR61" s="16"/>
      <c r="BS61" s="16"/>
      <c r="BT61" s="16"/>
      <c r="BU61" s="16"/>
      <c r="BV61" s="16"/>
      <c r="BW61" s="16"/>
      <c r="BX61" s="16"/>
      <c r="BY61" s="16"/>
      <c r="BZ61" s="16"/>
      <c r="CA61" s="16"/>
      <c r="CB61" s="16"/>
      <c r="CC61" s="16"/>
      <c r="CD61" s="16"/>
      <c r="CE61" s="16"/>
      <c r="CF61" s="16"/>
      <c r="CG61" s="16"/>
      <c r="CH61" s="16"/>
      <c r="CI61" s="16"/>
      <c r="CJ61" s="16"/>
      <c r="CK61" s="16"/>
      <c r="CL61" s="16"/>
      <c r="CM61" s="16"/>
      <c r="CN61" s="16"/>
      <c r="CO61" s="16"/>
      <c r="CP61" s="16"/>
      <c r="CQ61" s="16"/>
      <c r="CR61" s="16"/>
      <c r="CS61" s="16"/>
      <c r="CT61" s="16"/>
      <c r="CU61" s="16"/>
      <c r="CV61" s="16"/>
      <c r="CW61" s="16"/>
      <c r="CX61" s="16"/>
      <c r="CY61" s="16"/>
      <c r="CZ61" s="16"/>
      <c r="DA61" s="16"/>
      <c r="DB61" s="16"/>
      <c r="DC61" s="16"/>
      <c r="DD61" s="16"/>
      <c r="DE61" s="16"/>
      <c r="DF61" s="16"/>
      <c r="DG61" s="16"/>
      <c r="DH61" s="16"/>
      <c r="DI61" s="16"/>
      <c r="DJ61" s="16"/>
      <c r="DK61" s="16"/>
      <c r="DL61" s="16"/>
      <c r="DM61" s="16"/>
      <c r="DN61" s="20"/>
      <c r="DO61" s="20"/>
      <c r="DP61" s="20"/>
      <c r="DQ61" s="20"/>
      <c r="DR61" s="20"/>
      <c r="DS61" s="20"/>
      <c r="DT61" s="20"/>
      <c r="DU61" s="20"/>
      <c r="DV61" s="20"/>
      <c r="DW61" s="20"/>
      <c r="DX61" s="20"/>
      <c r="DY61" s="20"/>
      <c r="DZ61" s="20"/>
      <c r="EA61" s="20"/>
      <c r="EB61" s="20"/>
      <c r="EC61" s="20"/>
      <c r="ED61" s="20"/>
      <c r="EE61" s="20"/>
      <c r="EF61" s="20"/>
      <c r="EG61" s="20"/>
      <c r="EH61" s="20"/>
      <c r="EI61" s="20"/>
      <c r="EJ61" s="20"/>
      <c r="EK61" s="20"/>
      <c r="EL61" s="20"/>
      <c r="EM61" s="20"/>
      <c r="EN61" s="20"/>
      <c r="EO61" s="20"/>
      <c r="EP61" s="20"/>
      <c r="EQ61" s="20"/>
      <c r="ER61" s="20"/>
      <c r="ES61" s="20"/>
      <c r="ET61" s="20"/>
      <c r="EU61" s="20"/>
      <c r="EV61" s="20"/>
      <c r="EW61" s="20"/>
      <c r="EX61" s="20"/>
      <c r="EY61" s="20"/>
      <c r="EZ61" s="20"/>
      <c r="FA61" s="20"/>
      <c r="FB61" s="20"/>
      <c r="FC61" s="20"/>
      <c r="FD61" s="20"/>
      <c r="FE61" s="20"/>
      <c r="FF61" s="20"/>
      <c r="FG61" s="20"/>
      <c r="FH61" s="20"/>
      <c r="FI61" s="20"/>
      <c r="FJ61" s="20"/>
      <c r="FK61" s="20"/>
      <c r="FL61" s="20"/>
      <c r="FM61" s="20"/>
      <c r="FN61" s="20"/>
      <c r="FO61" s="20"/>
      <c r="FP61" s="20"/>
      <c r="FQ61" s="20"/>
      <c r="FR61" s="20"/>
      <c r="FS61" s="20"/>
      <c r="FT61" s="20"/>
      <c r="FU61" s="20"/>
      <c r="FV61" s="20"/>
      <c r="FW61" s="20"/>
      <c r="FX61" s="20"/>
      <c r="FY61" s="20"/>
      <c r="FZ61" s="20"/>
      <c r="GA61" s="20"/>
      <c r="GB61" s="20"/>
      <c r="GC61" s="20"/>
      <c r="GD61" s="20"/>
      <c r="GE61" s="20"/>
      <c r="GF61" s="20"/>
      <c r="GG61" s="20"/>
      <c r="GH61" s="20"/>
      <c r="GI61" s="20"/>
      <c r="GJ61" s="20"/>
      <c r="GK61" s="20"/>
      <c r="GL61" s="20"/>
      <c r="GM61" s="20"/>
      <c r="GN61" s="20"/>
      <c r="GO61" s="20"/>
      <c r="GP61" s="20"/>
      <c r="GQ61" s="20"/>
      <c r="GR61" s="20"/>
      <c r="GS61" s="20"/>
      <c r="GT61" s="20"/>
      <c r="GU61" s="20"/>
      <c r="GV61" s="20"/>
      <c r="GW61" s="20"/>
      <c r="GX61" s="20"/>
      <c r="GY61" s="20"/>
      <c r="GZ61" s="20"/>
      <c r="HA61" s="20"/>
      <c r="HB61" s="20"/>
      <c r="HC61" s="20"/>
      <c r="HD61" s="20"/>
      <c r="HE61" s="20"/>
      <c r="HF61" s="20"/>
      <c r="HG61" s="20"/>
      <c r="HH61" s="20"/>
      <c r="HI61" s="20"/>
      <c r="HJ61" s="20"/>
      <c r="HK61" s="20"/>
      <c r="HL61" s="20"/>
      <c r="HM61" s="20"/>
      <c r="HN61" s="20"/>
      <c r="HO61" s="20"/>
      <c r="HP61" s="20"/>
      <c r="HQ61" s="20"/>
      <c r="HR61" s="20"/>
      <c r="HS61" s="20"/>
      <c r="HT61" s="20"/>
      <c r="HU61" s="20"/>
      <c r="HV61" s="20"/>
      <c r="HW61" s="20"/>
      <c r="HX61" s="20"/>
      <c r="HY61" s="20"/>
      <c r="HZ61" s="20"/>
      <c r="IA61" s="20"/>
      <c r="IB61" s="20"/>
      <c r="IC61" s="20"/>
      <c r="ID61" s="20"/>
      <c r="IE61" s="20"/>
      <c r="IF61" s="20"/>
      <c r="IG61" s="20"/>
      <c r="IH61" s="20"/>
      <c r="II61" s="20"/>
      <c r="IJ61" s="20"/>
      <c r="IK61" s="20"/>
      <c r="IL61" s="20"/>
      <c r="IM61" s="20"/>
      <c r="IN61" s="20"/>
      <c r="IO61" s="20"/>
      <c r="IP61" s="20"/>
      <c r="IQ61" s="20"/>
      <c r="IR61" s="20"/>
      <c r="IS61" s="20"/>
      <c r="IT61" s="20"/>
      <c r="IU61" s="20"/>
      <c r="IV61" s="20"/>
      <c r="IW61" s="20"/>
      <c r="IX61" s="20"/>
      <c r="IY61" s="20"/>
      <c r="IZ61" s="20"/>
      <c r="JA61" s="20"/>
      <c r="JB61" s="20"/>
      <c r="JC61" s="20"/>
      <c r="JD61" s="20"/>
      <c r="JE61" s="20"/>
      <c r="JF61" s="20"/>
      <c r="JG61" s="20"/>
      <c r="JH61" s="20"/>
      <c r="JI61" s="20"/>
      <c r="JJ61" s="20"/>
      <c r="JK61" s="20"/>
      <c r="JL61" s="20"/>
      <c r="JM61" s="20"/>
      <c r="JN61" s="20"/>
      <c r="JO61" s="20"/>
      <c r="JP61" s="20"/>
      <c r="JQ61" s="20"/>
      <c r="JR61" s="20"/>
      <c r="JS61" s="20"/>
      <c r="JT61" s="20"/>
      <c r="JU61" s="20"/>
      <c r="JV61" s="20"/>
      <c r="JW61" s="20"/>
      <c r="JX61" s="20"/>
      <c r="JY61" s="20"/>
      <c r="JZ61" s="20"/>
      <c r="KA61" s="20"/>
      <c r="KB61" s="20"/>
      <c r="KC61" s="20"/>
      <c r="KD61" s="20"/>
      <c r="KE61" s="20"/>
      <c r="KF61" s="20"/>
      <c r="KG61" s="20"/>
      <c r="KH61" s="20"/>
      <c r="KI61" s="20"/>
      <c r="KJ61" s="20"/>
      <c r="KK61" s="20"/>
      <c r="KL61" s="20"/>
      <c r="KM61" s="20"/>
      <c r="KN61" s="20"/>
      <c r="KO61" s="20"/>
      <c r="KP61" s="20"/>
      <c r="KQ61" s="20"/>
      <c r="KR61" s="20"/>
      <c r="KS61" s="20"/>
      <c r="KT61" s="20"/>
      <c r="KU61" s="20"/>
      <c r="KV61" s="20"/>
      <c r="KW61" s="20"/>
      <c r="KX61" s="20"/>
      <c r="KY61" s="20"/>
      <c r="KZ61" s="20"/>
      <c r="LA61" s="20"/>
      <c r="LB61" s="20"/>
      <c r="LC61" s="20"/>
      <c r="LD61" s="20"/>
      <c r="LE61" s="20"/>
      <c r="LF61" s="20"/>
      <c r="LG61" s="20"/>
      <c r="LH61" s="20"/>
      <c r="LI61" s="20"/>
      <c r="LJ61" s="20"/>
      <c r="LK61" s="20"/>
      <c r="LL61" s="20"/>
      <c r="LM61" s="20"/>
      <c r="LN61" s="20"/>
      <c r="LO61" s="20"/>
      <c r="LP61" s="20"/>
      <c r="LQ61" s="20"/>
      <c r="LR61" s="20"/>
      <c r="LS61" s="20"/>
      <c r="LT61" s="20"/>
      <c r="LU61" s="20"/>
      <c r="LV61" s="20"/>
      <c r="LW61" s="20"/>
      <c r="LX61" s="20"/>
      <c r="LY61" s="20"/>
      <c r="LZ61" s="20"/>
      <c r="MA61" s="20"/>
      <c r="MB61" s="20"/>
      <c r="MC61" s="20"/>
      <c r="MD61" s="20"/>
      <c r="ME61" s="20"/>
      <c r="MF61" s="20"/>
      <c r="MG61" s="20"/>
      <c r="MH61" s="20"/>
      <c r="MI61" s="20"/>
      <c r="MJ61" s="20"/>
      <c r="MK61" s="20"/>
      <c r="ML61" s="20"/>
      <c r="MM61" s="20"/>
      <c r="MN61" s="20"/>
      <c r="MO61" s="20"/>
      <c r="MP61" s="20"/>
      <c r="MQ61" s="20"/>
      <c r="MR61" s="20"/>
      <c r="MS61" s="20"/>
      <c r="MT61" s="20"/>
      <c r="MU61" s="20"/>
      <c r="MV61" s="20"/>
      <c r="MW61" s="20"/>
      <c r="MX61" s="20"/>
      <c r="MY61" s="20"/>
      <c r="MZ61" s="20"/>
      <c r="NA61" s="20"/>
      <c r="NB61" s="20"/>
      <c r="NC61" s="20"/>
      <c r="ND61" s="20"/>
      <c r="NE61" s="20"/>
      <c r="NF61" s="20"/>
      <c r="NG61" s="20"/>
      <c r="NH61" s="20"/>
      <c r="NI61" s="20"/>
      <c r="NJ61" s="20"/>
      <c r="NK61" s="20"/>
      <c r="NL61" s="16"/>
      <c r="NM61" s="16"/>
      <c r="NN61" s="16"/>
      <c r="NO61" s="16"/>
      <c r="NP61" s="16"/>
      <c r="NQ61" s="16"/>
      <c r="NR61" s="16"/>
      <c r="NS61" s="16"/>
      <c r="NT61" s="16"/>
      <c r="NU61" s="16"/>
      <c r="NV61" s="16"/>
      <c r="NW61" s="16"/>
      <c r="NX61" s="16"/>
      <c r="NY61" s="16"/>
      <c r="NZ61" s="20"/>
      <c r="OA61" s="20"/>
      <c r="OB61" s="20"/>
      <c r="OC61" s="20"/>
      <c r="OD61" s="20"/>
      <c r="OE61" s="20"/>
      <c r="OF61" s="20"/>
      <c r="OG61" s="20"/>
      <c r="OH61" s="20"/>
    </row>
    <row r="62" spans="1:399" s="3" customFormat="1" x14ac:dyDescent="0.3"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0"/>
      <c r="Y62" s="20"/>
      <c r="Z62" s="20"/>
      <c r="AA62" s="20"/>
      <c r="AB62" s="20"/>
      <c r="AC62" s="20"/>
      <c r="AD62" s="20"/>
      <c r="AE62" s="20"/>
      <c r="AF62" s="20"/>
      <c r="AG62" s="20"/>
      <c r="AH62" s="20"/>
      <c r="AI62" s="16"/>
      <c r="AJ62" s="16"/>
      <c r="AK62" s="16"/>
      <c r="AL62" s="16"/>
      <c r="AM62" s="16"/>
      <c r="AN62" s="16"/>
      <c r="AO62" s="16"/>
      <c r="AP62" s="16"/>
      <c r="AQ62" s="16"/>
      <c r="AR62" s="16"/>
      <c r="AS62" s="16"/>
      <c r="AT62" s="16"/>
      <c r="AU62" s="16"/>
      <c r="AV62" s="16"/>
      <c r="AW62" s="16"/>
      <c r="AX62" s="16"/>
      <c r="AY62" s="16"/>
      <c r="AZ62" s="16"/>
      <c r="BA62" s="16"/>
      <c r="BB62" s="16"/>
      <c r="BC62" s="16"/>
      <c r="BD62" s="16"/>
      <c r="BE62" s="16"/>
      <c r="BF62" s="16"/>
      <c r="BG62" s="16"/>
      <c r="BH62" s="16"/>
      <c r="BI62" s="16"/>
      <c r="BJ62" s="16"/>
      <c r="BK62" s="16"/>
      <c r="BL62" s="16"/>
      <c r="BM62" s="16"/>
      <c r="BN62" s="16"/>
      <c r="BO62" s="16"/>
      <c r="BP62" s="16"/>
      <c r="BQ62" s="16"/>
      <c r="BR62" s="16"/>
      <c r="BS62" s="16"/>
      <c r="BT62" s="16"/>
      <c r="BU62" s="16"/>
      <c r="BV62" s="16"/>
      <c r="BW62" s="16"/>
      <c r="BX62" s="16"/>
      <c r="BY62" s="16"/>
      <c r="BZ62" s="16"/>
      <c r="CA62" s="16"/>
      <c r="CB62" s="16"/>
      <c r="CC62" s="16"/>
      <c r="CD62" s="16"/>
      <c r="CE62" s="16"/>
      <c r="CF62" s="16"/>
      <c r="CG62" s="16"/>
      <c r="CH62" s="16"/>
      <c r="CI62" s="16"/>
      <c r="CJ62" s="16"/>
      <c r="CK62" s="16"/>
      <c r="CL62" s="16"/>
      <c r="CM62" s="16"/>
      <c r="CN62" s="16"/>
      <c r="CO62" s="16"/>
      <c r="CP62" s="16"/>
      <c r="CQ62" s="16"/>
      <c r="CR62" s="16"/>
      <c r="CS62" s="16"/>
      <c r="CT62" s="16"/>
      <c r="CU62" s="16"/>
      <c r="CV62" s="16"/>
      <c r="CW62" s="16"/>
      <c r="CX62" s="16"/>
      <c r="CY62" s="16"/>
      <c r="CZ62" s="16"/>
      <c r="DA62" s="16"/>
      <c r="DB62" s="16"/>
      <c r="DC62" s="16"/>
      <c r="DD62" s="16"/>
      <c r="DE62" s="16"/>
      <c r="DF62" s="16"/>
      <c r="DG62" s="16"/>
      <c r="DH62" s="16"/>
      <c r="DI62" s="16"/>
      <c r="DJ62" s="16"/>
      <c r="DK62" s="16"/>
      <c r="DL62" s="16"/>
      <c r="DM62" s="16"/>
      <c r="DN62" s="20"/>
      <c r="DO62" s="20"/>
      <c r="DP62" s="20"/>
      <c r="DQ62" s="20"/>
      <c r="DR62" s="20"/>
      <c r="DS62" s="20"/>
      <c r="DT62" s="20"/>
      <c r="DU62" s="20"/>
      <c r="DV62" s="20"/>
      <c r="DW62" s="20"/>
      <c r="DX62" s="20"/>
      <c r="DY62" s="20"/>
      <c r="DZ62" s="20"/>
      <c r="EA62" s="20"/>
      <c r="EB62" s="20"/>
      <c r="EC62" s="20"/>
      <c r="ED62" s="20"/>
      <c r="EE62" s="20"/>
      <c r="EF62" s="20"/>
      <c r="EG62" s="20"/>
      <c r="EH62" s="20"/>
      <c r="EI62" s="20"/>
      <c r="EJ62" s="20"/>
      <c r="EK62" s="20"/>
      <c r="EL62" s="20"/>
      <c r="EM62" s="20"/>
      <c r="EN62" s="20"/>
      <c r="EO62" s="20"/>
      <c r="EP62" s="20"/>
      <c r="EQ62" s="20"/>
      <c r="ER62" s="20"/>
      <c r="ES62" s="20"/>
      <c r="ET62" s="20"/>
      <c r="EU62" s="20"/>
      <c r="EV62" s="20"/>
      <c r="EW62" s="20"/>
      <c r="EX62" s="20"/>
      <c r="EY62" s="20"/>
      <c r="EZ62" s="20"/>
      <c r="FA62" s="20"/>
      <c r="FB62" s="20"/>
      <c r="FC62" s="20"/>
      <c r="FD62" s="20"/>
      <c r="FE62" s="20"/>
      <c r="FF62" s="20"/>
      <c r="FG62" s="20"/>
      <c r="FH62" s="20"/>
      <c r="FI62" s="20"/>
      <c r="FJ62" s="20"/>
      <c r="FK62" s="20"/>
      <c r="FL62" s="20"/>
      <c r="FM62" s="20"/>
      <c r="FN62" s="20"/>
      <c r="FO62" s="20"/>
      <c r="FP62" s="20"/>
      <c r="FQ62" s="20"/>
      <c r="FR62" s="20"/>
      <c r="FS62" s="20"/>
      <c r="FT62" s="20"/>
      <c r="FU62" s="20"/>
      <c r="FV62" s="20"/>
      <c r="FW62" s="20"/>
      <c r="FX62" s="20"/>
      <c r="FY62" s="20"/>
      <c r="FZ62" s="20"/>
      <c r="GA62" s="20"/>
      <c r="GB62" s="20"/>
      <c r="GC62" s="20"/>
      <c r="GD62" s="20"/>
      <c r="GE62" s="20"/>
      <c r="GF62" s="20"/>
      <c r="GG62" s="20"/>
      <c r="GH62" s="20"/>
      <c r="GI62" s="20"/>
      <c r="GJ62" s="20"/>
      <c r="GK62" s="20"/>
      <c r="GL62" s="20"/>
      <c r="GM62" s="20"/>
      <c r="GN62" s="20"/>
      <c r="GO62" s="20"/>
      <c r="GP62" s="20"/>
      <c r="GQ62" s="20"/>
      <c r="GR62" s="20"/>
      <c r="GS62" s="20"/>
      <c r="GT62" s="20"/>
      <c r="GU62" s="20"/>
      <c r="GV62" s="20"/>
      <c r="GW62" s="20"/>
      <c r="GX62" s="20"/>
      <c r="GY62" s="20"/>
      <c r="GZ62" s="20"/>
      <c r="HA62" s="20"/>
      <c r="HB62" s="20"/>
      <c r="HC62" s="20"/>
      <c r="HD62" s="20"/>
      <c r="HE62" s="20"/>
      <c r="HF62" s="20"/>
      <c r="HG62" s="20"/>
      <c r="HH62" s="20"/>
      <c r="HI62" s="20"/>
      <c r="HJ62" s="20"/>
      <c r="HK62" s="20"/>
      <c r="HL62" s="20"/>
      <c r="HM62" s="20"/>
      <c r="HN62" s="20"/>
      <c r="HO62" s="20"/>
      <c r="HP62" s="20"/>
      <c r="HQ62" s="20"/>
      <c r="HR62" s="20"/>
      <c r="HS62" s="20"/>
      <c r="HT62" s="20"/>
      <c r="HU62" s="20"/>
      <c r="HV62" s="20"/>
      <c r="HW62" s="20"/>
      <c r="HX62" s="20"/>
      <c r="HY62" s="20"/>
      <c r="HZ62" s="20"/>
      <c r="IA62" s="20"/>
      <c r="IB62" s="20"/>
      <c r="IC62" s="20"/>
      <c r="ID62" s="20"/>
      <c r="IE62" s="20"/>
      <c r="IF62" s="20"/>
      <c r="IG62" s="20"/>
      <c r="IH62" s="20"/>
      <c r="II62" s="20"/>
      <c r="IJ62" s="20"/>
      <c r="IK62" s="20"/>
      <c r="IL62" s="20"/>
      <c r="IM62" s="20"/>
      <c r="IN62" s="20"/>
      <c r="IO62" s="20"/>
      <c r="IP62" s="20"/>
      <c r="IQ62" s="20"/>
      <c r="IR62" s="20"/>
      <c r="IS62" s="20"/>
      <c r="IT62" s="20"/>
      <c r="IU62" s="20"/>
      <c r="IV62" s="20"/>
      <c r="IW62" s="20"/>
      <c r="IX62" s="20"/>
      <c r="IY62" s="20"/>
      <c r="IZ62" s="20"/>
      <c r="JA62" s="20"/>
      <c r="JB62" s="20"/>
      <c r="JC62" s="20"/>
      <c r="JD62" s="20"/>
      <c r="JE62" s="20"/>
      <c r="JF62" s="20"/>
      <c r="JG62" s="20"/>
      <c r="JH62" s="20"/>
      <c r="JI62" s="20"/>
      <c r="JJ62" s="20"/>
      <c r="JK62" s="20"/>
      <c r="JL62" s="20"/>
      <c r="JM62" s="20"/>
      <c r="JN62" s="20"/>
      <c r="JO62" s="20"/>
      <c r="JP62" s="20"/>
      <c r="JQ62" s="20"/>
      <c r="JR62" s="20"/>
      <c r="JS62" s="20"/>
      <c r="JT62" s="20"/>
      <c r="JU62" s="20"/>
      <c r="JV62" s="20"/>
      <c r="JW62" s="20"/>
      <c r="JX62" s="20"/>
      <c r="JY62" s="20"/>
      <c r="JZ62" s="20"/>
      <c r="KA62" s="20"/>
      <c r="KB62" s="20"/>
      <c r="KC62" s="20"/>
      <c r="KD62" s="20"/>
      <c r="KE62" s="20"/>
      <c r="KF62" s="20"/>
      <c r="KG62" s="20"/>
      <c r="KH62" s="20"/>
      <c r="KI62" s="20"/>
      <c r="KJ62" s="20"/>
      <c r="KK62" s="20"/>
      <c r="KL62" s="20"/>
      <c r="KM62" s="20"/>
      <c r="KN62" s="20"/>
      <c r="KO62" s="20"/>
      <c r="KP62" s="20"/>
      <c r="KQ62" s="20"/>
      <c r="KR62" s="20"/>
      <c r="KS62" s="20"/>
      <c r="KT62" s="20"/>
      <c r="KU62" s="20"/>
      <c r="KV62" s="20"/>
      <c r="KW62" s="20"/>
      <c r="KX62" s="20"/>
      <c r="KY62" s="20"/>
      <c r="KZ62" s="20"/>
      <c r="LA62" s="20"/>
      <c r="LB62" s="20"/>
      <c r="LC62" s="20"/>
      <c r="LD62" s="20"/>
      <c r="LE62" s="20"/>
      <c r="LF62" s="20"/>
      <c r="LG62" s="20"/>
      <c r="LH62" s="20"/>
      <c r="LI62" s="20"/>
      <c r="LJ62" s="20"/>
      <c r="LK62" s="20"/>
      <c r="LL62" s="20"/>
      <c r="LM62" s="20"/>
      <c r="LN62" s="20"/>
      <c r="LO62" s="20"/>
      <c r="LP62" s="20"/>
      <c r="LQ62" s="20"/>
      <c r="LR62" s="20"/>
      <c r="LS62" s="20"/>
      <c r="LT62" s="20"/>
      <c r="LU62" s="20"/>
      <c r="LV62" s="20"/>
      <c r="LW62" s="20"/>
      <c r="LX62" s="20"/>
      <c r="LY62" s="20"/>
      <c r="LZ62" s="20"/>
      <c r="MA62" s="20"/>
      <c r="MB62" s="20"/>
      <c r="MC62" s="20"/>
      <c r="MD62" s="20"/>
      <c r="ME62" s="20"/>
      <c r="MF62" s="20"/>
      <c r="MG62" s="20"/>
      <c r="MH62" s="20"/>
      <c r="MI62" s="20"/>
      <c r="MJ62" s="20"/>
      <c r="MK62" s="20"/>
      <c r="ML62" s="20"/>
      <c r="MM62" s="20"/>
      <c r="MN62" s="20"/>
      <c r="MO62" s="20"/>
      <c r="MP62" s="20"/>
      <c r="MQ62" s="20"/>
      <c r="MR62" s="20"/>
      <c r="MS62" s="20"/>
      <c r="MT62" s="20"/>
      <c r="MU62" s="20"/>
      <c r="MV62" s="20"/>
      <c r="MW62" s="20"/>
      <c r="MX62" s="20"/>
      <c r="MY62" s="20"/>
      <c r="MZ62" s="20"/>
      <c r="NA62" s="20"/>
      <c r="NB62" s="20"/>
      <c r="NC62" s="20"/>
      <c r="ND62" s="20"/>
      <c r="NE62" s="20"/>
      <c r="NF62" s="20"/>
      <c r="NG62" s="20"/>
      <c r="NH62" s="20"/>
      <c r="NI62" s="20"/>
      <c r="NJ62" s="20"/>
      <c r="NK62" s="20"/>
      <c r="NL62" s="16"/>
      <c r="NM62" s="16"/>
      <c r="NN62" s="16"/>
      <c r="NO62" s="16"/>
      <c r="NP62" s="16"/>
      <c r="NQ62" s="16"/>
      <c r="NR62" s="16"/>
      <c r="NS62" s="16"/>
      <c r="NT62" s="16"/>
      <c r="NU62" s="16"/>
      <c r="NV62" s="16"/>
      <c r="NW62" s="16"/>
      <c r="NX62" s="16"/>
      <c r="NY62" s="16"/>
      <c r="NZ62" s="20"/>
      <c r="OA62" s="20"/>
      <c r="OB62" s="20"/>
      <c r="OC62" s="20"/>
      <c r="OD62" s="20"/>
      <c r="OE62" s="20"/>
      <c r="OF62" s="20"/>
      <c r="OG62" s="20"/>
      <c r="OH62" s="20"/>
    </row>
    <row r="63" spans="1:399" s="3" customFormat="1" x14ac:dyDescent="0.3"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0"/>
      <c r="Y63" s="20"/>
      <c r="Z63" s="20"/>
      <c r="AA63" s="20"/>
      <c r="AB63" s="20"/>
      <c r="AC63" s="20"/>
      <c r="AD63" s="20"/>
      <c r="AE63" s="20"/>
      <c r="AF63" s="20"/>
      <c r="AG63" s="20"/>
      <c r="AH63" s="20"/>
      <c r="AI63" s="20"/>
      <c r="AJ63" s="20"/>
      <c r="AK63" s="20"/>
      <c r="AL63" s="20"/>
      <c r="AM63" s="16"/>
      <c r="AN63" s="16"/>
      <c r="AO63" s="16"/>
      <c r="AP63" s="16"/>
      <c r="AQ63" s="16"/>
      <c r="AR63" s="16"/>
      <c r="AS63" s="16"/>
      <c r="AT63" s="16"/>
      <c r="AU63" s="16"/>
      <c r="AV63" s="16"/>
      <c r="AW63" s="16"/>
      <c r="AX63" s="16"/>
      <c r="AY63" s="16"/>
      <c r="AZ63" s="16"/>
      <c r="BA63" s="16"/>
      <c r="BB63" s="16"/>
      <c r="BC63" s="16"/>
      <c r="BD63" s="16"/>
      <c r="BE63" s="16"/>
      <c r="BF63" s="16"/>
      <c r="BG63" s="16"/>
      <c r="BH63" s="16"/>
      <c r="BI63" s="16"/>
      <c r="BJ63" s="16"/>
      <c r="BK63" s="16"/>
      <c r="BL63" s="16"/>
      <c r="BM63" s="16"/>
      <c r="BN63" s="16"/>
      <c r="BO63" s="16"/>
      <c r="BP63" s="16"/>
      <c r="BQ63" s="16"/>
      <c r="BR63" s="16"/>
      <c r="BS63" s="16"/>
      <c r="BT63" s="16"/>
      <c r="BU63" s="16"/>
      <c r="BV63" s="16"/>
      <c r="BW63" s="16"/>
      <c r="BX63" s="16"/>
      <c r="BY63" s="16"/>
      <c r="BZ63" s="16"/>
      <c r="CA63" s="16"/>
      <c r="CB63" s="16"/>
      <c r="CC63" s="16"/>
      <c r="CD63" s="16"/>
      <c r="CE63" s="16"/>
      <c r="CF63" s="16"/>
      <c r="CG63" s="16"/>
      <c r="CH63" s="16"/>
      <c r="CI63" s="16"/>
      <c r="CJ63" s="16"/>
      <c r="CK63" s="16"/>
      <c r="CL63" s="16"/>
      <c r="CM63" s="16"/>
      <c r="CN63" s="16"/>
      <c r="CO63" s="16"/>
      <c r="CP63" s="16"/>
      <c r="CQ63" s="16"/>
      <c r="CR63" s="16"/>
      <c r="CS63" s="16"/>
      <c r="CT63" s="16"/>
      <c r="CU63" s="16"/>
      <c r="CV63" s="16"/>
      <c r="CW63" s="16"/>
      <c r="CX63" s="16"/>
      <c r="CY63" s="16"/>
      <c r="CZ63" s="16"/>
      <c r="DA63" s="16"/>
      <c r="DB63" s="16"/>
      <c r="DC63" s="16"/>
      <c r="DD63" s="16"/>
      <c r="DE63" s="16"/>
      <c r="DF63" s="16"/>
      <c r="DG63" s="16"/>
      <c r="DH63" s="16"/>
      <c r="DI63" s="16"/>
      <c r="DJ63" s="16"/>
      <c r="DK63" s="16"/>
      <c r="DL63" s="16"/>
      <c r="DM63" s="16"/>
      <c r="DN63" s="16"/>
      <c r="DO63" s="16"/>
      <c r="DP63" s="16"/>
      <c r="DQ63" s="16"/>
      <c r="DR63" s="20"/>
      <c r="DS63" s="20"/>
      <c r="DT63" s="20"/>
      <c r="DU63" s="20"/>
      <c r="DV63" s="20"/>
      <c r="DW63" s="20"/>
      <c r="DX63" s="20"/>
      <c r="DY63" s="20"/>
      <c r="DZ63" s="20"/>
      <c r="EA63" s="20"/>
      <c r="EB63" s="20"/>
      <c r="EC63" s="20"/>
      <c r="ED63" s="20"/>
      <c r="EE63" s="20"/>
      <c r="EF63" s="20"/>
      <c r="EG63" s="20"/>
      <c r="EH63" s="20"/>
      <c r="EI63" s="20"/>
      <c r="EJ63" s="20"/>
      <c r="EK63" s="20"/>
      <c r="EL63" s="20"/>
      <c r="EM63" s="20"/>
      <c r="EN63" s="20"/>
      <c r="EO63" s="20"/>
      <c r="EP63" s="20"/>
      <c r="EQ63" s="20"/>
      <c r="ER63" s="20"/>
      <c r="ES63" s="20"/>
      <c r="ET63" s="20"/>
      <c r="EU63" s="20"/>
      <c r="EV63" s="20"/>
      <c r="EW63" s="20"/>
      <c r="EX63" s="20"/>
      <c r="EY63" s="20"/>
      <c r="EZ63" s="20"/>
      <c r="FA63" s="20"/>
      <c r="FB63" s="20"/>
      <c r="FC63" s="20"/>
      <c r="FD63" s="20"/>
      <c r="FE63" s="20"/>
      <c r="FF63" s="20"/>
      <c r="FG63" s="20"/>
      <c r="FH63" s="20"/>
      <c r="FI63" s="20"/>
      <c r="FJ63" s="20"/>
      <c r="FK63" s="20"/>
      <c r="FL63" s="20"/>
      <c r="FM63" s="20"/>
      <c r="FN63" s="20"/>
      <c r="FO63" s="20"/>
      <c r="FP63" s="20"/>
      <c r="FQ63" s="20"/>
      <c r="FR63" s="20"/>
      <c r="FS63" s="20"/>
      <c r="FT63" s="20"/>
      <c r="FU63" s="20"/>
      <c r="FV63" s="20"/>
      <c r="FW63" s="20"/>
      <c r="FX63" s="20"/>
      <c r="FY63" s="20"/>
      <c r="FZ63" s="20"/>
      <c r="GA63" s="20"/>
      <c r="GB63" s="20"/>
      <c r="GC63" s="20"/>
      <c r="GD63" s="20"/>
      <c r="GE63" s="20"/>
      <c r="GF63" s="20"/>
      <c r="GG63" s="20"/>
      <c r="GH63" s="20"/>
      <c r="GI63" s="20"/>
      <c r="GJ63" s="20"/>
      <c r="GK63" s="20"/>
      <c r="GL63" s="20"/>
      <c r="GM63" s="20"/>
      <c r="GN63" s="20"/>
      <c r="GO63" s="20"/>
      <c r="GP63" s="20"/>
      <c r="GQ63" s="20"/>
      <c r="GR63" s="20"/>
      <c r="GS63" s="20"/>
      <c r="GT63" s="20"/>
      <c r="GU63" s="20"/>
      <c r="GV63" s="20"/>
      <c r="GW63" s="20"/>
      <c r="GX63" s="20"/>
      <c r="GY63" s="20"/>
      <c r="GZ63" s="20"/>
      <c r="HA63" s="20"/>
      <c r="HB63" s="20"/>
      <c r="HC63" s="20"/>
      <c r="HD63" s="20"/>
      <c r="HE63" s="20"/>
      <c r="HF63" s="20"/>
      <c r="HG63" s="20"/>
      <c r="HH63" s="20"/>
      <c r="HI63" s="20"/>
      <c r="HJ63" s="20"/>
      <c r="HK63" s="20"/>
      <c r="HL63" s="20"/>
      <c r="HM63" s="20"/>
      <c r="HN63" s="20"/>
      <c r="HO63" s="20"/>
      <c r="HP63" s="20"/>
      <c r="HQ63" s="20"/>
      <c r="HR63" s="20"/>
      <c r="HS63" s="20"/>
      <c r="HT63" s="20"/>
      <c r="HU63" s="20"/>
      <c r="HV63" s="20"/>
      <c r="HW63" s="20"/>
      <c r="HX63" s="20"/>
      <c r="HY63" s="20"/>
      <c r="HZ63" s="20"/>
      <c r="IA63" s="20"/>
      <c r="IB63" s="20"/>
      <c r="IC63" s="20"/>
      <c r="ID63" s="20"/>
      <c r="IE63" s="20"/>
      <c r="IF63" s="20"/>
      <c r="IG63" s="20"/>
      <c r="IH63" s="20"/>
      <c r="II63" s="20"/>
      <c r="IJ63" s="20"/>
      <c r="IK63" s="20"/>
      <c r="IL63" s="20"/>
      <c r="IM63" s="20"/>
      <c r="IN63" s="20"/>
      <c r="IO63" s="20"/>
      <c r="IP63" s="20"/>
      <c r="IQ63" s="20"/>
      <c r="IR63" s="20"/>
      <c r="IS63" s="20"/>
      <c r="IT63" s="20"/>
      <c r="IU63" s="20"/>
      <c r="IV63" s="20"/>
      <c r="IW63" s="20"/>
      <c r="IX63" s="20"/>
      <c r="IY63" s="20"/>
      <c r="IZ63" s="20"/>
      <c r="JA63" s="20"/>
      <c r="JB63" s="20"/>
      <c r="JC63" s="20"/>
      <c r="JD63" s="20"/>
      <c r="JE63" s="20"/>
      <c r="JF63" s="20"/>
      <c r="JG63" s="20"/>
      <c r="JH63" s="20"/>
      <c r="JI63" s="20"/>
      <c r="JJ63" s="20"/>
      <c r="JK63" s="20"/>
      <c r="JL63" s="20"/>
      <c r="JM63" s="20"/>
      <c r="JN63" s="20"/>
      <c r="JO63" s="20"/>
      <c r="JP63" s="20"/>
      <c r="JQ63" s="20"/>
      <c r="JR63" s="20"/>
      <c r="JS63" s="20"/>
      <c r="JT63" s="20"/>
      <c r="JU63" s="20"/>
      <c r="JV63" s="20"/>
      <c r="JW63" s="20"/>
      <c r="JX63" s="20"/>
      <c r="JY63" s="20"/>
      <c r="JZ63" s="20"/>
      <c r="KA63" s="20"/>
      <c r="KB63" s="20"/>
      <c r="KC63" s="20"/>
      <c r="KD63" s="20"/>
      <c r="KE63" s="20"/>
      <c r="KF63" s="20"/>
      <c r="KG63" s="20"/>
      <c r="KH63" s="20"/>
      <c r="KI63" s="20"/>
      <c r="KJ63" s="20"/>
      <c r="KK63" s="20"/>
      <c r="KL63" s="20"/>
      <c r="KM63" s="20"/>
      <c r="KN63" s="20"/>
      <c r="KO63" s="20"/>
      <c r="KP63" s="20"/>
      <c r="KQ63" s="20"/>
      <c r="KR63" s="20"/>
      <c r="KS63" s="20"/>
      <c r="KT63" s="20"/>
      <c r="KU63" s="20"/>
      <c r="KV63" s="20"/>
      <c r="KW63" s="20"/>
      <c r="KX63" s="20"/>
      <c r="KY63" s="20"/>
      <c r="KZ63" s="20"/>
      <c r="LA63" s="20"/>
      <c r="LB63" s="20"/>
      <c r="LC63" s="20"/>
      <c r="LD63" s="20"/>
      <c r="LE63" s="20"/>
      <c r="LF63" s="20"/>
      <c r="LG63" s="20"/>
      <c r="LH63" s="20"/>
      <c r="LI63" s="20"/>
      <c r="LJ63" s="20"/>
      <c r="LK63" s="20"/>
      <c r="LL63" s="20"/>
      <c r="LM63" s="20"/>
      <c r="LN63" s="20"/>
      <c r="LO63" s="20"/>
      <c r="LP63" s="20"/>
      <c r="LQ63" s="20"/>
      <c r="LR63" s="20"/>
      <c r="LS63" s="20"/>
      <c r="LT63" s="20"/>
      <c r="LU63" s="20"/>
      <c r="LV63" s="20"/>
      <c r="LW63" s="20"/>
      <c r="LX63" s="20"/>
      <c r="LY63" s="20"/>
      <c r="LZ63" s="20"/>
      <c r="MA63" s="20"/>
      <c r="MB63" s="20"/>
      <c r="MC63" s="20"/>
      <c r="MD63" s="20"/>
      <c r="ME63" s="20"/>
      <c r="MF63" s="20"/>
      <c r="MG63" s="20"/>
      <c r="MH63" s="20"/>
      <c r="MI63" s="20"/>
      <c r="MJ63" s="20"/>
      <c r="MK63" s="20"/>
      <c r="ML63" s="20"/>
      <c r="MM63" s="20"/>
      <c r="MN63" s="20"/>
      <c r="MO63" s="20"/>
      <c r="MP63" s="20"/>
      <c r="MQ63" s="20"/>
      <c r="MR63" s="20"/>
      <c r="MS63" s="20"/>
      <c r="MT63" s="20"/>
      <c r="MU63" s="20"/>
      <c r="MV63" s="20"/>
      <c r="MW63" s="20"/>
      <c r="MX63" s="20"/>
      <c r="MY63" s="20"/>
      <c r="MZ63" s="20"/>
      <c r="NA63" s="20"/>
      <c r="NB63" s="20"/>
      <c r="NC63" s="20"/>
      <c r="ND63" s="20"/>
      <c r="NE63" s="20"/>
      <c r="NF63" s="20"/>
      <c r="NG63" s="20"/>
      <c r="NH63" s="20"/>
      <c r="NI63" s="20"/>
      <c r="NJ63" s="20"/>
      <c r="NK63" s="20"/>
      <c r="NL63" s="20"/>
      <c r="NM63" s="20"/>
      <c r="NN63" s="20"/>
      <c r="NO63" s="20"/>
      <c r="NP63" s="16"/>
      <c r="NQ63" s="16"/>
      <c r="NR63" s="16"/>
      <c r="NS63" s="16"/>
      <c r="NT63" s="16"/>
      <c r="NU63" s="16"/>
      <c r="NV63" s="16"/>
      <c r="NW63" s="16"/>
      <c r="NX63" s="16"/>
      <c r="NY63" s="16"/>
      <c r="NZ63" s="16"/>
      <c r="OA63" s="16"/>
      <c r="OB63" s="16"/>
      <c r="OC63" s="16"/>
      <c r="OD63" s="20"/>
      <c r="OE63" s="20"/>
      <c r="OF63" s="20"/>
      <c r="OG63" s="20"/>
      <c r="OH63" s="20"/>
    </row>
    <row r="64" spans="1:399" s="3" customFormat="1" x14ac:dyDescent="0.3"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  <c r="W64" s="20"/>
      <c r="X64" s="20"/>
      <c r="Y64" s="20"/>
      <c r="Z64" s="20"/>
      <c r="AA64" s="20"/>
      <c r="AB64" s="20"/>
      <c r="AC64" s="20"/>
      <c r="AD64" s="20"/>
      <c r="AE64" s="20"/>
      <c r="AF64" s="20"/>
      <c r="AG64" s="20"/>
      <c r="AH64" s="20"/>
      <c r="AI64" s="20"/>
      <c r="AJ64" s="20"/>
      <c r="AK64" s="20"/>
      <c r="AL64" s="20"/>
      <c r="AM64" s="16"/>
      <c r="AN64" s="16"/>
      <c r="AO64" s="16"/>
      <c r="AP64" s="16"/>
      <c r="AQ64" s="16"/>
      <c r="AR64" s="16"/>
      <c r="AS64" s="16"/>
      <c r="AT64" s="16"/>
      <c r="AU64" s="16"/>
      <c r="AV64" s="16"/>
      <c r="AW64" s="16"/>
      <c r="AX64" s="16"/>
      <c r="AY64" s="16"/>
      <c r="AZ64" s="16"/>
      <c r="BA64" s="16"/>
      <c r="BB64" s="16"/>
      <c r="BC64" s="16"/>
      <c r="BD64" s="16"/>
      <c r="BE64" s="16"/>
      <c r="BF64" s="16"/>
      <c r="BG64" s="16"/>
      <c r="BH64" s="16"/>
      <c r="BI64" s="16"/>
      <c r="BJ64" s="16"/>
      <c r="BK64" s="16"/>
      <c r="BL64" s="16"/>
      <c r="BM64" s="16"/>
      <c r="BN64" s="16"/>
      <c r="BO64" s="16"/>
      <c r="BP64" s="16"/>
      <c r="BQ64" s="16"/>
      <c r="BR64" s="16"/>
      <c r="BS64" s="16"/>
      <c r="BT64" s="16"/>
      <c r="BU64" s="16"/>
      <c r="BV64" s="16"/>
      <c r="BW64" s="16"/>
      <c r="BX64" s="16"/>
      <c r="BY64" s="16"/>
      <c r="BZ64" s="16"/>
      <c r="CA64" s="16"/>
      <c r="CB64" s="16"/>
      <c r="CC64" s="16"/>
      <c r="CD64" s="16"/>
      <c r="CE64" s="16"/>
      <c r="CF64" s="16"/>
      <c r="CG64" s="16"/>
      <c r="CH64" s="16"/>
      <c r="CI64" s="16"/>
      <c r="CJ64" s="16"/>
      <c r="CK64" s="16"/>
      <c r="CL64" s="16"/>
      <c r="CM64" s="16"/>
      <c r="CN64" s="16"/>
      <c r="CO64" s="16"/>
      <c r="CP64" s="16"/>
      <c r="CQ64" s="16"/>
      <c r="CR64" s="16"/>
      <c r="CS64" s="16"/>
      <c r="CT64" s="16"/>
      <c r="CU64" s="16"/>
      <c r="CV64" s="16"/>
      <c r="CW64" s="16"/>
      <c r="CX64" s="16"/>
      <c r="CY64" s="16"/>
      <c r="CZ64" s="16"/>
      <c r="DA64" s="16"/>
      <c r="DB64" s="16"/>
      <c r="DC64" s="16"/>
      <c r="DD64" s="16"/>
      <c r="DE64" s="16"/>
      <c r="DF64" s="16"/>
      <c r="DG64" s="16"/>
      <c r="DH64" s="16"/>
      <c r="DI64" s="16"/>
      <c r="DJ64" s="16"/>
      <c r="DK64" s="16"/>
      <c r="DL64" s="16"/>
      <c r="DM64" s="16"/>
      <c r="DN64" s="16"/>
      <c r="DO64" s="16"/>
      <c r="DP64" s="16"/>
      <c r="DQ64" s="16"/>
      <c r="DR64" s="20"/>
      <c r="DS64" s="20"/>
      <c r="DT64" s="20"/>
      <c r="DU64" s="20"/>
      <c r="DV64" s="20"/>
      <c r="DW64" s="20"/>
      <c r="DX64" s="20"/>
      <c r="DY64" s="20"/>
      <c r="DZ64" s="20"/>
      <c r="EA64" s="20"/>
      <c r="EB64" s="20"/>
      <c r="EC64" s="20"/>
      <c r="ED64" s="20"/>
      <c r="EE64" s="20"/>
      <c r="EF64" s="20"/>
      <c r="EG64" s="20"/>
      <c r="EH64" s="20"/>
      <c r="EI64" s="20"/>
      <c r="EJ64" s="20"/>
      <c r="EK64" s="20"/>
      <c r="EL64" s="20"/>
      <c r="EM64" s="20"/>
      <c r="EN64" s="20"/>
      <c r="EO64" s="20"/>
      <c r="EP64" s="20"/>
      <c r="EQ64" s="20"/>
      <c r="ER64" s="20"/>
      <c r="ES64" s="20"/>
      <c r="ET64" s="20"/>
      <c r="EU64" s="20"/>
      <c r="EV64" s="20"/>
      <c r="EW64" s="20"/>
      <c r="EX64" s="20"/>
      <c r="EY64" s="20"/>
      <c r="EZ64" s="20"/>
      <c r="FA64" s="20"/>
      <c r="FB64" s="20"/>
      <c r="FC64" s="20"/>
      <c r="FD64" s="20"/>
      <c r="FE64" s="20"/>
      <c r="FF64" s="20"/>
      <c r="FG64" s="20"/>
      <c r="FH64" s="20"/>
      <c r="FI64" s="20"/>
      <c r="FJ64" s="20"/>
      <c r="FK64" s="20"/>
      <c r="FL64" s="20"/>
      <c r="FM64" s="20"/>
      <c r="FN64" s="20"/>
      <c r="FO64" s="20"/>
      <c r="FP64" s="20"/>
      <c r="FQ64" s="20"/>
      <c r="FR64" s="20"/>
      <c r="FS64" s="20"/>
      <c r="FT64" s="20"/>
      <c r="FU64" s="20"/>
      <c r="FV64" s="20"/>
      <c r="FW64" s="20"/>
      <c r="FX64" s="20"/>
      <c r="FY64" s="20"/>
      <c r="FZ64" s="20"/>
      <c r="GA64" s="20"/>
      <c r="GB64" s="20"/>
      <c r="GC64" s="20"/>
      <c r="GD64" s="20"/>
      <c r="GE64" s="20"/>
      <c r="GF64" s="20"/>
      <c r="GG64" s="20"/>
      <c r="GH64" s="20"/>
      <c r="GI64" s="20"/>
      <c r="GJ64" s="20"/>
      <c r="GK64" s="20"/>
      <c r="GL64" s="20"/>
      <c r="GM64" s="20"/>
      <c r="GN64" s="20"/>
      <c r="GO64" s="20"/>
      <c r="GP64" s="20"/>
      <c r="GQ64" s="20"/>
      <c r="GR64" s="20"/>
      <c r="GS64" s="20"/>
      <c r="GT64" s="20"/>
      <c r="GU64" s="20"/>
      <c r="GV64" s="20"/>
      <c r="GW64" s="20"/>
      <c r="GX64" s="20"/>
      <c r="GY64" s="20"/>
      <c r="GZ64" s="20"/>
      <c r="HA64" s="20"/>
      <c r="HB64" s="20"/>
      <c r="HC64" s="20"/>
      <c r="HD64" s="20"/>
      <c r="HE64" s="20"/>
      <c r="HF64" s="20"/>
      <c r="HG64" s="20"/>
      <c r="HH64" s="20"/>
      <c r="HI64" s="20"/>
      <c r="HJ64" s="20"/>
      <c r="HK64" s="20"/>
      <c r="HL64" s="20"/>
      <c r="HM64" s="20"/>
      <c r="HN64" s="20"/>
      <c r="HO64" s="20"/>
      <c r="HP64" s="20"/>
      <c r="HQ64" s="20"/>
      <c r="HR64" s="20"/>
      <c r="HS64" s="20"/>
      <c r="HT64" s="20"/>
      <c r="HU64" s="20"/>
      <c r="HV64" s="20"/>
      <c r="HW64" s="20"/>
      <c r="HX64" s="20"/>
      <c r="HY64" s="20"/>
      <c r="HZ64" s="20"/>
      <c r="IA64" s="20"/>
      <c r="IB64" s="20"/>
      <c r="IC64" s="20"/>
      <c r="ID64" s="20"/>
      <c r="IE64" s="20"/>
      <c r="IF64" s="20"/>
      <c r="IG64" s="20"/>
      <c r="IH64" s="20"/>
      <c r="II64" s="20"/>
      <c r="IJ64" s="20"/>
      <c r="IK64" s="20"/>
      <c r="IL64" s="20"/>
      <c r="IM64" s="20"/>
      <c r="IN64" s="20"/>
      <c r="IO64" s="20"/>
      <c r="IP64" s="20"/>
      <c r="IQ64" s="20"/>
      <c r="IR64" s="20"/>
      <c r="IS64" s="20"/>
      <c r="IT64" s="20"/>
      <c r="IU64" s="20"/>
      <c r="IV64" s="20"/>
      <c r="IW64" s="20"/>
      <c r="IX64" s="20"/>
      <c r="IY64" s="20"/>
      <c r="IZ64" s="20"/>
      <c r="JA64" s="20"/>
      <c r="JB64" s="20"/>
      <c r="JC64" s="20"/>
      <c r="JD64" s="20"/>
      <c r="JE64" s="20"/>
      <c r="JF64" s="20"/>
      <c r="JG64" s="20"/>
      <c r="JH64" s="20"/>
      <c r="JI64" s="20"/>
      <c r="JJ64" s="20"/>
      <c r="JK64" s="20"/>
      <c r="JL64" s="20"/>
      <c r="JM64" s="20"/>
      <c r="JN64" s="20"/>
      <c r="JO64" s="20"/>
      <c r="JP64" s="20"/>
      <c r="JQ64" s="20"/>
      <c r="JR64" s="20"/>
      <c r="JS64" s="20"/>
      <c r="JT64" s="20"/>
      <c r="JU64" s="20"/>
      <c r="JV64" s="20"/>
      <c r="JW64" s="20"/>
      <c r="JX64" s="20"/>
      <c r="JY64" s="20"/>
      <c r="JZ64" s="20"/>
      <c r="KA64" s="20"/>
      <c r="KB64" s="20"/>
      <c r="KC64" s="20"/>
      <c r="KD64" s="20"/>
      <c r="KE64" s="20"/>
      <c r="KF64" s="20"/>
      <c r="KG64" s="20"/>
      <c r="KH64" s="20"/>
      <c r="KI64" s="20"/>
      <c r="KJ64" s="20"/>
      <c r="KK64" s="20"/>
      <c r="KL64" s="20"/>
      <c r="KM64" s="20"/>
      <c r="KN64" s="20"/>
      <c r="KO64" s="20"/>
      <c r="KP64" s="20"/>
      <c r="KQ64" s="20"/>
      <c r="KR64" s="20"/>
      <c r="KS64" s="20"/>
      <c r="KT64" s="20"/>
      <c r="KU64" s="20"/>
      <c r="KV64" s="20"/>
      <c r="KW64" s="20"/>
      <c r="KX64" s="20"/>
      <c r="KY64" s="20"/>
      <c r="KZ64" s="20"/>
      <c r="LA64" s="20"/>
      <c r="LB64" s="20"/>
      <c r="LC64" s="20"/>
      <c r="LD64" s="20"/>
      <c r="LE64" s="20"/>
      <c r="LF64" s="20"/>
      <c r="LG64" s="20"/>
      <c r="LH64" s="20"/>
      <c r="LI64" s="20"/>
      <c r="LJ64" s="20"/>
      <c r="LK64" s="20"/>
      <c r="LL64" s="20"/>
      <c r="LM64" s="20"/>
      <c r="LN64" s="20"/>
      <c r="LO64" s="20"/>
      <c r="LP64" s="20"/>
      <c r="LQ64" s="20"/>
      <c r="LR64" s="20"/>
      <c r="LS64" s="20"/>
      <c r="LT64" s="20"/>
      <c r="LU64" s="20"/>
      <c r="LV64" s="20"/>
      <c r="LW64" s="20"/>
      <c r="LX64" s="20"/>
      <c r="LY64" s="20"/>
      <c r="LZ64" s="20"/>
      <c r="MA64" s="20"/>
      <c r="MB64" s="20"/>
      <c r="MC64" s="20"/>
      <c r="MD64" s="20"/>
      <c r="ME64" s="20"/>
      <c r="MF64" s="20"/>
      <c r="MG64" s="20"/>
      <c r="MH64" s="20"/>
      <c r="MI64" s="20"/>
      <c r="MJ64" s="20"/>
      <c r="MK64" s="20"/>
      <c r="ML64" s="20"/>
      <c r="MM64" s="20"/>
      <c r="MN64" s="20"/>
      <c r="MO64" s="20"/>
      <c r="MP64" s="20"/>
      <c r="MQ64" s="20"/>
      <c r="MR64" s="20"/>
      <c r="MS64" s="20"/>
      <c r="MT64" s="20"/>
      <c r="MU64" s="20"/>
      <c r="MV64" s="20"/>
      <c r="MW64" s="20"/>
      <c r="MX64" s="20"/>
      <c r="MY64" s="20"/>
      <c r="MZ64" s="20"/>
      <c r="NA64" s="20"/>
      <c r="NB64" s="20"/>
      <c r="NC64" s="20"/>
      <c r="ND64" s="20"/>
      <c r="NE64" s="20"/>
      <c r="NF64" s="20"/>
      <c r="NG64" s="20"/>
      <c r="NH64" s="20"/>
      <c r="NI64" s="20"/>
      <c r="NJ64" s="20"/>
      <c r="NK64" s="20"/>
      <c r="NL64" s="20"/>
      <c r="NM64" s="20"/>
      <c r="NN64" s="20"/>
      <c r="NO64" s="20"/>
      <c r="NP64" s="16"/>
      <c r="NQ64" s="16"/>
      <c r="NR64" s="16"/>
      <c r="NS64" s="16"/>
      <c r="NT64" s="16"/>
      <c r="NU64" s="16"/>
      <c r="NV64" s="16"/>
      <c r="NW64" s="16"/>
      <c r="NX64" s="16"/>
      <c r="NY64" s="16"/>
      <c r="NZ64" s="16"/>
      <c r="OA64" s="16"/>
      <c r="OB64" s="16"/>
      <c r="OC64" s="16"/>
      <c r="OD64" s="20"/>
      <c r="OE64" s="20"/>
      <c r="OF64" s="20"/>
      <c r="OG64" s="20"/>
      <c r="OH64" s="20"/>
    </row>
    <row r="65" spans="1:398" s="3" customFormat="1" x14ac:dyDescent="0.3"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20"/>
      <c r="X65" s="20"/>
      <c r="Y65" s="20"/>
      <c r="Z65" s="20"/>
      <c r="AA65" s="20"/>
      <c r="AB65" s="20"/>
      <c r="AC65" s="20"/>
      <c r="AD65" s="20"/>
      <c r="AE65" s="20"/>
      <c r="AF65" s="20"/>
      <c r="AG65" s="20"/>
      <c r="AH65" s="20"/>
      <c r="AI65" s="20"/>
      <c r="AJ65" s="20"/>
      <c r="AK65" s="20"/>
      <c r="AL65" s="20"/>
      <c r="AM65" s="16"/>
      <c r="AN65" s="16"/>
      <c r="AO65" s="16"/>
      <c r="AP65" s="16"/>
      <c r="AQ65" s="16"/>
      <c r="AR65" s="16"/>
      <c r="AS65" s="16"/>
      <c r="AT65" s="16"/>
      <c r="AU65" s="16"/>
      <c r="AV65" s="16"/>
      <c r="AW65" s="16"/>
      <c r="AX65" s="16"/>
      <c r="AY65" s="16"/>
      <c r="AZ65" s="16"/>
      <c r="BA65" s="16"/>
      <c r="BB65" s="16"/>
      <c r="BC65" s="16"/>
      <c r="BD65" s="16"/>
      <c r="BE65" s="16"/>
      <c r="BF65" s="16"/>
      <c r="BG65" s="16"/>
      <c r="BH65" s="16"/>
      <c r="BI65" s="16"/>
      <c r="BJ65" s="16"/>
      <c r="BK65" s="16"/>
      <c r="BL65" s="16"/>
      <c r="BM65" s="16"/>
      <c r="BN65" s="16"/>
      <c r="BO65" s="16"/>
      <c r="BP65" s="16"/>
      <c r="BQ65" s="16"/>
      <c r="BR65" s="16"/>
      <c r="BS65" s="16"/>
      <c r="BT65" s="16"/>
      <c r="BU65" s="16"/>
      <c r="BV65" s="16"/>
      <c r="BW65" s="16"/>
      <c r="BX65" s="16"/>
      <c r="BY65" s="16"/>
      <c r="BZ65" s="16"/>
      <c r="CA65" s="16"/>
      <c r="CB65" s="16"/>
      <c r="CC65" s="16"/>
      <c r="CD65" s="16"/>
      <c r="CE65" s="16"/>
      <c r="CF65" s="16"/>
      <c r="CG65" s="16"/>
      <c r="CH65" s="16"/>
      <c r="CI65" s="16"/>
      <c r="CJ65" s="16"/>
      <c r="CK65" s="16"/>
      <c r="CL65" s="16"/>
      <c r="CM65" s="16"/>
      <c r="CN65" s="16"/>
      <c r="CO65" s="16"/>
      <c r="CP65" s="16"/>
      <c r="CQ65" s="16"/>
      <c r="CR65" s="16"/>
      <c r="CS65" s="16"/>
      <c r="CT65" s="16"/>
      <c r="CU65" s="16"/>
      <c r="CV65" s="16"/>
      <c r="CW65" s="16"/>
      <c r="CX65" s="16"/>
      <c r="CY65" s="16"/>
      <c r="CZ65" s="16"/>
      <c r="DA65" s="16"/>
      <c r="DB65" s="16"/>
      <c r="DC65" s="16"/>
      <c r="DD65" s="16"/>
      <c r="DE65" s="16"/>
      <c r="DF65" s="16"/>
      <c r="DG65" s="16"/>
      <c r="DH65" s="16"/>
      <c r="DI65" s="16"/>
      <c r="DJ65" s="16"/>
      <c r="DK65" s="16"/>
      <c r="DL65" s="16"/>
      <c r="DM65" s="16"/>
      <c r="DN65" s="16"/>
      <c r="DO65" s="16"/>
      <c r="DP65" s="16"/>
      <c r="DQ65" s="16"/>
      <c r="DR65" s="20"/>
      <c r="DS65" s="20"/>
      <c r="DT65" s="20"/>
      <c r="DU65" s="20"/>
      <c r="DV65" s="20"/>
      <c r="DW65" s="20"/>
      <c r="DX65" s="20"/>
      <c r="DY65" s="20"/>
      <c r="DZ65" s="20"/>
      <c r="EA65" s="20"/>
      <c r="EB65" s="20"/>
      <c r="EC65" s="20"/>
      <c r="ED65" s="20"/>
      <c r="EE65" s="20"/>
      <c r="EF65" s="20"/>
      <c r="EG65" s="20"/>
      <c r="EH65" s="20"/>
      <c r="EI65" s="20"/>
      <c r="EJ65" s="20"/>
      <c r="EK65" s="20"/>
      <c r="EL65" s="20"/>
      <c r="EM65" s="20"/>
      <c r="EN65" s="20"/>
      <c r="EO65" s="20"/>
      <c r="EP65" s="20"/>
      <c r="EQ65" s="20"/>
      <c r="ER65" s="20"/>
      <c r="ES65" s="20"/>
      <c r="ET65" s="20"/>
      <c r="EU65" s="20"/>
      <c r="EV65" s="20"/>
      <c r="EW65" s="20"/>
      <c r="EX65" s="20"/>
      <c r="EY65" s="20"/>
      <c r="EZ65" s="20"/>
      <c r="FA65" s="20"/>
      <c r="FB65" s="20"/>
      <c r="FC65" s="20"/>
      <c r="FD65" s="20"/>
      <c r="FE65" s="20"/>
      <c r="FF65" s="20"/>
      <c r="FG65" s="20"/>
      <c r="FH65" s="20"/>
      <c r="FI65" s="20"/>
      <c r="FJ65" s="20"/>
      <c r="FK65" s="20"/>
      <c r="FL65" s="20"/>
      <c r="FM65" s="20"/>
      <c r="FN65" s="20"/>
      <c r="FO65" s="20"/>
      <c r="FP65" s="20"/>
      <c r="FQ65" s="20"/>
      <c r="FR65" s="20"/>
      <c r="FS65" s="20"/>
      <c r="FT65" s="20"/>
      <c r="FU65" s="20"/>
      <c r="FV65" s="20"/>
      <c r="FW65" s="20"/>
      <c r="FX65" s="20"/>
      <c r="FY65" s="20"/>
      <c r="FZ65" s="20"/>
      <c r="GA65" s="20"/>
      <c r="GB65" s="20"/>
      <c r="GC65" s="20"/>
      <c r="GD65" s="20"/>
      <c r="GE65" s="20"/>
      <c r="GF65" s="20"/>
      <c r="GG65" s="20"/>
      <c r="GH65" s="20"/>
      <c r="GI65" s="20"/>
      <c r="GJ65" s="20"/>
      <c r="GK65" s="20"/>
      <c r="GL65" s="20"/>
      <c r="GM65" s="20"/>
      <c r="GN65" s="20"/>
      <c r="GO65" s="20"/>
      <c r="GP65" s="20"/>
      <c r="GQ65" s="20"/>
      <c r="GR65" s="20"/>
      <c r="GS65" s="20"/>
      <c r="GT65" s="20"/>
      <c r="GU65" s="20"/>
      <c r="GV65" s="20"/>
      <c r="GW65" s="20"/>
      <c r="GX65" s="20"/>
      <c r="GY65" s="20"/>
      <c r="GZ65" s="20"/>
      <c r="HA65" s="20"/>
      <c r="HB65" s="20"/>
      <c r="HC65" s="20"/>
      <c r="HD65" s="20"/>
      <c r="HE65" s="20"/>
      <c r="HF65" s="20"/>
      <c r="HG65" s="20"/>
      <c r="HH65" s="20"/>
      <c r="HI65" s="20"/>
      <c r="HJ65" s="20"/>
      <c r="HK65" s="20"/>
      <c r="HL65" s="20"/>
      <c r="HM65" s="20"/>
      <c r="HN65" s="20"/>
      <c r="HO65" s="20"/>
      <c r="HP65" s="20"/>
      <c r="HQ65" s="20"/>
      <c r="HR65" s="20"/>
      <c r="HS65" s="20"/>
      <c r="HT65" s="20"/>
      <c r="HU65" s="20"/>
      <c r="HV65" s="20"/>
      <c r="HW65" s="20"/>
      <c r="HX65" s="20"/>
      <c r="HY65" s="20"/>
      <c r="HZ65" s="20"/>
      <c r="IA65" s="20"/>
      <c r="IB65" s="20"/>
      <c r="IC65" s="20"/>
      <c r="ID65" s="20"/>
      <c r="IE65" s="20"/>
      <c r="IF65" s="20"/>
      <c r="IG65" s="20"/>
      <c r="IH65" s="20"/>
      <c r="II65" s="20"/>
      <c r="IJ65" s="20"/>
      <c r="IK65" s="20"/>
      <c r="IL65" s="20"/>
      <c r="IM65" s="20"/>
      <c r="IN65" s="20"/>
      <c r="IO65" s="20"/>
      <c r="IP65" s="20"/>
      <c r="IQ65" s="20"/>
      <c r="IR65" s="20"/>
      <c r="IS65" s="20"/>
      <c r="IT65" s="20"/>
      <c r="IU65" s="20"/>
      <c r="IV65" s="20"/>
      <c r="IW65" s="20"/>
      <c r="IX65" s="20"/>
      <c r="IY65" s="20"/>
      <c r="IZ65" s="20"/>
      <c r="JA65" s="20"/>
      <c r="JB65" s="20"/>
      <c r="JC65" s="20"/>
      <c r="JD65" s="20"/>
      <c r="JE65" s="20"/>
      <c r="JF65" s="20"/>
      <c r="JG65" s="20"/>
      <c r="JH65" s="20"/>
      <c r="JI65" s="20"/>
      <c r="JJ65" s="20"/>
      <c r="JK65" s="20"/>
      <c r="JL65" s="20"/>
      <c r="JM65" s="20"/>
      <c r="JN65" s="20"/>
      <c r="JO65" s="20"/>
      <c r="JP65" s="20"/>
      <c r="JQ65" s="20"/>
      <c r="JR65" s="20"/>
      <c r="JS65" s="20"/>
      <c r="JT65" s="20"/>
      <c r="JU65" s="20"/>
      <c r="JV65" s="20"/>
      <c r="JW65" s="20"/>
      <c r="JX65" s="20"/>
      <c r="JY65" s="20"/>
      <c r="JZ65" s="20"/>
      <c r="KA65" s="20"/>
      <c r="KB65" s="20"/>
      <c r="KC65" s="20"/>
      <c r="KD65" s="20"/>
      <c r="KE65" s="20"/>
      <c r="KF65" s="20"/>
      <c r="KG65" s="20"/>
      <c r="KH65" s="20"/>
      <c r="KI65" s="20"/>
      <c r="KJ65" s="20"/>
      <c r="KK65" s="20"/>
      <c r="KL65" s="20"/>
      <c r="KM65" s="20"/>
      <c r="KN65" s="20"/>
      <c r="KO65" s="20"/>
      <c r="KP65" s="20"/>
      <c r="KQ65" s="20"/>
      <c r="KR65" s="20"/>
      <c r="KS65" s="20"/>
      <c r="KT65" s="20"/>
      <c r="KU65" s="20"/>
      <c r="KV65" s="20"/>
      <c r="KW65" s="20"/>
      <c r="KX65" s="20"/>
      <c r="KY65" s="20"/>
      <c r="KZ65" s="20"/>
      <c r="LA65" s="20"/>
      <c r="LB65" s="20"/>
      <c r="LC65" s="20"/>
      <c r="LD65" s="20"/>
      <c r="LE65" s="20"/>
      <c r="LF65" s="20"/>
      <c r="LG65" s="20"/>
      <c r="LH65" s="20"/>
      <c r="LI65" s="20"/>
      <c r="LJ65" s="20"/>
      <c r="LK65" s="20"/>
      <c r="LL65" s="20"/>
      <c r="LM65" s="20"/>
      <c r="LN65" s="20"/>
      <c r="LO65" s="20"/>
      <c r="LP65" s="20"/>
      <c r="LQ65" s="20"/>
      <c r="LR65" s="20"/>
      <c r="LS65" s="20"/>
      <c r="LT65" s="20"/>
      <c r="LU65" s="20"/>
      <c r="LV65" s="20"/>
      <c r="LW65" s="20"/>
      <c r="LX65" s="20"/>
      <c r="LY65" s="20"/>
      <c r="LZ65" s="20"/>
      <c r="MA65" s="20"/>
      <c r="MB65" s="20"/>
      <c r="MC65" s="20"/>
      <c r="MD65" s="20"/>
      <c r="ME65" s="20"/>
      <c r="MF65" s="20"/>
      <c r="MG65" s="20"/>
      <c r="MH65" s="20"/>
      <c r="MI65" s="20"/>
      <c r="MJ65" s="20"/>
      <c r="MK65" s="20"/>
      <c r="ML65" s="20"/>
      <c r="MM65" s="20"/>
      <c r="MN65" s="20"/>
      <c r="MO65" s="20"/>
      <c r="MP65" s="20"/>
      <c r="MQ65" s="20"/>
      <c r="MR65" s="20"/>
      <c r="MS65" s="20"/>
      <c r="MT65" s="20"/>
      <c r="MU65" s="20"/>
      <c r="MV65" s="20"/>
      <c r="MW65" s="20"/>
      <c r="MX65" s="20"/>
      <c r="MY65" s="20"/>
      <c r="MZ65" s="20"/>
      <c r="NA65" s="20"/>
      <c r="NB65" s="20"/>
      <c r="NC65" s="20"/>
      <c r="ND65" s="20"/>
      <c r="NE65" s="20"/>
      <c r="NF65" s="20"/>
      <c r="NG65" s="20"/>
      <c r="NH65" s="20"/>
      <c r="NI65" s="20"/>
      <c r="NJ65" s="20"/>
      <c r="NK65" s="20"/>
      <c r="NL65" s="20"/>
      <c r="NM65" s="20"/>
      <c r="NN65" s="20"/>
      <c r="NO65" s="20"/>
      <c r="NP65" s="16"/>
      <c r="NQ65" s="16"/>
      <c r="NR65" s="16"/>
      <c r="NS65" s="16"/>
      <c r="NT65" s="16"/>
      <c r="NU65" s="16"/>
      <c r="NV65" s="16"/>
      <c r="NW65" s="16"/>
      <c r="NX65" s="16"/>
      <c r="NY65" s="16"/>
      <c r="NZ65" s="16"/>
      <c r="OA65" s="16"/>
      <c r="OB65" s="16"/>
      <c r="OC65" s="16"/>
      <c r="OD65" s="20"/>
      <c r="OE65" s="20"/>
      <c r="OF65" s="20"/>
      <c r="OG65" s="20"/>
      <c r="OH65" s="20"/>
    </row>
    <row r="66" spans="1:398" s="3" customFormat="1" x14ac:dyDescent="0.3"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  <c r="W66" s="20"/>
      <c r="X66" s="20"/>
      <c r="Y66" s="20"/>
      <c r="Z66" s="20"/>
      <c r="AA66" s="20"/>
      <c r="AB66" s="20"/>
      <c r="AC66" s="20"/>
      <c r="AD66" s="20"/>
      <c r="AE66" s="20"/>
      <c r="AF66" s="20"/>
      <c r="AG66" s="20"/>
      <c r="AH66" s="20"/>
      <c r="AI66" s="20"/>
      <c r="AJ66" s="20"/>
      <c r="AK66" s="20"/>
      <c r="AL66" s="20"/>
      <c r="AM66" s="16"/>
      <c r="AN66" s="16"/>
      <c r="AO66" s="16"/>
      <c r="AP66" s="16"/>
      <c r="AQ66" s="16"/>
      <c r="AR66" s="16"/>
      <c r="AS66" s="16"/>
      <c r="AT66" s="16"/>
      <c r="AU66" s="16"/>
      <c r="AV66" s="16"/>
      <c r="AW66" s="16"/>
      <c r="AX66" s="16"/>
      <c r="AY66" s="16"/>
      <c r="AZ66" s="16"/>
      <c r="BA66" s="16"/>
      <c r="BB66" s="16"/>
      <c r="BC66" s="16"/>
      <c r="BD66" s="16"/>
      <c r="BE66" s="16"/>
      <c r="BF66" s="16"/>
      <c r="BG66" s="16"/>
      <c r="BH66" s="16"/>
      <c r="BI66" s="16"/>
      <c r="BJ66" s="16"/>
      <c r="BK66" s="16"/>
      <c r="BL66" s="16"/>
      <c r="BM66" s="16"/>
      <c r="BN66" s="16"/>
      <c r="BO66" s="16"/>
      <c r="BP66" s="16"/>
      <c r="BQ66" s="16"/>
      <c r="BR66" s="16"/>
      <c r="BS66" s="16"/>
      <c r="BT66" s="16"/>
      <c r="BU66" s="16"/>
      <c r="BV66" s="16"/>
      <c r="BW66" s="16"/>
      <c r="BX66" s="16"/>
      <c r="BY66" s="16"/>
      <c r="BZ66" s="16"/>
      <c r="CA66" s="16"/>
      <c r="CB66" s="16"/>
      <c r="CC66" s="16"/>
      <c r="CD66" s="16"/>
      <c r="CE66" s="16"/>
      <c r="CF66" s="16"/>
      <c r="CG66" s="16"/>
      <c r="CH66" s="16"/>
      <c r="CI66" s="16"/>
      <c r="CJ66" s="16"/>
      <c r="CK66" s="16"/>
      <c r="CL66" s="16"/>
      <c r="CM66" s="16"/>
      <c r="CN66" s="16"/>
      <c r="CO66" s="16"/>
      <c r="CP66" s="16"/>
      <c r="CQ66" s="16"/>
      <c r="CR66" s="16"/>
      <c r="CS66" s="16"/>
      <c r="CT66" s="16"/>
      <c r="CU66" s="16"/>
      <c r="CV66" s="16"/>
      <c r="CW66" s="16"/>
      <c r="CX66" s="16"/>
      <c r="CY66" s="16"/>
      <c r="CZ66" s="16"/>
      <c r="DA66" s="16"/>
      <c r="DB66" s="16"/>
      <c r="DC66" s="16"/>
      <c r="DD66" s="16"/>
      <c r="DE66" s="16"/>
      <c r="DF66" s="16"/>
      <c r="DG66" s="16"/>
      <c r="DH66" s="16"/>
      <c r="DI66" s="16"/>
      <c r="DJ66" s="16"/>
      <c r="DK66" s="16"/>
      <c r="DL66" s="16"/>
      <c r="DM66" s="16"/>
      <c r="DN66" s="16"/>
      <c r="DO66" s="16"/>
      <c r="DP66" s="16"/>
      <c r="DQ66" s="16"/>
      <c r="DR66" s="20"/>
      <c r="DS66" s="20"/>
      <c r="DT66" s="20"/>
      <c r="DU66" s="20"/>
      <c r="DV66" s="20"/>
      <c r="DW66" s="20"/>
      <c r="DX66" s="20"/>
      <c r="DY66" s="20"/>
      <c r="DZ66" s="20"/>
      <c r="EA66" s="20"/>
      <c r="EB66" s="20"/>
      <c r="EC66" s="20"/>
      <c r="ED66" s="20"/>
      <c r="EE66" s="20"/>
      <c r="EF66" s="20"/>
      <c r="EG66" s="20"/>
      <c r="EH66" s="20"/>
      <c r="EI66" s="20"/>
      <c r="EJ66" s="20"/>
      <c r="EK66" s="20"/>
      <c r="EL66" s="20"/>
      <c r="EM66" s="20"/>
      <c r="EN66" s="20"/>
      <c r="EO66" s="20"/>
      <c r="EP66" s="20"/>
      <c r="EQ66" s="20"/>
      <c r="ER66" s="20"/>
      <c r="ES66" s="20"/>
      <c r="ET66" s="20"/>
      <c r="EU66" s="20"/>
      <c r="EV66" s="20"/>
      <c r="EW66" s="20"/>
      <c r="EX66" s="20"/>
      <c r="EY66" s="20"/>
      <c r="EZ66" s="20"/>
      <c r="FA66" s="20"/>
      <c r="FB66" s="20"/>
      <c r="FC66" s="20"/>
      <c r="FD66" s="20"/>
      <c r="FE66" s="20"/>
      <c r="FF66" s="20"/>
      <c r="FG66" s="20"/>
      <c r="FH66" s="20"/>
      <c r="FI66" s="20"/>
      <c r="FJ66" s="20"/>
      <c r="FK66" s="20"/>
      <c r="FL66" s="20"/>
      <c r="FM66" s="20"/>
      <c r="FN66" s="20"/>
      <c r="FO66" s="20"/>
      <c r="FP66" s="20"/>
      <c r="FQ66" s="20"/>
      <c r="FR66" s="20"/>
      <c r="FS66" s="20"/>
      <c r="FT66" s="20"/>
      <c r="FU66" s="20"/>
      <c r="FV66" s="20"/>
      <c r="FW66" s="20"/>
      <c r="FX66" s="20"/>
      <c r="FY66" s="20"/>
      <c r="FZ66" s="20"/>
      <c r="GA66" s="20"/>
      <c r="GB66" s="20"/>
      <c r="GC66" s="20"/>
      <c r="GD66" s="20"/>
      <c r="GE66" s="20"/>
      <c r="GF66" s="20"/>
      <c r="GG66" s="20"/>
      <c r="GH66" s="20"/>
      <c r="GI66" s="20"/>
      <c r="GJ66" s="20"/>
      <c r="GK66" s="20"/>
      <c r="GL66" s="20"/>
      <c r="GM66" s="20"/>
      <c r="GN66" s="20"/>
      <c r="GO66" s="20"/>
      <c r="GP66" s="20"/>
      <c r="GQ66" s="20"/>
      <c r="GR66" s="20"/>
      <c r="GS66" s="20"/>
      <c r="GT66" s="20"/>
      <c r="GU66" s="20"/>
      <c r="GV66" s="20"/>
      <c r="GW66" s="20"/>
      <c r="GX66" s="20"/>
      <c r="GY66" s="20"/>
      <c r="GZ66" s="20"/>
      <c r="HA66" s="20"/>
      <c r="HB66" s="20"/>
      <c r="HC66" s="20"/>
      <c r="HD66" s="20"/>
      <c r="HE66" s="20"/>
      <c r="HF66" s="20"/>
      <c r="HG66" s="20"/>
      <c r="HH66" s="20"/>
      <c r="HI66" s="20"/>
      <c r="HJ66" s="20"/>
      <c r="HK66" s="20"/>
      <c r="HL66" s="20"/>
      <c r="HM66" s="20"/>
      <c r="HN66" s="20"/>
      <c r="HO66" s="20"/>
      <c r="HP66" s="20"/>
      <c r="HQ66" s="20"/>
      <c r="HR66" s="20"/>
      <c r="HS66" s="20"/>
      <c r="HT66" s="20"/>
      <c r="HU66" s="20"/>
      <c r="HV66" s="20"/>
      <c r="HW66" s="20"/>
      <c r="HX66" s="20"/>
      <c r="HY66" s="20"/>
      <c r="HZ66" s="20"/>
      <c r="IA66" s="20"/>
      <c r="IB66" s="20"/>
      <c r="IC66" s="20"/>
      <c r="ID66" s="20"/>
      <c r="IE66" s="20"/>
      <c r="IF66" s="20"/>
      <c r="IG66" s="20"/>
      <c r="IH66" s="20"/>
      <c r="II66" s="20"/>
      <c r="IJ66" s="20"/>
      <c r="IK66" s="20"/>
      <c r="IL66" s="20"/>
      <c r="IM66" s="20"/>
      <c r="IN66" s="20"/>
      <c r="IO66" s="20"/>
      <c r="IP66" s="20"/>
      <c r="IQ66" s="20"/>
      <c r="IR66" s="20"/>
      <c r="IS66" s="20"/>
      <c r="IT66" s="20"/>
      <c r="IU66" s="20"/>
      <c r="IV66" s="20"/>
      <c r="IW66" s="20"/>
      <c r="IX66" s="20"/>
      <c r="IY66" s="20"/>
      <c r="IZ66" s="20"/>
      <c r="JA66" s="20"/>
      <c r="JB66" s="20"/>
      <c r="JC66" s="20"/>
      <c r="JD66" s="20"/>
      <c r="JE66" s="20"/>
      <c r="JF66" s="20"/>
      <c r="JG66" s="20"/>
      <c r="JH66" s="20"/>
      <c r="JI66" s="20"/>
      <c r="JJ66" s="20"/>
      <c r="JK66" s="20"/>
      <c r="JL66" s="20"/>
      <c r="JM66" s="20"/>
      <c r="JN66" s="20"/>
      <c r="JO66" s="20"/>
      <c r="JP66" s="20"/>
      <c r="JQ66" s="20"/>
      <c r="JR66" s="20"/>
      <c r="JS66" s="20"/>
      <c r="JT66" s="20"/>
      <c r="JU66" s="20"/>
      <c r="JV66" s="20"/>
      <c r="JW66" s="20"/>
      <c r="JX66" s="20"/>
      <c r="JY66" s="20"/>
      <c r="JZ66" s="20"/>
      <c r="KA66" s="20"/>
      <c r="KB66" s="20"/>
      <c r="KC66" s="20"/>
      <c r="KD66" s="20"/>
      <c r="KE66" s="20"/>
      <c r="KF66" s="20"/>
      <c r="KG66" s="20"/>
      <c r="KH66" s="20"/>
      <c r="KI66" s="20"/>
      <c r="KJ66" s="20"/>
      <c r="KK66" s="20"/>
      <c r="KL66" s="20"/>
      <c r="KM66" s="20"/>
      <c r="KN66" s="20"/>
      <c r="KO66" s="20"/>
      <c r="KP66" s="20"/>
      <c r="KQ66" s="20"/>
      <c r="KR66" s="20"/>
      <c r="KS66" s="20"/>
      <c r="KT66" s="20"/>
      <c r="KU66" s="20"/>
      <c r="KV66" s="20"/>
      <c r="KW66" s="20"/>
      <c r="KX66" s="20"/>
      <c r="KY66" s="20"/>
      <c r="KZ66" s="20"/>
      <c r="LA66" s="20"/>
      <c r="LB66" s="20"/>
      <c r="LC66" s="20"/>
      <c r="LD66" s="20"/>
      <c r="LE66" s="20"/>
      <c r="LF66" s="20"/>
      <c r="LG66" s="20"/>
      <c r="LH66" s="20"/>
      <c r="LI66" s="20"/>
      <c r="LJ66" s="20"/>
      <c r="LK66" s="20"/>
      <c r="LL66" s="20"/>
      <c r="LM66" s="20"/>
      <c r="LN66" s="20"/>
      <c r="LO66" s="20"/>
      <c r="LP66" s="20"/>
      <c r="LQ66" s="20"/>
      <c r="LR66" s="20"/>
      <c r="LS66" s="20"/>
      <c r="LT66" s="20"/>
      <c r="LU66" s="20"/>
      <c r="LV66" s="20"/>
      <c r="LW66" s="20"/>
      <c r="LX66" s="20"/>
      <c r="LY66" s="20"/>
      <c r="LZ66" s="20"/>
      <c r="MA66" s="20"/>
      <c r="MB66" s="20"/>
      <c r="MC66" s="20"/>
      <c r="MD66" s="20"/>
      <c r="ME66" s="20"/>
      <c r="MF66" s="20"/>
      <c r="MG66" s="20"/>
      <c r="MH66" s="20"/>
      <c r="MI66" s="20"/>
      <c r="MJ66" s="20"/>
      <c r="MK66" s="20"/>
      <c r="ML66" s="20"/>
      <c r="MM66" s="20"/>
      <c r="MN66" s="20"/>
      <c r="MO66" s="20"/>
      <c r="MP66" s="20"/>
      <c r="MQ66" s="20"/>
      <c r="MR66" s="20"/>
      <c r="MS66" s="20"/>
      <c r="MT66" s="20"/>
      <c r="MU66" s="20"/>
      <c r="MV66" s="20"/>
      <c r="MW66" s="20"/>
      <c r="MX66" s="20"/>
      <c r="MY66" s="20"/>
      <c r="MZ66" s="20"/>
      <c r="NA66" s="20"/>
      <c r="NB66" s="20"/>
      <c r="NC66" s="20"/>
      <c r="ND66" s="20"/>
      <c r="NE66" s="20"/>
      <c r="NF66" s="20"/>
      <c r="NG66" s="20"/>
      <c r="NH66" s="20"/>
      <c r="NI66" s="20"/>
      <c r="NJ66" s="20"/>
      <c r="NK66" s="20"/>
      <c r="NL66" s="20"/>
      <c r="NM66" s="20"/>
      <c r="NN66" s="20"/>
      <c r="NO66" s="20"/>
      <c r="NP66" s="16"/>
      <c r="NQ66" s="16"/>
      <c r="NR66" s="16"/>
      <c r="NS66" s="16"/>
      <c r="NT66" s="16"/>
      <c r="NU66" s="16"/>
      <c r="NV66" s="16"/>
      <c r="NW66" s="16"/>
      <c r="NX66" s="16"/>
      <c r="NY66" s="16"/>
      <c r="NZ66" s="16"/>
      <c r="OA66" s="16"/>
      <c r="OB66" s="16"/>
      <c r="OC66" s="16"/>
      <c r="OD66" s="20"/>
      <c r="OE66" s="20"/>
      <c r="OF66" s="20"/>
      <c r="OG66" s="20"/>
      <c r="OH66" s="20"/>
    </row>
    <row r="67" spans="1:398" s="3" customFormat="1" x14ac:dyDescent="0.3"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20"/>
      <c r="X67" s="20"/>
      <c r="Y67" s="20"/>
      <c r="Z67" s="20"/>
      <c r="AA67" s="20"/>
      <c r="AB67" s="20"/>
      <c r="AC67" s="20"/>
      <c r="AD67" s="20"/>
      <c r="AE67" s="20"/>
      <c r="AF67" s="20"/>
      <c r="AG67" s="20"/>
      <c r="AH67" s="20"/>
      <c r="AI67" s="20"/>
      <c r="AJ67" s="20"/>
      <c r="AK67" s="20"/>
      <c r="AL67" s="20"/>
      <c r="AM67" s="16"/>
      <c r="AN67" s="16"/>
      <c r="AO67" s="16"/>
      <c r="AP67" s="16"/>
      <c r="AQ67" s="16"/>
      <c r="AR67" s="16"/>
      <c r="AS67" s="16"/>
      <c r="AT67" s="16"/>
      <c r="AU67" s="16"/>
      <c r="AV67" s="16"/>
      <c r="AW67" s="16"/>
      <c r="AX67" s="16"/>
      <c r="AY67" s="16"/>
      <c r="AZ67" s="16"/>
      <c r="BA67" s="16"/>
      <c r="BB67" s="16"/>
      <c r="BC67" s="16"/>
      <c r="BD67" s="16"/>
      <c r="BE67" s="16"/>
      <c r="BF67" s="16"/>
      <c r="BG67" s="16"/>
      <c r="BH67" s="16"/>
      <c r="BI67" s="16"/>
      <c r="BJ67" s="16"/>
      <c r="BK67" s="16"/>
      <c r="BL67" s="16"/>
      <c r="BM67" s="16"/>
      <c r="BN67" s="16"/>
      <c r="BO67" s="16"/>
      <c r="BP67" s="16"/>
      <c r="BQ67" s="16"/>
      <c r="BR67" s="16"/>
      <c r="BS67" s="16"/>
      <c r="BT67" s="16"/>
      <c r="BU67" s="16"/>
      <c r="BV67" s="16"/>
      <c r="BW67" s="16"/>
      <c r="BX67" s="16"/>
      <c r="BY67" s="16"/>
      <c r="BZ67" s="16"/>
      <c r="CA67" s="16"/>
      <c r="CB67" s="16"/>
      <c r="CC67" s="16"/>
      <c r="CD67" s="16"/>
      <c r="CE67" s="16"/>
      <c r="CF67" s="16"/>
      <c r="CG67" s="16"/>
      <c r="CH67" s="16"/>
      <c r="CI67" s="16"/>
      <c r="CJ67" s="16"/>
      <c r="CK67" s="16"/>
      <c r="CL67" s="16"/>
      <c r="CM67" s="16"/>
      <c r="CN67" s="16"/>
      <c r="CO67" s="16"/>
      <c r="CP67" s="16"/>
      <c r="CQ67" s="16"/>
      <c r="CR67" s="16"/>
      <c r="CS67" s="16"/>
      <c r="CT67" s="16"/>
      <c r="CU67" s="16"/>
      <c r="CV67" s="16"/>
      <c r="CW67" s="16"/>
      <c r="CX67" s="16"/>
      <c r="CY67" s="16"/>
      <c r="CZ67" s="16"/>
      <c r="DA67" s="16"/>
      <c r="DB67" s="16"/>
      <c r="DC67" s="16"/>
      <c r="DD67" s="16"/>
      <c r="DE67" s="16"/>
      <c r="DF67" s="16"/>
      <c r="DG67" s="16"/>
      <c r="DH67" s="16"/>
      <c r="DI67" s="16"/>
      <c r="DJ67" s="16"/>
      <c r="DK67" s="16"/>
      <c r="DL67" s="16"/>
      <c r="DM67" s="16"/>
      <c r="DN67" s="16"/>
      <c r="DO67" s="16"/>
      <c r="DP67" s="16"/>
      <c r="DQ67" s="16"/>
      <c r="DR67" s="20"/>
      <c r="DS67" s="20"/>
      <c r="DT67" s="20"/>
      <c r="DU67" s="20"/>
      <c r="DV67" s="20"/>
      <c r="DW67" s="20"/>
      <c r="DX67" s="20"/>
      <c r="DY67" s="20"/>
      <c r="DZ67" s="20"/>
      <c r="EA67" s="20"/>
      <c r="EB67" s="20"/>
      <c r="EC67" s="20"/>
      <c r="ED67" s="20"/>
      <c r="EE67" s="20"/>
      <c r="EF67" s="20"/>
      <c r="EG67" s="20"/>
      <c r="EH67" s="20"/>
      <c r="EI67" s="20"/>
      <c r="EJ67" s="20"/>
      <c r="EK67" s="20"/>
      <c r="EL67" s="20"/>
      <c r="EM67" s="20"/>
      <c r="EN67" s="20"/>
      <c r="EO67" s="20"/>
      <c r="EP67" s="20"/>
      <c r="EQ67" s="20"/>
      <c r="ER67" s="20"/>
      <c r="ES67" s="20"/>
      <c r="ET67" s="20"/>
      <c r="EU67" s="20"/>
      <c r="EV67" s="20"/>
      <c r="EW67" s="20"/>
      <c r="EX67" s="20"/>
      <c r="EY67" s="20"/>
      <c r="EZ67" s="20"/>
      <c r="FA67" s="20"/>
      <c r="FB67" s="20"/>
      <c r="FC67" s="20"/>
      <c r="FD67" s="20"/>
      <c r="FE67" s="20"/>
      <c r="FF67" s="20"/>
      <c r="FG67" s="20"/>
      <c r="FH67" s="20"/>
      <c r="FI67" s="20"/>
      <c r="FJ67" s="20"/>
      <c r="FK67" s="20"/>
      <c r="FL67" s="20"/>
      <c r="FM67" s="20"/>
      <c r="FN67" s="20"/>
      <c r="FO67" s="20"/>
      <c r="FP67" s="20"/>
      <c r="FQ67" s="20"/>
      <c r="FR67" s="20"/>
      <c r="FS67" s="20"/>
      <c r="FT67" s="20"/>
      <c r="FU67" s="20"/>
      <c r="FV67" s="20"/>
      <c r="FW67" s="20"/>
      <c r="FX67" s="20"/>
      <c r="FY67" s="20"/>
      <c r="FZ67" s="20"/>
      <c r="GA67" s="20"/>
      <c r="GB67" s="20"/>
      <c r="GC67" s="20"/>
      <c r="GD67" s="20"/>
      <c r="GE67" s="20"/>
      <c r="GF67" s="20"/>
      <c r="GG67" s="20"/>
      <c r="GH67" s="20"/>
      <c r="GI67" s="20"/>
      <c r="GJ67" s="20"/>
      <c r="GK67" s="20"/>
      <c r="GL67" s="20"/>
      <c r="GM67" s="20"/>
      <c r="GN67" s="20"/>
      <c r="GO67" s="20"/>
      <c r="GP67" s="20"/>
      <c r="GQ67" s="20"/>
      <c r="GR67" s="20"/>
      <c r="GS67" s="20"/>
      <c r="GT67" s="20"/>
      <c r="GU67" s="20"/>
      <c r="GV67" s="20"/>
      <c r="GW67" s="20"/>
      <c r="GX67" s="20"/>
      <c r="GY67" s="20"/>
      <c r="GZ67" s="20"/>
      <c r="HA67" s="20"/>
      <c r="HB67" s="20"/>
      <c r="HC67" s="20"/>
      <c r="HD67" s="20"/>
      <c r="HE67" s="20"/>
      <c r="HF67" s="20"/>
      <c r="HG67" s="20"/>
      <c r="HH67" s="20"/>
      <c r="HI67" s="20"/>
      <c r="HJ67" s="20"/>
      <c r="HK67" s="20"/>
      <c r="HL67" s="20"/>
      <c r="HM67" s="20"/>
      <c r="HN67" s="20"/>
      <c r="HO67" s="20"/>
      <c r="HP67" s="20"/>
      <c r="HQ67" s="20"/>
      <c r="HR67" s="20"/>
      <c r="HS67" s="20"/>
      <c r="HT67" s="20"/>
      <c r="HU67" s="20"/>
      <c r="HV67" s="20"/>
      <c r="HW67" s="20"/>
      <c r="HX67" s="20"/>
      <c r="HY67" s="20"/>
      <c r="HZ67" s="20"/>
      <c r="IA67" s="20"/>
      <c r="IB67" s="20"/>
      <c r="IC67" s="20"/>
      <c r="ID67" s="20"/>
      <c r="IE67" s="20"/>
      <c r="IF67" s="20"/>
      <c r="IG67" s="20"/>
      <c r="IH67" s="20"/>
      <c r="II67" s="20"/>
      <c r="IJ67" s="20"/>
      <c r="IK67" s="20"/>
      <c r="IL67" s="20"/>
      <c r="IM67" s="20"/>
      <c r="IN67" s="20"/>
      <c r="IO67" s="20"/>
      <c r="IP67" s="20"/>
      <c r="IQ67" s="20"/>
      <c r="IR67" s="20"/>
      <c r="IS67" s="20"/>
      <c r="IT67" s="20"/>
      <c r="IU67" s="20"/>
      <c r="IV67" s="20"/>
      <c r="IW67" s="20"/>
      <c r="IX67" s="20"/>
      <c r="IY67" s="20"/>
      <c r="IZ67" s="20"/>
      <c r="JA67" s="20"/>
      <c r="JB67" s="20"/>
      <c r="JC67" s="20"/>
      <c r="JD67" s="20"/>
      <c r="JE67" s="20"/>
      <c r="JF67" s="20"/>
      <c r="JG67" s="20"/>
      <c r="JH67" s="20"/>
      <c r="JI67" s="20"/>
      <c r="JJ67" s="20"/>
      <c r="JK67" s="20"/>
      <c r="JL67" s="20"/>
      <c r="JM67" s="20"/>
      <c r="JN67" s="20"/>
      <c r="JO67" s="20"/>
      <c r="JP67" s="20"/>
      <c r="JQ67" s="20"/>
      <c r="JR67" s="20"/>
      <c r="JS67" s="20"/>
      <c r="JT67" s="20"/>
      <c r="JU67" s="20"/>
      <c r="JV67" s="20"/>
      <c r="JW67" s="20"/>
      <c r="JX67" s="20"/>
      <c r="JY67" s="20"/>
      <c r="JZ67" s="20"/>
      <c r="KA67" s="20"/>
      <c r="KB67" s="20"/>
      <c r="KC67" s="20"/>
      <c r="KD67" s="20"/>
      <c r="KE67" s="20"/>
      <c r="KF67" s="20"/>
      <c r="KG67" s="20"/>
      <c r="KH67" s="20"/>
      <c r="KI67" s="20"/>
      <c r="KJ67" s="20"/>
      <c r="KK67" s="20"/>
      <c r="KL67" s="20"/>
      <c r="KM67" s="20"/>
      <c r="KN67" s="20"/>
      <c r="KO67" s="20"/>
      <c r="KP67" s="20"/>
      <c r="KQ67" s="20"/>
      <c r="KR67" s="20"/>
      <c r="KS67" s="20"/>
      <c r="KT67" s="20"/>
      <c r="KU67" s="20"/>
      <c r="KV67" s="20"/>
      <c r="KW67" s="20"/>
      <c r="KX67" s="20"/>
      <c r="KY67" s="20"/>
      <c r="KZ67" s="20"/>
      <c r="LA67" s="20"/>
      <c r="LB67" s="20"/>
      <c r="LC67" s="20"/>
      <c r="LD67" s="20"/>
      <c r="LE67" s="20"/>
      <c r="LF67" s="20"/>
      <c r="LG67" s="20"/>
      <c r="LH67" s="20"/>
      <c r="LI67" s="20"/>
      <c r="LJ67" s="20"/>
      <c r="LK67" s="20"/>
      <c r="LL67" s="20"/>
      <c r="LM67" s="20"/>
      <c r="LN67" s="20"/>
      <c r="LO67" s="20"/>
      <c r="LP67" s="20"/>
      <c r="LQ67" s="20"/>
      <c r="LR67" s="20"/>
      <c r="LS67" s="20"/>
      <c r="LT67" s="20"/>
      <c r="LU67" s="20"/>
      <c r="LV67" s="20"/>
      <c r="LW67" s="20"/>
      <c r="LX67" s="20"/>
      <c r="LY67" s="20"/>
      <c r="LZ67" s="20"/>
      <c r="MA67" s="20"/>
      <c r="MB67" s="20"/>
      <c r="MC67" s="20"/>
      <c r="MD67" s="20"/>
      <c r="ME67" s="20"/>
      <c r="MF67" s="20"/>
      <c r="MG67" s="20"/>
      <c r="MH67" s="20"/>
      <c r="MI67" s="20"/>
      <c r="MJ67" s="20"/>
      <c r="MK67" s="20"/>
      <c r="ML67" s="20"/>
      <c r="MM67" s="20"/>
      <c r="MN67" s="20"/>
      <c r="MO67" s="20"/>
      <c r="MP67" s="20"/>
      <c r="MQ67" s="20"/>
      <c r="MR67" s="20"/>
      <c r="MS67" s="20"/>
      <c r="MT67" s="20"/>
      <c r="MU67" s="20"/>
      <c r="MV67" s="20"/>
      <c r="MW67" s="20"/>
      <c r="MX67" s="20"/>
      <c r="MY67" s="20"/>
      <c r="MZ67" s="20"/>
      <c r="NA67" s="20"/>
      <c r="NB67" s="20"/>
      <c r="NC67" s="20"/>
      <c r="ND67" s="20"/>
      <c r="NE67" s="20"/>
      <c r="NF67" s="20"/>
      <c r="NG67" s="20"/>
      <c r="NH67" s="20"/>
      <c r="NI67" s="20"/>
      <c r="NJ67" s="20"/>
      <c r="NK67" s="20"/>
      <c r="NL67" s="20"/>
      <c r="NM67" s="20"/>
      <c r="NN67" s="20"/>
      <c r="NO67" s="20"/>
      <c r="NP67" s="16"/>
      <c r="NQ67" s="16"/>
      <c r="NR67" s="16"/>
      <c r="NS67" s="16"/>
      <c r="NT67" s="16"/>
      <c r="NU67" s="16"/>
      <c r="NV67" s="16"/>
      <c r="NW67" s="16"/>
      <c r="NX67" s="16"/>
      <c r="NY67" s="16"/>
      <c r="NZ67" s="16"/>
      <c r="OA67" s="16"/>
      <c r="OB67" s="16"/>
      <c r="OC67" s="16"/>
      <c r="OD67" s="20"/>
      <c r="OE67" s="20"/>
      <c r="OF67" s="20"/>
      <c r="OG67" s="20"/>
      <c r="OH67" s="20"/>
    </row>
    <row r="68" spans="1:398" x14ac:dyDescent="0.3">
      <c r="A68" s="3"/>
      <c r="B68" s="3"/>
      <c r="C68" s="20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20"/>
      <c r="U68" s="20"/>
      <c r="V68" s="20"/>
      <c r="W68" s="20"/>
      <c r="X68" s="20"/>
      <c r="Y68" s="20"/>
      <c r="Z68" s="20"/>
      <c r="AA68" s="20"/>
      <c r="AB68" s="20"/>
      <c r="AC68" s="20"/>
      <c r="AD68" s="20"/>
      <c r="AE68" s="20"/>
      <c r="AF68" s="20"/>
      <c r="AG68" s="20"/>
      <c r="AH68" s="20"/>
      <c r="AI68" s="20"/>
      <c r="AJ68" s="20"/>
      <c r="AK68" s="20"/>
      <c r="AL68" s="20"/>
      <c r="AM68" s="16"/>
      <c r="AN68" s="16"/>
      <c r="AO68" s="16"/>
      <c r="AP68" s="16"/>
      <c r="AQ68" s="16"/>
      <c r="AR68" s="16"/>
      <c r="AS68" s="16"/>
      <c r="AT68" s="16"/>
      <c r="AU68" s="16"/>
      <c r="AV68" s="16"/>
      <c r="AW68" s="16"/>
      <c r="AX68" s="16"/>
      <c r="AY68" s="16"/>
      <c r="AZ68" s="16"/>
      <c r="BA68" s="16"/>
      <c r="BB68" s="16"/>
      <c r="BC68" s="16"/>
      <c r="BD68" s="16"/>
      <c r="BE68" s="16"/>
      <c r="BF68" s="16"/>
      <c r="BG68" s="16"/>
      <c r="BH68" s="16"/>
      <c r="BI68" s="16"/>
      <c r="BJ68" s="16"/>
      <c r="BK68" s="16"/>
      <c r="BL68" s="16"/>
      <c r="BM68" s="16"/>
      <c r="BN68" s="16"/>
      <c r="BO68" s="16"/>
      <c r="BP68" s="16"/>
      <c r="BQ68" s="16"/>
      <c r="BR68" s="16"/>
      <c r="BS68" s="16"/>
      <c r="BT68" s="16"/>
      <c r="BU68" s="16"/>
      <c r="BV68" s="16"/>
      <c r="BW68" s="16"/>
      <c r="BX68" s="16"/>
      <c r="BY68" s="16"/>
      <c r="BZ68" s="16"/>
      <c r="CA68" s="16"/>
      <c r="CB68" s="16"/>
      <c r="CC68" s="16"/>
      <c r="CD68" s="16"/>
      <c r="CE68" s="16"/>
      <c r="CF68" s="16"/>
      <c r="CG68" s="16"/>
      <c r="CH68" s="16"/>
      <c r="CI68" s="16"/>
      <c r="CJ68" s="16"/>
      <c r="CK68" s="16"/>
      <c r="CL68" s="16"/>
      <c r="CM68" s="16"/>
      <c r="CN68" s="16"/>
      <c r="CO68" s="16"/>
      <c r="CP68" s="16"/>
      <c r="CQ68" s="16"/>
      <c r="CR68" s="16"/>
      <c r="CS68" s="16"/>
      <c r="CT68" s="16"/>
      <c r="CU68" s="16"/>
      <c r="CV68" s="16"/>
      <c r="CW68" s="16"/>
      <c r="CX68" s="16"/>
      <c r="CY68" s="16"/>
      <c r="CZ68" s="16"/>
      <c r="DA68" s="16"/>
      <c r="DB68" s="16"/>
      <c r="DC68" s="16"/>
      <c r="DD68" s="16"/>
      <c r="DE68" s="16"/>
      <c r="DF68" s="16"/>
      <c r="DG68" s="16"/>
      <c r="DH68" s="16"/>
      <c r="DI68" s="16"/>
      <c r="DJ68" s="16"/>
      <c r="DK68" s="16"/>
      <c r="DL68" s="16"/>
      <c r="DM68" s="16"/>
      <c r="DN68" s="16"/>
      <c r="DO68" s="16"/>
      <c r="DP68" s="16"/>
      <c r="DQ68" s="16"/>
      <c r="DR68" s="20"/>
      <c r="DS68" s="20"/>
      <c r="DT68" s="20"/>
      <c r="DU68" s="20"/>
      <c r="DV68" s="20"/>
      <c r="DW68" s="20"/>
      <c r="DX68" s="20"/>
      <c r="DY68" s="20"/>
      <c r="DZ68" s="20"/>
      <c r="EA68" s="20"/>
      <c r="EB68" s="20"/>
      <c r="EC68" s="20"/>
      <c r="ED68" s="20"/>
      <c r="EE68" s="20"/>
      <c r="EF68" s="20"/>
      <c r="EG68" s="20"/>
      <c r="EH68" s="20"/>
      <c r="EI68" s="20"/>
      <c r="EJ68" s="20"/>
      <c r="EK68" s="20"/>
      <c r="EL68" s="20"/>
      <c r="EM68" s="20"/>
      <c r="EN68" s="20"/>
      <c r="EO68" s="20"/>
      <c r="EP68" s="20"/>
      <c r="EQ68" s="20"/>
      <c r="ER68" s="20"/>
      <c r="ES68" s="20"/>
      <c r="ET68" s="20"/>
      <c r="EU68" s="20"/>
      <c r="EV68" s="20"/>
      <c r="EW68" s="20"/>
      <c r="EX68" s="20"/>
      <c r="EY68" s="20"/>
      <c r="EZ68" s="20"/>
      <c r="FA68" s="20"/>
      <c r="FB68" s="20"/>
      <c r="FC68" s="20"/>
      <c r="FD68" s="20"/>
      <c r="FE68" s="20"/>
      <c r="FF68" s="20"/>
      <c r="FG68" s="20"/>
      <c r="FH68" s="20"/>
      <c r="FI68" s="20"/>
      <c r="FJ68" s="20"/>
      <c r="FK68" s="20"/>
      <c r="FL68" s="20"/>
      <c r="FM68" s="20"/>
      <c r="FN68" s="20"/>
      <c r="FO68" s="20"/>
      <c r="FP68" s="20"/>
      <c r="FQ68" s="20"/>
      <c r="FR68" s="20"/>
      <c r="FS68" s="20"/>
      <c r="FT68" s="20"/>
      <c r="FU68" s="20"/>
      <c r="FV68" s="20"/>
      <c r="FW68" s="20"/>
      <c r="FX68" s="20"/>
      <c r="FY68" s="20"/>
      <c r="FZ68" s="20"/>
      <c r="GA68" s="20"/>
      <c r="GB68" s="20"/>
      <c r="GC68" s="20"/>
      <c r="GD68" s="20"/>
      <c r="GE68" s="20"/>
      <c r="GF68" s="20"/>
      <c r="GG68" s="20"/>
      <c r="GH68" s="20"/>
      <c r="GI68" s="20"/>
      <c r="GJ68" s="20"/>
      <c r="GK68" s="20"/>
      <c r="GL68" s="20"/>
      <c r="GM68" s="20"/>
      <c r="GN68" s="20"/>
      <c r="GO68" s="20"/>
      <c r="GP68" s="20"/>
      <c r="GQ68" s="20"/>
      <c r="GR68" s="20"/>
      <c r="GS68" s="20"/>
      <c r="GT68" s="20"/>
      <c r="GU68" s="20"/>
      <c r="GV68" s="20"/>
      <c r="GW68" s="20"/>
      <c r="GX68" s="20"/>
      <c r="GY68" s="20"/>
      <c r="GZ68" s="20"/>
      <c r="HA68" s="20"/>
      <c r="HB68" s="20"/>
      <c r="HC68" s="20"/>
      <c r="HD68" s="20"/>
      <c r="HE68" s="20"/>
      <c r="HF68" s="20"/>
      <c r="HG68" s="20"/>
      <c r="HH68" s="20"/>
      <c r="HI68" s="20"/>
      <c r="HJ68" s="20"/>
      <c r="HK68" s="20"/>
      <c r="HL68" s="20"/>
      <c r="HM68" s="20"/>
      <c r="HN68" s="20"/>
      <c r="HO68" s="20"/>
      <c r="HP68" s="20"/>
      <c r="HQ68" s="20"/>
      <c r="HR68" s="20"/>
      <c r="HS68" s="20"/>
      <c r="HT68" s="20"/>
      <c r="HU68" s="20"/>
      <c r="HV68" s="20"/>
      <c r="HW68" s="20"/>
      <c r="HX68" s="20"/>
      <c r="HY68" s="20"/>
      <c r="HZ68" s="20"/>
      <c r="IA68" s="20"/>
      <c r="IB68" s="20"/>
      <c r="IC68" s="20"/>
      <c r="ID68" s="20"/>
      <c r="IE68" s="20"/>
      <c r="IF68" s="20"/>
      <c r="IG68" s="20"/>
      <c r="IH68" s="20"/>
      <c r="II68" s="20"/>
      <c r="IJ68" s="20"/>
      <c r="IK68" s="20"/>
      <c r="IL68" s="20"/>
      <c r="IM68" s="20"/>
      <c r="IN68" s="20"/>
      <c r="IO68" s="20"/>
      <c r="IP68" s="20"/>
      <c r="IQ68" s="20"/>
      <c r="IR68" s="20"/>
      <c r="IS68" s="20"/>
      <c r="IT68" s="20"/>
      <c r="IU68" s="20"/>
      <c r="IV68" s="20"/>
      <c r="IW68" s="20"/>
      <c r="IX68" s="20"/>
      <c r="IY68" s="20"/>
      <c r="IZ68" s="20"/>
      <c r="JA68" s="20"/>
      <c r="JB68" s="20"/>
      <c r="JC68" s="20"/>
      <c r="JD68" s="20"/>
      <c r="JE68" s="20"/>
      <c r="JF68" s="20"/>
      <c r="JG68" s="20"/>
      <c r="JH68" s="20"/>
      <c r="JI68" s="20"/>
      <c r="JJ68" s="20"/>
      <c r="JK68" s="20"/>
      <c r="JL68" s="20"/>
      <c r="JM68" s="20"/>
      <c r="JN68" s="20"/>
      <c r="JO68" s="20"/>
      <c r="JP68" s="20"/>
      <c r="JQ68" s="20"/>
      <c r="JR68" s="20"/>
      <c r="JS68" s="20"/>
      <c r="JT68" s="20"/>
      <c r="JU68" s="20"/>
      <c r="JV68" s="20"/>
      <c r="JW68" s="20"/>
      <c r="JX68" s="20"/>
      <c r="JY68" s="20"/>
      <c r="JZ68" s="20"/>
      <c r="KA68" s="20"/>
      <c r="KB68" s="20"/>
      <c r="KC68" s="20"/>
      <c r="KD68" s="20"/>
      <c r="KE68" s="20"/>
      <c r="KF68" s="20"/>
      <c r="KG68" s="20"/>
      <c r="KH68" s="20"/>
      <c r="KI68" s="20"/>
      <c r="KJ68" s="20"/>
      <c r="KK68" s="20"/>
      <c r="KL68" s="20"/>
      <c r="KM68" s="20"/>
      <c r="KN68" s="20"/>
      <c r="KO68" s="20"/>
      <c r="KP68" s="20"/>
      <c r="KQ68" s="20"/>
      <c r="KR68" s="20"/>
      <c r="KS68" s="20"/>
      <c r="KT68" s="20"/>
      <c r="KU68" s="20"/>
      <c r="KV68" s="20"/>
      <c r="KW68" s="20"/>
      <c r="KX68" s="20"/>
      <c r="KY68" s="20"/>
      <c r="KZ68" s="20"/>
      <c r="LA68" s="20"/>
      <c r="LB68" s="20"/>
      <c r="LC68" s="20"/>
      <c r="LD68" s="20"/>
      <c r="LE68" s="20"/>
      <c r="LF68" s="20"/>
      <c r="LG68" s="20"/>
      <c r="LH68" s="20"/>
      <c r="LI68" s="20"/>
      <c r="LJ68" s="20"/>
      <c r="LK68" s="20"/>
      <c r="LL68" s="20"/>
      <c r="LM68" s="20"/>
      <c r="LN68" s="20"/>
      <c r="LO68" s="20"/>
      <c r="LP68" s="20"/>
      <c r="LQ68" s="20"/>
      <c r="LR68" s="20"/>
      <c r="LS68" s="20"/>
      <c r="LT68" s="20"/>
      <c r="LU68" s="20"/>
      <c r="LV68" s="20"/>
      <c r="LW68" s="20"/>
      <c r="LX68" s="20"/>
      <c r="LY68" s="20"/>
      <c r="LZ68" s="20"/>
      <c r="MA68" s="20"/>
      <c r="MB68" s="20"/>
      <c r="MC68" s="20"/>
      <c r="MD68" s="20"/>
      <c r="ME68" s="20"/>
      <c r="MF68" s="20"/>
      <c r="MG68" s="20"/>
      <c r="MH68" s="20"/>
      <c r="MI68" s="20"/>
      <c r="MJ68" s="20"/>
      <c r="MK68" s="20"/>
      <c r="ML68" s="20"/>
      <c r="MM68" s="20"/>
      <c r="MN68" s="20"/>
      <c r="MO68" s="20"/>
      <c r="MP68" s="20"/>
      <c r="MQ68" s="20"/>
      <c r="MR68" s="20"/>
      <c r="MS68" s="20"/>
      <c r="MT68" s="20"/>
      <c r="MU68" s="20"/>
      <c r="MV68" s="20"/>
      <c r="MW68" s="20"/>
      <c r="MX68" s="20"/>
      <c r="MY68" s="20"/>
      <c r="MZ68" s="20"/>
      <c r="NA68" s="20"/>
      <c r="NB68" s="20"/>
      <c r="NC68" s="20"/>
      <c r="ND68" s="20"/>
      <c r="NE68" s="20"/>
      <c r="NF68" s="20"/>
      <c r="NG68" s="20"/>
      <c r="NH68" s="20"/>
      <c r="NI68" s="20"/>
      <c r="NJ68" s="20"/>
      <c r="NK68" s="20"/>
      <c r="NL68" s="20"/>
      <c r="NM68" s="20"/>
      <c r="NN68" s="20"/>
      <c r="NO68" s="20"/>
      <c r="NP68" s="16"/>
      <c r="NQ68" s="16"/>
      <c r="NR68" s="16"/>
      <c r="NS68" s="16"/>
      <c r="NT68" s="16"/>
      <c r="NU68" s="16"/>
      <c r="NV68" s="16"/>
      <c r="NW68" s="16"/>
      <c r="NX68" s="16"/>
      <c r="NY68" s="16"/>
      <c r="NZ68" s="16"/>
      <c r="OA68" s="16"/>
      <c r="OB68" s="16"/>
      <c r="OC68" s="16"/>
      <c r="OD68" s="20"/>
      <c r="OE68" s="20"/>
      <c r="OF68" s="20"/>
      <c r="OG68" s="20"/>
      <c r="OH68" s="20"/>
    </row>
  </sheetData>
  <mergeCells count="86">
    <mergeCell ref="KU8:LY8"/>
    <mergeCell ref="A7:B7"/>
    <mergeCell ref="C8:AG8"/>
    <mergeCell ref="AH8:BL8"/>
    <mergeCell ref="BM8:CN8"/>
    <mergeCell ref="CO8:DS8"/>
    <mergeCell ref="DT8:EW8"/>
    <mergeCell ref="CO15:CT15"/>
    <mergeCell ref="LZ8:NC8"/>
    <mergeCell ref="ND8:OH8"/>
    <mergeCell ref="A11:A13"/>
    <mergeCell ref="AH15:AM15"/>
    <mergeCell ref="AO15:AP15"/>
    <mergeCell ref="AQ15:AV15"/>
    <mergeCell ref="AX15:AY15"/>
    <mergeCell ref="AZ15:BE15"/>
    <mergeCell ref="BG15:BL15"/>
    <mergeCell ref="BM15:BR15"/>
    <mergeCell ref="EX8:GB8"/>
    <mergeCell ref="GC8:HF8"/>
    <mergeCell ref="HG8:IK8"/>
    <mergeCell ref="IL8:JP8"/>
    <mergeCell ref="JQ8:KT8"/>
    <mergeCell ref="BT15:BU15"/>
    <mergeCell ref="BV15:CA15"/>
    <mergeCell ref="CC15:CD15"/>
    <mergeCell ref="CE15:CJ15"/>
    <mergeCell ref="CL15:CN15"/>
    <mergeCell ref="EX15:FC15"/>
    <mergeCell ref="CV15:CW15"/>
    <mergeCell ref="CX15:DC15"/>
    <mergeCell ref="DE15:DF15"/>
    <mergeCell ref="DG15:DL15"/>
    <mergeCell ref="DN15:DS15"/>
    <mergeCell ref="DT15:DY15"/>
    <mergeCell ref="EA15:EB15"/>
    <mergeCell ref="EC15:EH15"/>
    <mergeCell ref="EJ15:EK15"/>
    <mergeCell ref="EL15:EQ15"/>
    <mergeCell ref="ES15:EW15"/>
    <mergeCell ref="HN15:HO15"/>
    <mergeCell ref="FE15:FF15"/>
    <mergeCell ref="FG15:FL15"/>
    <mergeCell ref="FN15:FO15"/>
    <mergeCell ref="FP15:FU15"/>
    <mergeCell ref="GC15:GH15"/>
    <mergeCell ref="GJ15:GK15"/>
    <mergeCell ref="GL15:GQ15"/>
    <mergeCell ref="GS15:GT15"/>
    <mergeCell ref="GU15:GZ15"/>
    <mergeCell ref="HB15:HF15"/>
    <mergeCell ref="HG15:HL15"/>
    <mergeCell ref="JX15:JY15"/>
    <mergeCell ref="HP15:HU15"/>
    <mergeCell ref="HW15:HX15"/>
    <mergeCell ref="HY15:ID15"/>
    <mergeCell ref="IF15:IK15"/>
    <mergeCell ref="IL15:IQ15"/>
    <mergeCell ref="IS15:IT15"/>
    <mergeCell ref="IU15:IZ15"/>
    <mergeCell ref="JB15:JC15"/>
    <mergeCell ref="JD15:JI15"/>
    <mergeCell ref="JK15:JP15"/>
    <mergeCell ref="JQ15:JV15"/>
    <mergeCell ref="MG15:MH15"/>
    <mergeCell ref="JZ15:KE15"/>
    <mergeCell ref="KG15:KH15"/>
    <mergeCell ref="KI15:KN15"/>
    <mergeCell ref="KP15:KT15"/>
    <mergeCell ref="KU15:KZ15"/>
    <mergeCell ref="LB15:LC15"/>
    <mergeCell ref="LD15:LI15"/>
    <mergeCell ref="LK15:LL15"/>
    <mergeCell ref="LM15:LR15"/>
    <mergeCell ref="LT15:LY15"/>
    <mergeCell ref="LZ15:ME15"/>
    <mergeCell ref="NM15:NR15"/>
    <mergeCell ref="NT15:NU15"/>
    <mergeCell ref="NV15:OA15"/>
    <mergeCell ref="OC15:OH15"/>
    <mergeCell ref="MI15:MN15"/>
    <mergeCell ref="MP15:MQ15"/>
    <mergeCell ref="MR15:MW15"/>
    <mergeCell ref="MY15:NC15"/>
    <mergeCell ref="ND15:NI15"/>
    <mergeCell ref="NK15:NL15"/>
  </mergeCells>
  <conditionalFormatting sqref="A7:XFD7 C17:OH50">
    <cfRule type="expression" dxfId="15" priority="2">
      <formula>A$7="WE"</formula>
    </cfRule>
    <cfRule type="expression" dxfId="14" priority="3">
      <formula>A$7="Férié"</formula>
    </cfRule>
    <cfRule type="expression" dxfId="13" priority="8">
      <formula>A$7="I&amp;A"</formula>
    </cfRule>
    <cfRule type="expression" dxfId="12" priority="9">
      <formula>A$7="PIP"</formula>
    </cfRule>
  </conditionalFormatting>
  <conditionalFormatting sqref="A9:XFD9">
    <cfRule type="cellIs" dxfId="11" priority="1" operator="equal">
      <formula>TODAY()</formula>
    </cfRule>
  </conditionalFormatting>
  <conditionalFormatting sqref="C17:OH50 A7:XFD7">
    <cfRule type="expression" dxfId="3" priority="7">
      <formula>A$7="Présentiel"</formula>
    </cfRule>
  </conditionalFormatting>
  <conditionalFormatting sqref="C17:OH50">
    <cfRule type="cellIs" dxfId="2" priority="4" operator="lessThan">
      <formula>0.25</formula>
    </cfRule>
    <cfRule type="cellIs" dxfId="1" priority="5" operator="equal">
      <formula>0.5</formula>
    </cfRule>
    <cfRule type="cellIs" dxfId="0" priority="6" operator="equal">
      <formula>0.25</formula>
    </cfRule>
  </conditionalFormatting>
  <pageMargins left="0.7" right="0.7" top="0.75" bottom="0.75" header="0.3" footer="0.3"/>
  <pageSetup paperSize="9" orientation="portrait" verticalDpi="0" r:id="rId1"/>
  <drawing r:id="rId2"/>
  <tableParts count="1">
    <tablePart r:id="rId3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6" id="{AFFD286A-05A6-466A-8ECD-26CA8FE5D207}">
            <xm:f>COUNTIFS(Paramètres!$G$3:$G$38,$B11,Paramètres!$H$3:$H$38,"&lt;="&amp;C9,Paramètres!$I$3:$I$38,"&gt;="&amp;C9)</xm:f>
            <x14:dxf>
              <font>
                <color theme="9" tint="-0.24994659260841701"/>
              </font>
              <fill>
                <patternFill>
                  <bgColor theme="9" tint="0.79998168889431442"/>
                </patternFill>
              </fill>
            </x14:dxf>
          </x14:cfRule>
          <xm:sqref>C11:OH11</xm:sqref>
        </x14:conditionalFormatting>
        <x14:conditionalFormatting xmlns:xm="http://schemas.microsoft.com/office/excel/2006/main">
          <x14:cfRule type="expression" priority="15" id="{29BAB645-E517-47B8-8508-56AC75502F21}">
            <xm:f>COUNTIFS(Paramètres!$G$3:$G$38,$B12,Paramètres!$H$3:$H$38,"&lt;="&amp;C9,Paramètres!$I$3:$I$38,"&gt;="&amp;C9)</xm:f>
            <x14:dxf>
              <font>
                <color theme="4" tint="-0.24994659260841701"/>
              </font>
              <fill>
                <patternFill>
                  <bgColor theme="4" tint="0.79998168889431442"/>
                </patternFill>
              </fill>
            </x14:dxf>
          </x14:cfRule>
          <xm:sqref>C12:OH12</xm:sqref>
        </x14:conditionalFormatting>
        <x14:conditionalFormatting xmlns:xm="http://schemas.microsoft.com/office/excel/2006/main">
          <x14:cfRule type="expression" priority="14" id="{ECF46A7D-68A3-403B-818E-59CC017F0595}">
            <xm:f>COUNTIFS(Paramètres!$G$3:$G$38,$B13,Paramètres!$H$3:$H$38,"&lt;="&amp;C9,Paramètres!$I$3:$I$38,"&gt;="&amp;C9)</xm:f>
            <x14:dxf>
              <font>
                <color theme="7" tint="-0.24994659260841701"/>
              </font>
              <fill>
                <patternFill>
                  <bgColor rgb="FFFFF9E7"/>
                </patternFill>
              </fill>
            </x14:dxf>
          </x14:cfRule>
          <xm:sqref>C13:OH13</xm:sqref>
        </x14:conditionalFormatting>
        <x14:conditionalFormatting xmlns:xm="http://schemas.microsoft.com/office/excel/2006/main">
          <x14:cfRule type="expression" priority="10" id="{F15B1D06-DE18-4544-AA13-DCED98AEC412}">
            <xm:f>COUNTIFS(Paramètres!$O$3:$O$38,"PI#20",Paramètres!$Q$3:$Q$38,"&lt;="&amp;C9,Paramètres!$R$3:$R$38,"&gt;="&amp;C9)</xm:f>
            <x14:dxf>
              <numFmt numFmtId="2" formatCode="0.00"/>
              <fill>
                <patternFill patternType="solid">
                  <fgColor auto="1"/>
                  <bgColor rgb="FFFF9900"/>
                </patternFill>
              </fill>
            </x14:dxf>
          </x14:cfRule>
          <x14:cfRule type="expression" priority="11" id="{D929A7B0-E90D-47D9-8F72-20EE650A17B7}">
            <xm:f>COUNTIFS(Paramètres!$O$3:$O$38,"PI#19",Paramètres!$Q$3:$Q$38,"&lt;="&amp;C9,Paramètres!$R$3:$R$38,"&gt;="&amp;C9)</xm:f>
            <x14:dxf>
              <numFmt numFmtId="2" formatCode="0.00"/>
              <fill>
                <patternFill patternType="solid">
                  <fgColor auto="1"/>
                  <bgColor rgb="FFFFCC00"/>
                </patternFill>
              </fill>
            </x14:dxf>
          </x14:cfRule>
          <x14:cfRule type="expression" priority="12" id="{EF2AA29E-4B36-48D5-82A7-BF799DCBDCE1}">
            <xm:f>COUNTIFS(Paramètres!$O$3:$O$38,"PI#18",Paramètres!$Q$3:$Q$38,"&lt;="&amp;C9,Paramètres!$R$3:$R$38,"&gt;="&amp;C9)</xm:f>
            <x14:dxf>
              <numFmt numFmtId="2" formatCode="0.00"/>
              <fill>
                <patternFill patternType="solid">
                  <fgColor auto="1"/>
                  <bgColor rgb="FFFFCC66"/>
                </patternFill>
              </fill>
            </x14:dxf>
          </x14:cfRule>
          <x14:cfRule type="expression" priority="13" id="{12976B2C-87A0-46BB-BD34-8DF4E3D87F95}">
            <xm:f>COUNTIFS(Paramètres!$O$3:$O$38,"PI#17",Paramètres!$Q$3:$Q$38,"&lt;="&amp;C9,Paramètres!$R$3:$R$38,"&gt;="&amp;C9)</xm:f>
            <x14:dxf>
              <numFmt numFmtId="2" formatCode="0.00"/>
              <fill>
                <patternFill patternType="solid">
                  <fgColor auto="1"/>
                  <bgColor rgb="FFFFCC99"/>
                </patternFill>
              </fill>
            </x14:dxf>
          </x14:cfRule>
          <xm:sqref>C14:OH14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xr:uid="{D00FDD77-3ADB-46A8-A16B-05E8C3563F78}">
          <x14:formula1>
            <xm:f>Paramètres!$AA$3:$AA$6</xm:f>
          </x14:formula1>
          <xm:sqref>C17:OH50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80e5731-b222-4b7f-94ca-cf9ee888860e" xsi:nil="true"/>
    <lcf76f155ced4ddcb4097134ff3c332f xmlns="70f6c702-d7c2-409b-b1af-1793c8c6cf3e">
      <Terms xmlns="http://schemas.microsoft.com/office/infopath/2007/PartnerControls"/>
    </lcf76f155ced4ddcb4097134ff3c332f>
    <Lien xmlns="70f6c702-d7c2-409b-b1af-1793c8c6cf3e">
      <Url xsi:nil="true"/>
      <Description xsi:nil="true"/>
    </Lien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E2713433A76CA46A4D4DCE1EB49F4FC" ma:contentTypeVersion="14" ma:contentTypeDescription="Crée un document." ma:contentTypeScope="" ma:versionID="59c2d97b704788dca11e85b4f2e67c38">
  <xsd:schema xmlns:xsd="http://www.w3.org/2001/XMLSchema" xmlns:xs="http://www.w3.org/2001/XMLSchema" xmlns:p="http://schemas.microsoft.com/office/2006/metadata/properties" xmlns:ns2="70f6c702-d7c2-409b-b1af-1793c8c6cf3e" xmlns:ns3="680e5731-b222-4b7f-94ca-cf9ee888860e" targetNamespace="http://schemas.microsoft.com/office/2006/metadata/properties" ma:root="true" ma:fieldsID="65193bc70b06f4ac89f86fa7efb49631" ns2:_="" ns3:_="">
    <xsd:import namespace="70f6c702-d7c2-409b-b1af-1793c8c6cf3e"/>
    <xsd:import namespace="680e5731-b222-4b7f-94ca-cf9ee888860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Li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f6c702-d7c2-409b-b1af-1793c8c6cf3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Balises d’images" ma:readOnly="false" ma:fieldId="{5cf76f15-5ced-4ddc-b409-7134ff3c332f}" ma:taxonomyMulti="true" ma:sspId="7a37049e-852f-4bf2-b2f4-0acd502b0a3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ien" ma:index="20" nillable="true" ma:displayName="Lien" ma:format="Hyperlink" ma:internalName="Lien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0e5731-b222-4b7f-94ca-cf9ee888860e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d57ff29a-2fe4-4d78-a408-3630e5e43a48}" ma:internalName="TaxCatchAll" ma:showField="CatchAllData" ma:web="680e5731-b222-4b7f-94ca-cf9ee888860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BF6F0D8-2811-4BB0-83CC-47A20B3E7051}">
  <ds:schemaRefs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680e5731-b222-4b7f-94ca-cf9ee888860e"/>
    <ds:schemaRef ds:uri="http://purl.org/dc/terms/"/>
    <ds:schemaRef ds:uri="70f6c702-d7c2-409b-b1af-1793c8c6cf3e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925D6CB9-F0D6-4BC0-B198-98166EC7756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76D19DC-C51D-4F93-812A-CC893000FA8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0f6c702-d7c2-409b-b1af-1793c8c6cf3e"/>
    <ds:schemaRef ds:uri="680e5731-b222-4b7f-94ca-cf9ee888860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4</vt:i4>
      </vt:variant>
    </vt:vector>
  </HeadingPairs>
  <TitlesOfParts>
    <vt:vector size="7" baseType="lpstr">
      <vt:lpstr>Agenda</vt:lpstr>
      <vt:lpstr>Paramètres</vt:lpstr>
      <vt:lpstr>Agenda (2)</vt:lpstr>
      <vt:lpstr>AnneeEnCours</vt:lpstr>
      <vt:lpstr>'Agenda (2)'!JFeriesAnnee</vt:lpstr>
      <vt:lpstr>JFeriesAnnee</vt:lpstr>
      <vt:lpstr>Paques</vt:lpstr>
    </vt:vector>
  </TitlesOfParts>
  <Manager/>
  <Company>MSA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Michel Woitrain</dc:creator>
  <cp:keywords/>
  <dc:description/>
  <cp:lastModifiedBy>Daniel Colardelle</cp:lastModifiedBy>
  <cp:revision/>
  <dcterms:created xsi:type="dcterms:W3CDTF">2022-11-22T10:35:47Z</dcterms:created>
  <dcterms:modified xsi:type="dcterms:W3CDTF">2024-12-26T08:34:16Z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0x0101003E2713433A76CA46A4D4DCE1EB49F4FC</vt:lpwstr>
  </property>
  <property fmtid="{D5CDD505-2E9C-101B-9397-08002B2CF9AE}" pid="3" name="MediaServiceImageTags">
    <vt:lpwstr/>
  </property>
</Properties>
</file>