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7224954c56d8649/CCM/"/>
    </mc:Choice>
  </mc:AlternateContent>
  <xr:revisionPtr revIDLastSave="1" documentId="8_{0808B7F1-0DB3-406A-B03A-8023EDDB53A3}" xr6:coauthVersionLast="47" xr6:coauthVersionMax="47" xr10:uidLastSave="{0D8053D6-E3AA-433E-9A64-343164037E29}"/>
  <bookViews>
    <workbookView xWindow="-23148" yWindow="-108" windowWidth="23256" windowHeight="12456" xr2:uid="{E0A8E0A1-68DC-46C3-941A-0C372300FC53}"/>
  </bookViews>
  <sheets>
    <sheet name="Détails" sheetId="1" r:id="rId1"/>
  </sheets>
  <externalReferences>
    <externalReference r:id="rId2"/>
    <externalReference r:id="rId3"/>
  </externalReferences>
  <definedNames>
    <definedName name="Actes">'[1]Décompte 2024'!$R$1:$R$9</definedName>
    <definedName name="base">[1]Marcel!#REF!</definedName>
    <definedName name="calcul_jour_mois">'[1]Journal OF'!$N$4:$O$15</definedName>
    <definedName name="Critère">#REF!</definedName>
    <definedName name="Gaëtane">[2]!Tableau37[#All]</definedName>
    <definedName name="Jours_fériés" localSheetId="0">Détails!$AR$6:$AR$18</definedName>
    <definedName name="Marcel">[2]!Tableau26[#Data]</definedName>
    <definedName name="Mode">[1]Récap!$A$2:$A$13</definedName>
    <definedName name="Sens">[1]Récap!$A$2:$B$13</definedName>
    <definedName name="Tarif">'[1]Journal OF'!$Q$4:$R$10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H39" i="1"/>
  <c r="L39" i="1"/>
  <c r="B47" i="1" s="1"/>
  <c r="P39" i="1"/>
  <c r="B48" i="1" s="1"/>
  <c r="S39" i="1"/>
  <c r="V39" i="1"/>
  <c r="U39" i="1" s="1" a="1"/>
  <c r="U39" i="1" s="1"/>
  <c r="C50" i="1" s="1"/>
  <c r="Y39" i="1"/>
  <c r="B51" i="1" s="1"/>
  <c r="AB39" i="1"/>
  <c r="B52" i="1" s="1"/>
  <c r="AE39" i="1"/>
  <c r="AD39" i="1" s="1" a="1"/>
  <c r="AD39" i="1" s="1"/>
  <c r="AH39" i="1"/>
  <c r="AG39" i="1" s="1" a="1"/>
  <c r="AG39" i="1" s="1"/>
  <c r="C54" i="1" s="1"/>
  <c r="AK39" i="1"/>
  <c r="AJ39" i="1" s="1" a="1"/>
  <c r="AJ39" i="1" s="1"/>
  <c r="AN39" i="1"/>
  <c r="AM39" i="1" s="1" a="1"/>
  <c r="AM39" i="1" s="1"/>
  <c r="C56" i="1" s="1"/>
  <c r="D40" i="1"/>
  <c r="D45" i="1" s="1"/>
  <c r="H40" i="1"/>
  <c r="D46" i="1" s="1"/>
  <c r="L40" i="1"/>
  <c r="P40" i="1"/>
  <c r="D48" i="1" s="1"/>
  <c r="S40" i="1"/>
  <c r="V40" i="1"/>
  <c r="U40" i="1" s="1"/>
  <c r="Y40" i="1"/>
  <c r="X40" i="1" s="1"/>
  <c r="AB40" i="1"/>
  <c r="AA40" i="1" s="1"/>
  <c r="F52" i="1" s="1"/>
  <c r="AE40" i="1"/>
  <c r="AD40" i="1" s="1"/>
  <c r="F53" i="1" s="1"/>
  <c r="AH40" i="1"/>
  <c r="AG40" i="1" s="1"/>
  <c r="F54" i="1" s="1"/>
  <c r="AK40" i="1"/>
  <c r="D55" i="1" s="1"/>
  <c r="AN40" i="1"/>
  <c r="D56" i="1" s="1"/>
  <c r="H56" i="1"/>
  <c r="H55" i="1"/>
  <c r="J51" i="1"/>
  <c r="J50" i="1"/>
  <c r="D49" i="1"/>
  <c r="AN33" i="1"/>
  <c r="AH33" i="1"/>
  <c r="AB33" i="1"/>
  <c r="Y33" i="1"/>
  <c r="V33" i="1"/>
  <c r="S33" i="1"/>
  <c r="M33" i="1"/>
  <c r="L33" i="1"/>
  <c r="E33" i="1"/>
  <c r="D33" i="1"/>
  <c r="AN32" i="1"/>
  <c r="AK32" i="1"/>
  <c r="AH32" i="1"/>
  <c r="AE32" i="1"/>
  <c r="AB32" i="1"/>
  <c r="Y32" i="1"/>
  <c r="V32" i="1"/>
  <c r="S32" i="1"/>
  <c r="P32" i="1"/>
  <c r="M32" i="1"/>
  <c r="L32" i="1"/>
  <c r="E32" i="1"/>
  <c r="D32" i="1"/>
  <c r="AN31" i="1"/>
  <c r="AK31" i="1"/>
  <c r="AH31" i="1"/>
  <c r="AE31" i="1"/>
  <c r="AB31" i="1"/>
  <c r="Y31" i="1"/>
  <c r="V31" i="1"/>
  <c r="S31" i="1"/>
  <c r="P31" i="1"/>
  <c r="M31" i="1"/>
  <c r="L31" i="1"/>
  <c r="I31" i="1"/>
  <c r="H31" i="1"/>
  <c r="E31" i="1"/>
  <c r="D31" i="1"/>
  <c r="AN30" i="1"/>
  <c r="AK30" i="1"/>
  <c r="AH30" i="1"/>
  <c r="AE30" i="1"/>
  <c r="AB30" i="1"/>
  <c r="Y30" i="1"/>
  <c r="V30" i="1"/>
  <c r="S30" i="1"/>
  <c r="P30" i="1"/>
  <c r="M30" i="1"/>
  <c r="L30" i="1"/>
  <c r="I30" i="1"/>
  <c r="H30" i="1"/>
  <c r="E30" i="1"/>
  <c r="D30" i="1"/>
  <c r="AN29" i="1"/>
  <c r="AK29" i="1"/>
  <c r="AH29" i="1"/>
  <c r="AE29" i="1"/>
  <c r="AB29" i="1"/>
  <c r="Y29" i="1"/>
  <c r="V29" i="1"/>
  <c r="S29" i="1"/>
  <c r="P29" i="1"/>
  <c r="M29" i="1"/>
  <c r="L29" i="1"/>
  <c r="I29" i="1"/>
  <c r="H29" i="1"/>
  <c r="E29" i="1"/>
  <c r="D29" i="1"/>
  <c r="AN28" i="1"/>
  <c r="AK28" i="1"/>
  <c r="AH28" i="1"/>
  <c r="AE28" i="1"/>
  <c r="AB28" i="1"/>
  <c r="Y28" i="1"/>
  <c r="V28" i="1"/>
  <c r="S28" i="1"/>
  <c r="P28" i="1"/>
  <c r="M28" i="1"/>
  <c r="L28" i="1"/>
  <c r="I28" i="1"/>
  <c r="H28" i="1"/>
  <c r="E28" i="1"/>
  <c r="D28" i="1"/>
  <c r="AN27" i="1"/>
  <c r="AK27" i="1"/>
  <c r="AH27" i="1"/>
  <c r="AE27" i="1"/>
  <c r="AB27" i="1"/>
  <c r="Y27" i="1"/>
  <c r="V27" i="1"/>
  <c r="S27" i="1"/>
  <c r="P27" i="1"/>
  <c r="M27" i="1"/>
  <c r="L27" i="1"/>
  <c r="I27" i="1"/>
  <c r="H27" i="1"/>
  <c r="E27" i="1"/>
  <c r="D27" i="1"/>
  <c r="AN26" i="1"/>
  <c r="AK26" i="1"/>
  <c r="AH26" i="1"/>
  <c r="AE26" i="1"/>
  <c r="AB26" i="1"/>
  <c r="Y26" i="1"/>
  <c r="V26" i="1"/>
  <c r="S26" i="1"/>
  <c r="P26" i="1"/>
  <c r="M26" i="1"/>
  <c r="L26" i="1"/>
  <c r="I26" i="1"/>
  <c r="H26" i="1"/>
  <c r="E26" i="1"/>
  <c r="D26" i="1"/>
  <c r="AN25" i="1"/>
  <c r="AK25" i="1"/>
  <c r="AH25" i="1"/>
  <c r="AE25" i="1"/>
  <c r="AB25" i="1"/>
  <c r="Y25" i="1"/>
  <c r="V25" i="1"/>
  <c r="S25" i="1"/>
  <c r="P25" i="1"/>
  <c r="M25" i="1"/>
  <c r="L25" i="1"/>
  <c r="I25" i="1"/>
  <c r="H25" i="1"/>
  <c r="E25" i="1"/>
  <c r="D25" i="1"/>
  <c r="AN24" i="1"/>
  <c r="AK24" i="1"/>
  <c r="AH24" i="1"/>
  <c r="AE24" i="1"/>
  <c r="AB24" i="1"/>
  <c r="Y24" i="1"/>
  <c r="V24" i="1"/>
  <c r="S24" i="1"/>
  <c r="P24" i="1"/>
  <c r="M24" i="1"/>
  <c r="L24" i="1"/>
  <c r="I24" i="1"/>
  <c r="H24" i="1"/>
  <c r="E24" i="1"/>
  <c r="D24" i="1"/>
  <c r="AN23" i="1"/>
  <c r="AK23" i="1"/>
  <c r="AH23" i="1"/>
  <c r="AE23" i="1"/>
  <c r="AB23" i="1"/>
  <c r="Y23" i="1"/>
  <c r="V23" i="1"/>
  <c r="S23" i="1"/>
  <c r="P23" i="1"/>
  <c r="M23" i="1"/>
  <c r="L23" i="1"/>
  <c r="I23" i="1"/>
  <c r="H23" i="1"/>
  <c r="E23" i="1"/>
  <c r="D23" i="1"/>
  <c r="AN22" i="1"/>
  <c r="AK22" i="1"/>
  <c r="AH22" i="1"/>
  <c r="AE22" i="1"/>
  <c r="AB22" i="1"/>
  <c r="Y22" i="1"/>
  <c r="V22" i="1"/>
  <c r="S22" i="1"/>
  <c r="P22" i="1"/>
  <c r="M22" i="1"/>
  <c r="L22" i="1"/>
  <c r="I22" i="1"/>
  <c r="H22" i="1"/>
  <c r="E22" i="1"/>
  <c r="D22" i="1"/>
  <c r="AN21" i="1"/>
  <c r="AK21" i="1"/>
  <c r="AH21" i="1"/>
  <c r="AE21" i="1"/>
  <c r="AB21" i="1"/>
  <c r="Y21" i="1"/>
  <c r="V21" i="1"/>
  <c r="S21" i="1"/>
  <c r="P21" i="1"/>
  <c r="M21" i="1"/>
  <c r="L21" i="1"/>
  <c r="I21" i="1"/>
  <c r="H21" i="1"/>
  <c r="E21" i="1"/>
  <c r="D21" i="1"/>
  <c r="AN20" i="1"/>
  <c r="AK20" i="1"/>
  <c r="AH20" i="1"/>
  <c r="AE20" i="1"/>
  <c r="AB20" i="1"/>
  <c r="Y20" i="1"/>
  <c r="V20" i="1"/>
  <c r="S20" i="1"/>
  <c r="P20" i="1"/>
  <c r="M20" i="1"/>
  <c r="L20" i="1"/>
  <c r="I20" i="1"/>
  <c r="H20" i="1"/>
  <c r="E20" i="1"/>
  <c r="D20" i="1"/>
  <c r="AN19" i="1"/>
  <c r="AK19" i="1"/>
  <c r="AH19" i="1"/>
  <c r="AE19" i="1"/>
  <c r="AB19" i="1"/>
  <c r="Y19" i="1"/>
  <c r="V19" i="1"/>
  <c r="S19" i="1"/>
  <c r="P19" i="1"/>
  <c r="M19" i="1"/>
  <c r="L19" i="1"/>
  <c r="I19" i="1"/>
  <c r="H19" i="1"/>
  <c r="E19" i="1"/>
  <c r="D19" i="1"/>
  <c r="AN18" i="1"/>
  <c r="AK18" i="1"/>
  <c r="AH18" i="1"/>
  <c r="AE18" i="1"/>
  <c r="AB18" i="1"/>
  <c r="Y18" i="1"/>
  <c r="V18" i="1"/>
  <c r="S18" i="1"/>
  <c r="P18" i="1"/>
  <c r="M18" i="1"/>
  <c r="L18" i="1"/>
  <c r="I18" i="1"/>
  <c r="H18" i="1"/>
  <c r="E18" i="1"/>
  <c r="D18" i="1"/>
  <c r="AN17" i="1"/>
  <c r="AK17" i="1"/>
  <c r="AH17" i="1"/>
  <c r="AE17" i="1"/>
  <c r="AB17" i="1"/>
  <c r="Y17" i="1"/>
  <c r="V17" i="1"/>
  <c r="S17" i="1"/>
  <c r="P17" i="1"/>
  <c r="M17" i="1"/>
  <c r="L17" i="1"/>
  <c r="I17" i="1"/>
  <c r="H17" i="1"/>
  <c r="E17" i="1"/>
  <c r="D17" i="1"/>
  <c r="AN16" i="1"/>
  <c r="AK16" i="1"/>
  <c r="AH16" i="1"/>
  <c r="AE16" i="1"/>
  <c r="AB16" i="1"/>
  <c r="Y16" i="1"/>
  <c r="V16" i="1"/>
  <c r="S16" i="1"/>
  <c r="P16" i="1"/>
  <c r="M16" i="1"/>
  <c r="L16" i="1"/>
  <c r="I16" i="1"/>
  <c r="H16" i="1"/>
  <c r="E16" i="1"/>
  <c r="D16" i="1"/>
  <c r="AN15" i="1"/>
  <c r="AK15" i="1"/>
  <c r="AH15" i="1"/>
  <c r="AE15" i="1"/>
  <c r="AB15" i="1"/>
  <c r="Y15" i="1"/>
  <c r="V15" i="1"/>
  <c r="S15" i="1"/>
  <c r="P15" i="1"/>
  <c r="M15" i="1"/>
  <c r="L15" i="1"/>
  <c r="I15" i="1"/>
  <c r="H15" i="1"/>
  <c r="E15" i="1"/>
  <c r="D15" i="1"/>
  <c r="AN14" i="1"/>
  <c r="AK14" i="1"/>
  <c r="AH14" i="1"/>
  <c r="AE14" i="1"/>
  <c r="AB14" i="1"/>
  <c r="Y14" i="1"/>
  <c r="V14" i="1"/>
  <c r="S14" i="1"/>
  <c r="P14" i="1"/>
  <c r="M14" i="1"/>
  <c r="L14" i="1"/>
  <c r="I14" i="1"/>
  <c r="H14" i="1"/>
  <c r="E14" i="1"/>
  <c r="D14" i="1"/>
  <c r="AR13" i="1"/>
  <c r="AN13" i="1"/>
  <c r="AK13" i="1"/>
  <c r="AH13" i="1"/>
  <c r="AE13" i="1"/>
  <c r="AB13" i="1"/>
  <c r="Y13" i="1"/>
  <c r="V13" i="1"/>
  <c r="S13" i="1"/>
  <c r="P13" i="1"/>
  <c r="M13" i="1"/>
  <c r="L13" i="1"/>
  <c r="I13" i="1"/>
  <c r="H13" i="1"/>
  <c r="E13" i="1"/>
  <c r="D13" i="1"/>
  <c r="AN12" i="1"/>
  <c r="AK12" i="1"/>
  <c r="AH12" i="1"/>
  <c r="AE12" i="1"/>
  <c r="AB12" i="1"/>
  <c r="Y12" i="1"/>
  <c r="V12" i="1"/>
  <c r="S12" i="1"/>
  <c r="P12" i="1"/>
  <c r="M12" i="1"/>
  <c r="L12" i="1"/>
  <c r="I12" i="1"/>
  <c r="H12" i="1"/>
  <c r="E12" i="1"/>
  <c r="D12" i="1"/>
  <c r="AR11" i="1"/>
  <c r="AN11" i="1"/>
  <c r="AK11" i="1"/>
  <c r="AH11" i="1"/>
  <c r="AE11" i="1"/>
  <c r="AB11" i="1"/>
  <c r="Y11" i="1"/>
  <c r="V11" i="1"/>
  <c r="S11" i="1"/>
  <c r="P11" i="1"/>
  <c r="M11" i="1"/>
  <c r="L11" i="1"/>
  <c r="I11" i="1"/>
  <c r="H11" i="1"/>
  <c r="E11" i="1"/>
  <c r="D11" i="1"/>
  <c r="AN10" i="1"/>
  <c r="AK10" i="1"/>
  <c r="AK35" i="1" s="1"/>
  <c r="AH10" i="1"/>
  <c r="AE10" i="1"/>
  <c r="AB10" i="1"/>
  <c r="Y10" i="1"/>
  <c r="V10" i="1"/>
  <c r="S10" i="1"/>
  <c r="P10" i="1"/>
  <c r="M10" i="1"/>
  <c r="L10" i="1"/>
  <c r="I10" i="1"/>
  <c r="H10" i="1"/>
  <c r="E10" i="1"/>
  <c r="D10" i="1"/>
  <c r="AN9" i="1"/>
  <c r="AK9" i="1"/>
  <c r="AH9" i="1"/>
  <c r="AE9" i="1"/>
  <c r="AB9" i="1"/>
  <c r="Y9" i="1"/>
  <c r="V9" i="1"/>
  <c r="S9" i="1"/>
  <c r="P9" i="1"/>
  <c r="M9" i="1"/>
  <c r="L9" i="1"/>
  <c r="I9" i="1"/>
  <c r="H9" i="1"/>
  <c r="E9" i="1"/>
  <c r="D9" i="1"/>
  <c r="AR8" i="1"/>
  <c r="AN8" i="1"/>
  <c r="AK8" i="1"/>
  <c r="AH8" i="1"/>
  <c r="AE8" i="1"/>
  <c r="AB8" i="1"/>
  <c r="Y8" i="1"/>
  <c r="V8" i="1"/>
  <c r="S8" i="1"/>
  <c r="P8" i="1"/>
  <c r="M8" i="1"/>
  <c r="L8" i="1"/>
  <c r="I8" i="1"/>
  <c r="H8" i="1"/>
  <c r="E8" i="1"/>
  <c r="D8" i="1"/>
  <c r="AN7" i="1"/>
  <c r="AK7" i="1"/>
  <c r="AH7" i="1"/>
  <c r="AE7" i="1"/>
  <c r="AB7" i="1"/>
  <c r="Y7" i="1"/>
  <c r="V7" i="1"/>
  <c r="S7" i="1"/>
  <c r="P7" i="1"/>
  <c r="M7" i="1"/>
  <c r="L7" i="1"/>
  <c r="I7" i="1"/>
  <c r="H7" i="1"/>
  <c r="E7" i="1"/>
  <c r="D7" i="1"/>
  <c r="AN6" i="1"/>
  <c r="AK6" i="1"/>
  <c r="AH6" i="1"/>
  <c r="AE6" i="1"/>
  <c r="AB6" i="1"/>
  <c r="Y6" i="1"/>
  <c r="V6" i="1"/>
  <c r="S6" i="1"/>
  <c r="P6" i="1"/>
  <c r="M6" i="1"/>
  <c r="L6" i="1"/>
  <c r="I6" i="1"/>
  <c r="H6" i="1"/>
  <c r="E6" i="1"/>
  <c r="D6" i="1"/>
  <c r="AR5" i="1"/>
  <c r="AR9" i="1" s="1"/>
  <c r="AN5" i="1"/>
  <c r="AK5" i="1"/>
  <c r="AH5" i="1"/>
  <c r="AE5" i="1"/>
  <c r="AB5" i="1"/>
  <c r="Y5" i="1"/>
  <c r="V5" i="1"/>
  <c r="S5" i="1"/>
  <c r="P5" i="1"/>
  <c r="M5" i="1"/>
  <c r="L5" i="1"/>
  <c r="I5" i="1"/>
  <c r="H5" i="1"/>
  <c r="H35" i="1" s="1"/>
  <c r="E5" i="1"/>
  <c r="D5" i="1"/>
  <c r="AN4" i="1"/>
  <c r="AK4" i="1"/>
  <c r="AH4" i="1"/>
  <c r="AE4" i="1"/>
  <c r="AE35" i="1" s="1"/>
  <c r="AB4" i="1"/>
  <c r="AB35" i="1" s="1"/>
  <c r="Y4" i="1"/>
  <c r="V4" i="1"/>
  <c r="S4" i="1"/>
  <c r="P4" i="1"/>
  <c r="M4" i="1"/>
  <c r="L4" i="1"/>
  <c r="L35" i="1" s="1"/>
  <c r="I4" i="1"/>
  <c r="H4" i="1"/>
  <c r="E4" i="1"/>
  <c r="D4" i="1"/>
  <c r="D35" i="1" s="1"/>
  <c r="M3" i="1"/>
  <c r="I3" i="1"/>
  <c r="AM2" i="1"/>
  <c r="AN3" i="1" s="1"/>
  <c r="AN35" i="1" s="1"/>
  <c r="AL2" i="1"/>
  <c r="AL31" i="1" s="1"/>
  <c r="AJ2" i="1"/>
  <c r="AK3" i="1" s="1"/>
  <c r="AI2" i="1"/>
  <c r="AI10" i="1" s="1"/>
  <c r="AG2" i="1"/>
  <c r="AH3" i="1" s="1"/>
  <c r="AH35" i="1" s="1"/>
  <c r="AF2" i="1"/>
  <c r="AF17" i="1" s="1"/>
  <c r="AD2" i="1"/>
  <c r="AE3" i="1" s="1"/>
  <c r="AC2" i="1"/>
  <c r="AC4" i="1" s="1"/>
  <c r="AC6" i="1" s="1"/>
  <c r="AC8" i="1" s="1"/>
  <c r="AC10" i="1" s="1"/>
  <c r="AC12" i="1" s="1"/>
  <c r="AC14" i="1" s="1"/>
  <c r="AC16" i="1" s="1"/>
  <c r="AC18" i="1" s="1"/>
  <c r="AC20" i="1" s="1"/>
  <c r="AC22" i="1" s="1"/>
  <c r="AC24" i="1" s="1"/>
  <c r="AC26" i="1" s="1"/>
  <c r="AC28" i="1" s="1"/>
  <c r="AC30" i="1" s="1"/>
  <c r="AC32" i="1" s="1"/>
  <c r="AA2" i="1"/>
  <c r="AB3" i="1" s="1"/>
  <c r="Z2" i="1"/>
  <c r="Z18" i="1" s="1"/>
  <c r="X2" i="1"/>
  <c r="Y3" i="1" s="1"/>
  <c r="Y35" i="1" s="1"/>
  <c r="W2" i="1"/>
  <c r="W12" i="1" s="1"/>
  <c r="U2" i="1"/>
  <c r="V3" i="1" s="1"/>
  <c r="T2" i="1"/>
  <c r="T31" i="1" s="1"/>
  <c r="R2" i="1"/>
  <c r="S3" i="1" s="1"/>
  <c r="Q2" i="1"/>
  <c r="Q10" i="1" s="1"/>
  <c r="O2" i="1"/>
  <c r="P3" i="1" s="1"/>
  <c r="P35" i="1" s="1"/>
  <c r="N2" i="1"/>
  <c r="N17" i="1" s="1"/>
  <c r="K2" i="1"/>
  <c r="L3" i="1" s="1"/>
  <c r="J2" i="1"/>
  <c r="J3" i="1" s="1"/>
  <c r="G2" i="1"/>
  <c r="H3" i="1" s="1"/>
  <c r="F2" i="1"/>
  <c r="F12" i="1" s="1"/>
  <c r="B2" i="1"/>
  <c r="B16" i="1" s="1"/>
  <c r="S36" i="1" l="1"/>
  <c r="AK36" i="1"/>
  <c r="AJ36" i="1" s="1" a="1"/>
  <c r="AJ36" i="1" s="1"/>
  <c r="V37" i="1"/>
  <c r="U37" i="1" s="1"/>
  <c r="AN37" i="1"/>
  <c r="AM37" i="1" s="1"/>
  <c r="H36" i="1"/>
  <c r="V35" i="1"/>
  <c r="AB36" i="1"/>
  <c r="AA36" i="1" s="1" a="1"/>
  <c r="AA36" i="1" s="1"/>
  <c r="L36" i="1"/>
  <c r="S35" i="1"/>
  <c r="G49" i="1" s="1"/>
  <c r="G48" i="1"/>
  <c r="G54" i="1"/>
  <c r="AN36" i="1"/>
  <c r="AM36" i="1" s="1" a="1"/>
  <c r="AM36" i="1" s="1"/>
  <c r="P36" i="1"/>
  <c r="AB37" i="1"/>
  <c r="AA37" i="1" s="1"/>
  <c r="S37" i="1"/>
  <c r="Y37" i="1"/>
  <c r="X37" i="1" s="1"/>
  <c r="Y36" i="1"/>
  <c r="X36" i="1" s="1" a="1"/>
  <c r="X36" i="1" s="1"/>
  <c r="D37" i="1"/>
  <c r="AH36" i="1"/>
  <c r="AG36" i="1" s="1" a="1"/>
  <c r="AG36" i="1" s="1"/>
  <c r="V36" i="1"/>
  <c r="U36" i="1" s="1" a="1"/>
  <c r="U36" i="1" s="1"/>
  <c r="L37" i="1"/>
  <c r="AE37" i="1"/>
  <c r="AD37" i="1" s="1"/>
  <c r="AK37" i="1"/>
  <c r="AJ37" i="1" s="1"/>
  <c r="H37" i="1"/>
  <c r="AE36" i="1"/>
  <c r="AD36" i="1" s="1" a="1"/>
  <c r="AD36" i="1" s="1"/>
  <c r="D36" i="1"/>
  <c r="AH37" i="1"/>
  <c r="AG37" i="1" s="1"/>
  <c r="P37" i="1"/>
  <c r="B55" i="1"/>
  <c r="B56" i="1"/>
  <c r="D50" i="1"/>
  <c r="AA39" i="1" a="1"/>
  <c r="AA39" i="1" s="1"/>
  <c r="C52" i="1" s="1"/>
  <c r="B45" i="1"/>
  <c r="X39" i="1" a="1"/>
  <c r="X39" i="1" s="1"/>
  <c r="C51" i="1" s="1"/>
  <c r="D51" i="1"/>
  <c r="B53" i="1"/>
  <c r="AM40" i="1"/>
  <c r="AJ40" i="1"/>
  <c r="D54" i="1"/>
  <c r="J49" i="1"/>
  <c r="AI4" i="1"/>
  <c r="B24" i="1"/>
  <c r="Z3" i="1"/>
  <c r="B7" i="1"/>
  <c r="F23" i="1"/>
  <c r="F27" i="1"/>
  <c r="AF21" i="1"/>
  <c r="W19" i="1"/>
  <c r="Z9" i="1"/>
  <c r="Z12" i="1"/>
  <c r="B3" i="1"/>
  <c r="N11" i="1"/>
  <c r="B20" i="1"/>
  <c r="N8" i="1"/>
  <c r="T10" i="1"/>
  <c r="N29" i="1"/>
  <c r="W31" i="1"/>
  <c r="F19" i="1"/>
  <c r="AI5" i="1"/>
  <c r="N21" i="1"/>
  <c r="W23" i="1"/>
  <c r="AF25" i="1"/>
  <c r="B28" i="1"/>
  <c r="C39" i="1" s="1" a="1"/>
  <c r="C39" i="1" s="1"/>
  <c r="C45" i="1" s="1"/>
  <c r="AF8" i="1"/>
  <c r="AL10" i="1"/>
  <c r="F31" i="1"/>
  <c r="AI17" i="1"/>
  <c r="AF11" i="1"/>
  <c r="W7" i="1"/>
  <c r="N25" i="1"/>
  <c r="W27" i="1"/>
  <c r="AF29" i="1"/>
  <c r="B32" i="1"/>
  <c r="C55" i="1"/>
  <c r="G51" i="1"/>
  <c r="G52" i="1"/>
  <c r="G53" i="1"/>
  <c r="G55" i="1"/>
  <c r="J5" i="1"/>
  <c r="J29" i="1"/>
  <c r="J25" i="1"/>
  <c r="J21" i="1"/>
  <c r="J11" i="1"/>
  <c r="J8" i="1"/>
  <c r="J14" i="1"/>
  <c r="J17" i="1"/>
  <c r="J4" i="1"/>
  <c r="J26" i="1"/>
  <c r="J28" i="1"/>
  <c r="J24" i="1"/>
  <c r="J20" i="1"/>
  <c r="J7" i="1"/>
  <c r="J33" i="1"/>
  <c r="J10" i="1"/>
  <c r="J22" i="1"/>
  <c r="J32" i="1"/>
  <c r="J16" i="1"/>
  <c r="J13" i="1"/>
  <c r="J15" i="1"/>
  <c r="J31" i="1"/>
  <c r="L2" i="1" s="1"/>
  <c r="J27" i="1"/>
  <c r="J23" i="1"/>
  <c r="J19" i="1"/>
  <c r="J6" i="1"/>
  <c r="J30" i="1"/>
  <c r="J12" i="1"/>
  <c r="J9" i="1"/>
  <c r="K36" i="1" s="1" a="1"/>
  <c r="K36" i="1" s="1"/>
  <c r="J18" i="1"/>
  <c r="G47" i="1"/>
  <c r="Q17" i="1"/>
  <c r="T3" i="1"/>
  <c r="AL3" i="1"/>
  <c r="AN2" i="1" s="1"/>
  <c r="F6" i="1"/>
  <c r="W6" i="1"/>
  <c r="AR6" i="1"/>
  <c r="Q7" i="1"/>
  <c r="AI7" i="1"/>
  <c r="B10" i="1"/>
  <c r="T13" i="1"/>
  <c r="AL13" i="1"/>
  <c r="N14" i="1"/>
  <c r="AF14" i="1"/>
  <c r="Z15" i="1"/>
  <c r="T16" i="1"/>
  <c r="AL16" i="1"/>
  <c r="Q20" i="1"/>
  <c r="AI20" i="1"/>
  <c r="Z22" i="1"/>
  <c r="Q24" i="1"/>
  <c r="AI24" i="1"/>
  <c r="Z26" i="1"/>
  <c r="Q28" i="1"/>
  <c r="AI28" i="1"/>
  <c r="Z30" i="1"/>
  <c r="T32" i="1"/>
  <c r="AL32" i="1"/>
  <c r="W33" i="1"/>
  <c r="G50" i="1"/>
  <c r="B46" i="1"/>
  <c r="D53" i="1"/>
  <c r="F3" i="1"/>
  <c r="W3" i="1"/>
  <c r="B4" i="1"/>
  <c r="N5" i="1"/>
  <c r="AF5" i="1"/>
  <c r="Z6" i="1"/>
  <c r="T7" i="1"/>
  <c r="AL7" i="1"/>
  <c r="F13" i="1"/>
  <c r="W13" i="1"/>
  <c r="Q14" i="1"/>
  <c r="AI14" i="1"/>
  <c r="F16" i="1"/>
  <c r="W16" i="1"/>
  <c r="B17" i="1"/>
  <c r="T20" i="1"/>
  <c r="AL20" i="1"/>
  <c r="T24" i="1"/>
  <c r="AL24" i="1"/>
  <c r="T28" i="1"/>
  <c r="AL28" i="1"/>
  <c r="W32" i="1"/>
  <c r="B33" i="1"/>
  <c r="Z33" i="1"/>
  <c r="T4" i="1"/>
  <c r="AL4" i="1"/>
  <c r="Q8" i="1"/>
  <c r="AI8" i="1"/>
  <c r="F10" i="1"/>
  <c r="G37" i="1" s="1"/>
  <c r="W10" i="1"/>
  <c r="AR10" i="1"/>
  <c r="Q11" i="1"/>
  <c r="AI11" i="1"/>
  <c r="B14" i="1"/>
  <c r="T17" i="1"/>
  <c r="AL17" i="1"/>
  <c r="N18" i="1"/>
  <c r="AF18" i="1"/>
  <c r="Z19" i="1"/>
  <c r="Q21" i="1"/>
  <c r="AI21" i="1"/>
  <c r="Z23" i="1"/>
  <c r="Q25" i="1"/>
  <c r="AI25" i="1"/>
  <c r="Z27" i="1"/>
  <c r="Q29" i="1"/>
  <c r="AI29" i="1"/>
  <c r="Z31" i="1"/>
  <c r="F55" i="1"/>
  <c r="B49" i="1"/>
  <c r="B54" i="1"/>
  <c r="Q5" i="1"/>
  <c r="F7" i="1"/>
  <c r="B8" i="1"/>
  <c r="B11" i="1"/>
  <c r="Z13" i="1"/>
  <c r="T14" i="1"/>
  <c r="AL14" i="1"/>
  <c r="N15" i="1"/>
  <c r="AF15" i="1"/>
  <c r="Z16" i="1"/>
  <c r="F20" i="1"/>
  <c r="W20" i="1"/>
  <c r="B21" i="1"/>
  <c r="N22" i="1"/>
  <c r="AF22" i="1"/>
  <c r="F24" i="1"/>
  <c r="W24" i="1"/>
  <c r="B25" i="1"/>
  <c r="N26" i="1"/>
  <c r="AF26" i="1"/>
  <c r="F28" i="1"/>
  <c r="W28" i="1"/>
  <c r="B29" i="1"/>
  <c r="N30" i="1"/>
  <c r="AF30" i="1"/>
  <c r="F32" i="1"/>
  <c r="Z32" i="1"/>
  <c r="AF33" i="1"/>
  <c r="D52" i="1"/>
  <c r="F4" i="1"/>
  <c r="G36" i="1" s="1" a="1"/>
  <c r="G36" i="1" s="1"/>
  <c r="W4" i="1"/>
  <c r="B5" i="1"/>
  <c r="T8" i="1"/>
  <c r="AL8" i="1"/>
  <c r="N9" i="1"/>
  <c r="AF9" i="1"/>
  <c r="Z10" i="1"/>
  <c r="T11" i="1"/>
  <c r="AL11" i="1"/>
  <c r="N12" i="1"/>
  <c r="AF12" i="1"/>
  <c r="F17" i="1"/>
  <c r="W17" i="1"/>
  <c r="AR17" i="1"/>
  <c r="Q18" i="1"/>
  <c r="AI18" i="1"/>
  <c r="T21" i="1"/>
  <c r="AL21" i="1"/>
  <c r="T25" i="1"/>
  <c r="AL25" i="1"/>
  <c r="T29" i="1"/>
  <c r="AL29" i="1"/>
  <c r="F33" i="1"/>
  <c r="F50" i="1"/>
  <c r="F56" i="1"/>
  <c r="Q4" i="1"/>
  <c r="AC3" i="1"/>
  <c r="AC5" i="1" s="1"/>
  <c r="AC7" i="1" s="1"/>
  <c r="AC9" i="1" s="1"/>
  <c r="AC11" i="1" s="1"/>
  <c r="AC13" i="1" s="1"/>
  <c r="AC15" i="1" s="1"/>
  <c r="AC17" i="1" s="1"/>
  <c r="AC19" i="1" s="1"/>
  <c r="AC21" i="1" s="1"/>
  <c r="AC23" i="1" s="1"/>
  <c r="AC25" i="1" s="1"/>
  <c r="AC27" i="1" s="1"/>
  <c r="AC29" i="1" s="1"/>
  <c r="AC31" i="1" s="1"/>
  <c r="T5" i="1"/>
  <c r="AL5" i="1"/>
  <c r="N6" i="1"/>
  <c r="AF6" i="1"/>
  <c r="Z7" i="1"/>
  <c r="F14" i="1"/>
  <c r="W14" i="1"/>
  <c r="AR14" i="1"/>
  <c r="Q15" i="1"/>
  <c r="R36" i="1" s="1" a="1"/>
  <c r="R36" i="1" s="1"/>
  <c r="AI15" i="1"/>
  <c r="B18" i="1"/>
  <c r="Z20" i="1"/>
  <c r="Q22" i="1"/>
  <c r="AI22" i="1"/>
  <c r="Z24" i="1"/>
  <c r="Q26" i="1"/>
  <c r="AI26" i="1"/>
  <c r="Z28" i="1"/>
  <c r="Q30" i="1"/>
  <c r="AI30" i="1"/>
  <c r="G56" i="1"/>
  <c r="Z4" i="1"/>
  <c r="F8" i="1"/>
  <c r="W8" i="1"/>
  <c r="Q9" i="1"/>
  <c r="AI9" i="1"/>
  <c r="F11" i="1"/>
  <c r="W11" i="1"/>
  <c r="Q12" i="1"/>
  <c r="AI12" i="1"/>
  <c r="B15" i="1"/>
  <c r="Z17" i="1"/>
  <c r="T18" i="1"/>
  <c r="AL18" i="1"/>
  <c r="N19" i="1"/>
  <c r="AF19" i="1"/>
  <c r="F21" i="1"/>
  <c r="W21" i="1"/>
  <c r="B22" i="1"/>
  <c r="N23" i="1"/>
  <c r="AF23" i="1"/>
  <c r="F25" i="1"/>
  <c r="W25" i="1"/>
  <c r="B26" i="1"/>
  <c r="N27" i="1"/>
  <c r="AF27" i="1"/>
  <c r="F29" i="1"/>
  <c r="W29" i="1"/>
  <c r="B30" i="1"/>
  <c r="N31" i="1"/>
  <c r="AF31" i="1"/>
  <c r="G45" i="1"/>
  <c r="C53" i="1"/>
  <c r="F51" i="1"/>
  <c r="N3" i="1"/>
  <c r="AF3" i="1"/>
  <c r="F5" i="1"/>
  <c r="W5" i="1"/>
  <c r="Q6" i="1"/>
  <c r="AI6" i="1"/>
  <c r="B9" i="1"/>
  <c r="B12" i="1"/>
  <c r="N13" i="1"/>
  <c r="AF13" i="1"/>
  <c r="Z14" i="1"/>
  <c r="T15" i="1"/>
  <c r="AL15" i="1"/>
  <c r="N16" i="1"/>
  <c r="AF16" i="1"/>
  <c r="T22" i="1"/>
  <c r="AL22" i="1"/>
  <c r="T26" i="1"/>
  <c r="AL26" i="1"/>
  <c r="T30" i="1"/>
  <c r="AL30" i="1"/>
  <c r="N32" i="1"/>
  <c r="AF32" i="1"/>
  <c r="G46" i="1"/>
  <c r="B50" i="1"/>
  <c r="B6" i="1"/>
  <c r="Z8" i="1"/>
  <c r="T9" i="1"/>
  <c r="AL9" i="1"/>
  <c r="N10" i="1"/>
  <c r="AF10" i="1"/>
  <c r="Z11" i="1"/>
  <c r="T12" i="1"/>
  <c r="AL12" i="1"/>
  <c r="F18" i="1"/>
  <c r="W18" i="1"/>
  <c r="AR18" i="1"/>
  <c r="Q19" i="1"/>
  <c r="AI19" i="1"/>
  <c r="Z21" i="1"/>
  <c r="Q23" i="1"/>
  <c r="AI23" i="1"/>
  <c r="Z25" i="1"/>
  <c r="Q27" i="1"/>
  <c r="AI27" i="1"/>
  <c r="Z29" i="1"/>
  <c r="Q31" i="1"/>
  <c r="AI31" i="1"/>
  <c r="Q33" i="1"/>
  <c r="D47" i="1"/>
  <c r="Q3" i="1"/>
  <c r="R37" i="1" s="1"/>
  <c r="AI3" i="1"/>
  <c r="Z5" i="1"/>
  <c r="T6" i="1"/>
  <c r="AL6" i="1"/>
  <c r="N7" i="1"/>
  <c r="AF7" i="1"/>
  <c r="Q13" i="1"/>
  <c r="AI13" i="1"/>
  <c r="F15" i="1"/>
  <c r="W15" i="1"/>
  <c r="AR15" i="1"/>
  <c r="Q16" i="1"/>
  <c r="AI16" i="1"/>
  <c r="B19" i="1"/>
  <c r="N20" i="1"/>
  <c r="AF20" i="1"/>
  <c r="F22" i="1"/>
  <c r="W22" i="1"/>
  <c r="B23" i="1"/>
  <c r="N24" i="1"/>
  <c r="AF24" i="1"/>
  <c r="F26" i="1"/>
  <c r="W26" i="1"/>
  <c r="B27" i="1"/>
  <c r="N28" i="1"/>
  <c r="AF28" i="1"/>
  <c r="F30" i="1"/>
  <c r="W30" i="1"/>
  <c r="B31" i="1"/>
  <c r="Q32" i="1"/>
  <c r="AI32" i="1"/>
  <c r="N4" i="1"/>
  <c r="AF4" i="1"/>
  <c r="F9" i="1"/>
  <c r="W9" i="1"/>
  <c r="B13" i="1"/>
  <c r="T19" i="1"/>
  <c r="AL19" i="1"/>
  <c r="T23" i="1"/>
  <c r="AL23" i="1"/>
  <c r="T27" i="1"/>
  <c r="AL27" i="1"/>
  <c r="J56" i="1" a="1"/>
  <c r="K37" i="1" l="1"/>
  <c r="C36" i="1" a="1"/>
  <c r="C36" i="1" s="1"/>
  <c r="O36" i="1" a="1"/>
  <c r="O36" i="1" s="1"/>
  <c r="C37" i="1"/>
  <c r="O37" i="1"/>
  <c r="V2" i="1"/>
  <c r="O39" i="1" a="1"/>
  <c r="O39" i="1" s="1"/>
  <c r="C48" i="1" s="1"/>
  <c r="R39" i="1" a="1"/>
  <c r="R39" i="1" s="1"/>
  <c r="C49" i="1" s="1"/>
  <c r="G39" i="1" a="1"/>
  <c r="G39" i="1" s="1"/>
  <c r="C46" i="1" s="1"/>
  <c r="K39" i="1" a="1"/>
  <c r="K39" i="1" s="1"/>
  <c r="C47" i="1" s="1"/>
  <c r="C40" i="1"/>
  <c r="F45" i="1" s="1"/>
  <c r="G40" i="1"/>
  <c r="F46" i="1" s="1"/>
  <c r="AB2" i="1"/>
  <c r="K40" i="1"/>
  <c r="F47" i="1" s="1"/>
  <c r="O40" i="1"/>
  <c r="F48" i="1" s="1"/>
  <c r="R40" i="1"/>
  <c r="F49" i="1" s="1"/>
  <c r="H2" i="1"/>
  <c r="D2" i="1"/>
  <c r="AK2" i="1"/>
  <c r="P2" i="1"/>
  <c r="AH2" i="1"/>
  <c r="J56" i="1"/>
  <c r="J55" i="1"/>
  <c r="B57" i="1"/>
  <c r="AE2" i="1"/>
  <c r="Y2" i="1"/>
  <c r="D57" i="1" a="1"/>
  <c r="D57" i="1" s="1"/>
  <c r="G57" i="1"/>
  <c r="D60" i="1" l="1"/>
  <c r="F57" i="1"/>
  <c r="B60" i="1"/>
  <c r="C57" i="1"/>
  <c r="K51" i="1"/>
  <c r="K50" i="1"/>
  <c r="U1" i="1" l="1"/>
  <c r="R1" i="1"/>
  <c r="S1" i="1" s="1"/>
  <c r="N1" i="1"/>
  <c r="O1" i="1" s="1"/>
  <c r="X1" i="1"/>
  <c r="Y1" i="1" s="1"/>
  <c r="K49" i="1"/>
  <c r="J52" i="1" s="1"/>
  <c r="S2" i="1" s="1"/>
  <c r="V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<sst xmlns="http://schemas.openxmlformats.org/spreadsheetml/2006/main" count="87" uniqueCount="32">
  <si>
    <t>résultat</t>
  </si>
  <si>
    <t>Date</t>
  </si>
  <si>
    <t>Bourse</t>
  </si>
  <si>
    <t>Fermée</t>
  </si>
  <si>
    <t>1er janvier</t>
  </si>
  <si>
    <t>oui</t>
  </si>
  <si>
    <t>Pâques</t>
  </si>
  <si>
    <t>Lundi de Pâques</t>
  </si>
  <si>
    <t>1er mai</t>
  </si>
  <si>
    <t>8 mai</t>
  </si>
  <si>
    <t>non</t>
  </si>
  <si>
    <t>Ascension</t>
  </si>
  <si>
    <t>Lundi de Pentecote</t>
  </si>
  <si>
    <t>14 juillet</t>
  </si>
  <si>
    <t>15 Aout</t>
  </si>
  <si>
    <t>1er novembre</t>
  </si>
  <si>
    <t>11 novembre</t>
  </si>
  <si>
    <t>Noël</t>
  </si>
  <si>
    <t>Gain mensuel</t>
  </si>
  <si>
    <t>Gain max</t>
  </si>
  <si>
    <t>maximum</t>
  </si>
  <si>
    <t>Gain min</t>
  </si>
  <si>
    <t>minmum</t>
  </si>
  <si>
    <t>Sicav max</t>
  </si>
  <si>
    <t>Sicav min</t>
  </si>
  <si>
    <t>Max</t>
  </si>
  <si>
    <t>Min</t>
  </si>
  <si>
    <t>Résultat</t>
  </si>
  <si>
    <t>Achat</t>
  </si>
  <si>
    <t>Cout actuel</t>
  </si>
  <si>
    <t>Ecarts</t>
  </si>
  <si>
    <t>69 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</si>
</sst>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F_-;\-* #,##0.00\ _F_-;_-* &quot;-&quot;??\ _F_-;_-@_-"/>
    <numFmt numFmtId="165" formatCode="_-* #,##0\ _F_-;\-* #,##0\ _F_-;_-* &quot;-&quot;??\ _F_-;_-@_-"/>
    <numFmt numFmtId="166" formatCode="_-* #,##0.000\ _F_-;\-* #,##0.000\ _F_-;_-* &quot;-&quot;??\ _F_-;_-@_-"/>
    <numFmt numFmtId="167" formatCode="yyyy"/>
    <numFmt numFmtId="168" formatCode="mmmm"/>
    <numFmt numFmtId="169" formatCode="_-* #,##0.000\ [$€-40C]_-;\-* #,##0.000\ [$€-40C]_-;_-* &quot;-&quot;??\ [$€-40C]_-;_-@_-"/>
    <numFmt numFmtId="170" formatCode="_-* #,##0.000_-;\-* #,##0.000_-;_-* &quot;-&quot;??_-;_-@_-"/>
    <numFmt numFmtId="171" formatCode="dddd\ dd"/>
    <numFmt numFmtId="172" formatCode="0.000"/>
    <numFmt numFmtId="173" formatCode="_-* #,##0.000\ &quot;€&quot;_-;\-* #,##0.000\ &quot;€&quot;_-;_-* &quot;-&quot;??\ &quot;€&quot;_-;_-@_-"/>
    <numFmt numFmtId="174" formatCode="dddd\ dd/mm/yyyy"/>
    <numFmt numFmtId="175" formatCode="#,##0.00\ &quot;€&quot;"/>
    <numFmt numFmtId="176" formatCode="_-* #,##0.000\ _€_-;\-* #,##0.000\ _€_-;_-* &quot;-&quot;???\ _€_-;_-@_-"/>
    <numFmt numFmtId="177" formatCode="_-* #,##0.00\ [$€-40C]_-;\-* #,##0.00\ [$€-40C]_-;_-* &quot;-&quot;??\ [$€-40C]_-;_-@_-"/>
    <numFmt numFmtId="178" formatCode="0.0000"/>
  </numFmts>
  <fonts count="34" x14ac:knownFonts="1"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00206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rgb="FFC00000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b/>
      <sz val="10"/>
      <color theme="9" tint="-0.499984740745262"/>
      <name val="Arial"/>
      <family val="2"/>
    </font>
    <font>
      <b/>
      <sz val="10"/>
      <color rgb="FFFFFF00"/>
      <name val="Arial"/>
      <family val="2"/>
    </font>
    <font>
      <b/>
      <sz val="8"/>
      <name val="Arial"/>
      <family val="2"/>
    </font>
    <font>
      <b/>
      <sz val="9"/>
      <color theme="4"/>
      <name val="Arial"/>
      <family val="2"/>
    </font>
    <font>
      <sz val="10"/>
      <color theme="4"/>
      <name val="Arial"/>
      <family val="2"/>
    </font>
    <font>
      <sz val="11"/>
      <color theme="4"/>
      <name val="Arial"/>
      <family val="2"/>
    </font>
    <font>
      <sz val="9"/>
      <color theme="4"/>
      <name val="Arial"/>
      <family val="2"/>
    </font>
    <font>
      <b/>
      <sz val="9"/>
      <color theme="9" tint="-0.249977111117893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11"/>
      <color theme="1"/>
      <name val="Tw Cen MT Condensed Extra Bold"/>
      <family val="2"/>
    </font>
    <font>
      <sz val="11"/>
      <color theme="5" tint="-0.499984740745262"/>
      <name val="Tw Cen MT Condensed Extra Bold"/>
      <family val="2"/>
    </font>
    <font>
      <sz val="10"/>
      <color rgb="FF002060"/>
      <name val="Tw Cen MT Condensed Extra Bold"/>
      <family val="2"/>
    </font>
    <font>
      <sz val="10"/>
      <name val="Tw Cen MT Condensed Extra Bold"/>
      <family val="2"/>
    </font>
    <font>
      <sz val="10"/>
      <color theme="5" tint="-0.499984740745262"/>
      <name val="Tw Cen MT Condensed Extra Bold"/>
      <family val="2"/>
    </font>
    <font>
      <sz val="10"/>
      <color theme="9" tint="-0.249977111117893"/>
      <name val="Tw Cen MT Condensed Extra Bold"/>
      <family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b/>
      <sz val="10"/>
      <color theme="1"/>
      <name val="Arial"/>
      <family val="2"/>
    </font>
    <font>
      <sz val="8"/>
      <color rgb="FF30303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7">
    <xf numFmtId="0" fontId="0" fillId="0" borderId="0" xfId="0"/>
    <xf numFmtId="0" fontId="1" fillId="0" borderId="1" xfId="3" applyBorder="1"/>
    <xf numFmtId="0" fontId="1" fillId="0" borderId="2" xfId="3" applyBorder="1" applyAlignment="1">
      <alignment horizontal="center"/>
    </xf>
    <xf numFmtId="165" fontId="0" fillId="0" borderId="2" xfId="4" applyNumberFormat="1" applyFont="1" applyFill="1" applyBorder="1" applyAlignment="1">
      <alignment horizontal="center"/>
    </xf>
    <xf numFmtId="165" fontId="0" fillId="0" borderId="2" xfId="4" applyNumberFormat="1" applyFont="1" applyFill="1" applyBorder="1" applyAlignment="1">
      <alignment horizontal="right" indent="1"/>
    </xf>
    <xf numFmtId="0" fontId="1" fillId="0" borderId="2" xfId="3" applyBorder="1"/>
    <xf numFmtId="0" fontId="1" fillId="0" borderId="2" xfId="3" applyBorder="1" applyAlignment="1">
      <alignment horizontal="right" indent="1"/>
    </xf>
    <xf numFmtId="43" fontId="1" fillId="0" borderId="2" xfId="1" applyFont="1" applyBorder="1" applyAlignment="1">
      <alignment horizontal="center"/>
    </xf>
    <xf numFmtId="165" fontId="0" fillId="0" borderId="2" xfId="4" applyNumberFormat="1" applyFont="1" applyFill="1" applyBorder="1"/>
    <xf numFmtId="165" fontId="0" fillId="0" borderId="2" xfId="4" applyNumberFormat="1" applyFont="1" applyFill="1" applyBorder="1" applyAlignment="1">
      <alignment horizontal="left" indent="1"/>
    </xf>
    <xf numFmtId="166" fontId="1" fillId="2" borderId="2" xfId="3" applyNumberFormat="1" applyFill="1" applyBorder="1"/>
    <xf numFmtId="14" fontId="1" fillId="2" borderId="2" xfId="3" applyNumberFormat="1" applyFill="1" applyBorder="1"/>
    <xf numFmtId="0" fontId="1" fillId="0" borderId="3" xfId="3" applyBorder="1"/>
    <xf numFmtId="0" fontId="1" fillId="0" borderId="0" xfId="3"/>
    <xf numFmtId="167" fontId="3" fillId="0" borderId="4" xfId="3" applyNumberFormat="1" applyFont="1" applyBorder="1" applyAlignment="1">
      <alignment horizontal="center"/>
    </xf>
    <xf numFmtId="168" fontId="4" fillId="0" borderId="5" xfId="3" applyNumberFormat="1" applyFont="1" applyBorder="1" applyAlignment="1">
      <alignment horizontal="center"/>
    </xf>
    <xf numFmtId="169" fontId="4" fillId="0" borderId="6" xfId="1" applyNumberFormat="1" applyFont="1" applyBorder="1" applyAlignment="1">
      <alignment horizontal="center" vertical="center"/>
    </xf>
    <xf numFmtId="2" fontId="4" fillId="0" borderId="0" xfId="3" applyNumberFormat="1" applyFont="1" applyAlignment="1">
      <alignment horizontal="left" vertical="center" wrapText="1" indent="1"/>
    </xf>
    <xf numFmtId="170" fontId="4" fillId="0" borderId="6" xfId="1" applyNumberFormat="1" applyFont="1" applyBorder="1" applyAlignment="1">
      <alignment horizontal="center" vertical="center"/>
    </xf>
    <xf numFmtId="43" fontId="4" fillId="0" borderId="0" xfId="1" applyFont="1" applyAlignment="1">
      <alignment horizontal="center" vertical="center" wrapText="1"/>
    </xf>
    <xf numFmtId="43" fontId="4" fillId="0" borderId="6" xfId="1" applyFont="1" applyBorder="1" applyAlignment="1">
      <alignment horizontal="center" vertical="center"/>
    </xf>
    <xf numFmtId="168" fontId="4" fillId="0" borderId="7" xfId="3" applyNumberFormat="1" applyFont="1" applyBorder="1" applyAlignment="1">
      <alignment horizontal="center"/>
    </xf>
    <xf numFmtId="2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1" fontId="5" fillId="0" borderId="8" xfId="3" applyNumberFormat="1" applyFont="1" applyBorder="1" applyAlignment="1">
      <alignment horizontal="center" vertical="center"/>
    </xf>
    <xf numFmtId="171" fontId="6" fillId="0" borderId="9" xfId="3" applyNumberFormat="1" applyFont="1" applyBorder="1" applyAlignment="1">
      <alignment horizontal="center" vertical="center"/>
    </xf>
    <xf numFmtId="172" fontId="6" fillId="0" borderId="9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left" vertical="center" indent="1"/>
    </xf>
    <xf numFmtId="172" fontId="6" fillId="0" borderId="9" xfId="4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right" vertical="center" indent="1"/>
    </xf>
    <xf numFmtId="43" fontId="6" fillId="0" borderId="10" xfId="1" applyFont="1" applyFill="1" applyBorder="1" applyAlignment="1">
      <alignment horizontal="center" vertical="center"/>
    </xf>
    <xf numFmtId="166" fontId="6" fillId="0" borderId="9" xfId="4" applyNumberFormat="1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horizontal="center" vertical="center"/>
    </xf>
    <xf numFmtId="0" fontId="6" fillId="0" borderId="9" xfId="4" applyNumberFormat="1" applyFont="1" applyFill="1" applyBorder="1" applyAlignment="1">
      <alignment horizontal="center" vertical="center"/>
    </xf>
    <xf numFmtId="170" fontId="6" fillId="0" borderId="9" xfId="1" applyNumberFormat="1" applyFont="1" applyFill="1" applyBorder="1" applyAlignment="1">
      <alignment horizontal="center" vertical="center"/>
    </xf>
    <xf numFmtId="169" fontId="6" fillId="0" borderId="9" xfId="1" applyNumberFormat="1" applyFont="1" applyFill="1" applyBorder="1" applyAlignment="1">
      <alignment horizontal="center" vertical="center"/>
    </xf>
    <xf numFmtId="171" fontId="6" fillId="0" borderId="11" xfId="3" applyNumberFormat="1" applyFont="1" applyBorder="1" applyAlignment="1">
      <alignment horizontal="center" vertical="center"/>
    </xf>
    <xf numFmtId="173" fontId="6" fillId="0" borderId="9" xfId="3" applyNumberFormat="1" applyFont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left" vertical="center" indent="1"/>
    </xf>
    <xf numFmtId="172" fontId="1" fillId="0" borderId="10" xfId="3" applyNumberFormat="1" applyBorder="1"/>
    <xf numFmtId="0" fontId="6" fillId="0" borderId="0" xfId="4" applyNumberFormat="1" applyFont="1" applyFill="1" applyBorder="1" applyAlignment="1">
      <alignment horizontal="center"/>
    </xf>
    <xf numFmtId="0" fontId="5" fillId="0" borderId="8" xfId="3" applyFont="1" applyBorder="1" applyAlignment="1">
      <alignment horizontal="center" vertical="center"/>
    </xf>
    <xf numFmtId="171" fontId="6" fillId="0" borderId="12" xfId="3" applyNumberFormat="1" applyFont="1" applyBorder="1" applyAlignment="1">
      <alignment horizontal="center" vertical="center"/>
    </xf>
    <xf numFmtId="172" fontId="6" fillId="0" borderId="12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left" vertical="center" indent="1"/>
    </xf>
    <xf numFmtId="172" fontId="6" fillId="0" borderId="12" xfId="4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right" vertical="center" indent="1"/>
    </xf>
    <xf numFmtId="43" fontId="6" fillId="0" borderId="13" xfId="1" applyFont="1" applyFill="1" applyBorder="1" applyAlignment="1">
      <alignment horizontal="center" vertical="center"/>
    </xf>
    <xf numFmtId="166" fontId="6" fillId="0" borderId="12" xfId="4" applyNumberFormat="1" applyFont="1" applyFill="1" applyBorder="1" applyAlignment="1">
      <alignment horizontal="center" vertical="center"/>
    </xf>
    <xf numFmtId="43" fontId="6" fillId="0" borderId="12" xfId="1" applyFont="1" applyFill="1" applyBorder="1" applyAlignment="1">
      <alignment horizontal="center" vertical="center"/>
    </xf>
    <xf numFmtId="0" fontId="6" fillId="0" borderId="12" xfId="4" applyNumberFormat="1" applyFont="1" applyFill="1" applyBorder="1" applyAlignment="1">
      <alignment horizontal="center" vertical="center"/>
    </xf>
    <xf numFmtId="170" fontId="6" fillId="0" borderId="12" xfId="1" applyNumberFormat="1" applyFont="1" applyFill="1" applyBorder="1" applyAlignment="1">
      <alignment horizontal="center" vertical="center"/>
    </xf>
    <xf numFmtId="169" fontId="6" fillId="0" borderId="12" xfId="1" applyNumberFormat="1" applyFont="1" applyBorder="1" applyAlignment="1">
      <alignment horizontal="center" vertical="center"/>
    </xf>
    <xf numFmtId="172" fontId="6" fillId="0" borderId="12" xfId="3" applyNumberFormat="1" applyFont="1" applyBorder="1" applyAlignment="1">
      <alignment horizontal="center" vertical="center"/>
    </xf>
    <xf numFmtId="173" fontId="6" fillId="0" borderId="12" xfId="4" applyNumberFormat="1" applyFont="1" applyFill="1" applyBorder="1" applyAlignment="1">
      <alignment horizontal="center" vertical="center"/>
    </xf>
    <xf numFmtId="170" fontId="6" fillId="0" borderId="12" xfId="1" applyNumberFormat="1" applyFont="1" applyBorder="1" applyAlignment="1">
      <alignment horizontal="center" vertical="center"/>
    </xf>
    <xf numFmtId="172" fontId="6" fillId="0" borderId="12" xfId="1" applyNumberFormat="1" applyFont="1" applyBorder="1" applyAlignment="1">
      <alignment horizontal="center" vertical="center"/>
    </xf>
    <xf numFmtId="167" fontId="1" fillId="0" borderId="0" xfId="3" applyNumberFormat="1"/>
    <xf numFmtId="0" fontId="4" fillId="0" borderId="8" xfId="3" applyFont="1" applyBorder="1" applyAlignment="1">
      <alignment horizontal="center"/>
    </xf>
    <xf numFmtId="173" fontId="6" fillId="0" borderId="12" xfId="3" applyNumberFormat="1" applyFont="1" applyBorder="1" applyAlignment="1">
      <alignment horizontal="center" vertical="center"/>
    </xf>
    <xf numFmtId="0" fontId="4" fillId="0" borderId="0" xfId="3" applyFont="1" applyAlignment="1">
      <alignment horizontal="center"/>
    </xf>
    <xf numFmtId="174" fontId="4" fillId="0" borderId="14" xfId="0" applyNumberFormat="1" applyFont="1" applyBorder="1"/>
    <xf numFmtId="0" fontId="8" fillId="0" borderId="0" xfId="3" applyFont="1"/>
    <xf numFmtId="0" fontId="1" fillId="0" borderId="0" xfId="3" applyAlignment="1">
      <alignment horizontal="center"/>
    </xf>
    <xf numFmtId="174" fontId="9" fillId="0" borderId="15" xfId="0" applyNumberFormat="1" applyFont="1" applyBorder="1"/>
    <xf numFmtId="14" fontId="0" fillId="0" borderId="0" xfId="0" applyNumberFormat="1"/>
    <xf numFmtId="174" fontId="10" fillId="0" borderId="15" xfId="0" applyNumberFormat="1" applyFont="1" applyBorder="1"/>
    <xf numFmtId="174" fontId="4" fillId="0" borderId="15" xfId="0" applyNumberFormat="1" applyFont="1" applyBorder="1"/>
    <xf numFmtId="0" fontId="11" fillId="0" borderId="0" xfId="3" applyFont="1"/>
    <xf numFmtId="169" fontId="6" fillId="0" borderId="12" xfId="1" applyNumberFormat="1" applyFont="1" applyFill="1" applyBorder="1" applyAlignment="1">
      <alignment horizontal="center" vertical="center"/>
    </xf>
    <xf numFmtId="43" fontId="6" fillId="0" borderId="16" xfId="1" applyFont="1" applyFill="1" applyBorder="1" applyAlignment="1">
      <alignment horizontal="center" vertical="center"/>
    </xf>
    <xf numFmtId="174" fontId="4" fillId="0" borderId="17" xfId="0" applyNumberFormat="1" applyFont="1" applyBorder="1"/>
    <xf numFmtId="0" fontId="4" fillId="0" borderId="0" xfId="3" applyFont="1"/>
    <xf numFmtId="44" fontId="4" fillId="0" borderId="0" xfId="5" applyFont="1" applyFill="1" applyBorder="1" applyAlignment="1">
      <alignment horizontal="center"/>
    </xf>
    <xf numFmtId="44" fontId="4" fillId="0" borderId="0" xfId="5" applyFont="1" applyFill="1" applyBorder="1" applyAlignment="1">
      <alignment horizontal="center" vertical="center"/>
    </xf>
    <xf numFmtId="175" fontId="4" fillId="0" borderId="0" xfId="3" applyNumberFormat="1" applyFont="1" applyAlignment="1">
      <alignment horizontal="right"/>
    </xf>
    <xf numFmtId="44" fontId="12" fillId="0" borderId="0" xfId="3" applyNumberFormat="1" applyFont="1" applyAlignment="1">
      <alignment vertical="center"/>
    </xf>
    <xf numFmtId="0" fontId="6" fillId="0" borderId="18" xfId="4" applyNumberFormat="1" applyFont="1" applyFill="1" applyBorder="1" applyAlignment="1">
      <alignment horizontal="center" vertical="center"/>
    </xf>
    <xf numFmtId="172" fontId="6" fillId="0" borderId="0" xfId="4" applyNumberFormat="1" applyFont="1" applyFill="1" applyBorder="1" applyAlignment="1">
      <alignment horizontal="center"/>
    </xf>
    <xf numFmtId="171" fontId="6" fillId="0" borderId="19" xfId="3" applyNumberFormat="1" applyFont="1" applyBorder="1" applyAlignment="1">
      <alignment horizontal="center" vertical="center"/>
    </xf>
    <xf numFmtId="172" fontId="6" fillId="0" borderId="19" xfId="1" applyNumberFormat="1" applyFont="1" applyFill="1" applyBorder="1" applyAlignment="1">
      <alignment horizontal="center" vertical="center"/>
    </xf>
    <xf numFmtId="0" fontId="6" fillId="0" borderId="19" xfId="1" applyNumberFormat="1" applyFont="1" applyFill="1" applyBorder="1" applyAlignment="1">
      <alignment horizontal="left" vertical="center" indent="1"/>
    </xf>
    <xf numFmtId="14" fontId="6" fillId="0" borderId="20" xfId="3" applyNumberFormat="1" applyFont="1" applyBorder="1" applyAlignment="1">
      <alignment horizontal="center" vertical="center"/>
    </xf>
    <xf numFmtId="0" fontId="6" fillId="0" borderId="0" xfId="4" applyNumberFormat="1" applyFont="1" applyFill="1" applyBorder="1" applyAlignment="1">
      <alignment horizontal="center" vertical="center"/>
    </xf>
    <xf numFmtId="0" fontId="6" fillId="0" borderId="0" xfId="4" applyNumberFormat="1" applyFont="1" applyFill="1" applyBorder="1" applyAlignment="1">
      <alignment horizontal="right" vertical="center" indent="1"/>
    </xf>
    <xf numFmtId="43" fontId="6" fillId="0" borderId="21" xfId="1" applyFont="1" applyFill="1" applyBorder="1" applyAlignment="1">
      <alignment horizontal="center" vertical="center"/>
    </xf>
    <xf numFmtId="0" fontId="6" fillId="0" borderId="19" xfId="4" applyNumberFormat="1" applyFont="1" applyFill="1" applyBorder="1" applyAlignment="1">
      <alignment horizontal="center" vertical="center"/>
    </xf>
    <xf numFmtId="170" fontId="6" fillId="0" borderId="19" xfId="1" applyNumberFormat="1" applyFont="1" applyFill="1" applyBorder="1" applyAlignment="1">
      <alignment horizontal="center" vertical="center"/>
    </xf>
    <xf numFmtId="171" fontId="6" fillId="0" borderId="18" xfId="3" applyNumberFormat="1" applyFont="1" applyBorder="1" applyAlignment="1">
      <alignment horizontal="center" vertical="center"/>
    </xf>
    <xf numFmtId="173" fontId="6" fillId="0" borderId="18" xfId="1" applyNumberFormat="1" applyFont="1" applyBorder="1" applyAlignment="1">
      <alignment horizontal="center" vertical="center"/>
    </xf>
    <xf numFmtId="0" fontId="6" fillId="0" borderId="18" xfId="1" applyNumberFormat="1" applyFont="1" applyFill="1" applyBorder="1" applyAlignment="1">
      <alignment horizontal="left" vertical="center" indent="1"/>
    </xf>
    <xf numFmtId="172" fontId="6" fillId="0" borderId="18" xfId="1" applyNumberFormat="1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166" fontId="6" fillId="0" borderId="19" xfId="4" applyNumberFormat="1" applyFont="1" applyFill="1" applyBorder="1" applyAlignment="1">
      <alignment horizontal="center" vertical="center"/>
    </xf>
    <xf numFmtId="43" fontId="6" fillId="0" borderId="19" xfId="1" applyFont="1" applyFill="1" applyBorder="1" applyAlignment="1">
      <alignment horizontal="center" vertical="center"/>
    </xf>
    <xf numFmtId="171" fontId="6" fillId="0" borderId="23" xfId="3" applyNumberFormat="1" applyFont="1" applyBorder="1" applyAlignment="1">
      <alignment horizontal="center" vertical="center"/>
    </xf>
    <xf numFmtId="0" fontId="6" fillId="0" borderId="24" xfId="4" applyNumberFormat="1" applyFont="1" applyFill="1" applyBorder="1" applyAlignment="1">
      <alignment horizontal="center" vertical="center"/>
    </xf>
    <xf numFmtId="0" fontId="6" fillId="0" borderId="25" xfId="4" applyNumberFormat="1" applyFont="1" applyFill="1" applyBorder="1" applyAlignment="1">
      <alignment horizontal="center" vertical="center"/>
    </xf>
    <xf numFmtId="171" fontId="6" fillId="0" borderId="20" xfId="3" applyNumberFormat="1" applyFont="1" applyBorder="1" applyAlignment="1">
      <alignment horizontal="center" vertical="center"/>
    </xf>
    <xf numFmtId="43" fontId="6" fillId="0" borderId="24" xfId="1" applyFont="1" applyFill="1" applyBorder="1" applyAlignment="1">
      <alignment horizontal="center" vertical="center"/>
    </xf>
    <xf numFmtId="166" fontId="6" fillId="0" borderId="25" xfId="4" applyNumberFormat="1" applyFont="1" applyFill="1" applyBorder="1" applyAlignment="1">
      <alignment horizontal="center" vertical="center"/>
    </xf>
    <xf numFmtId="169" fontId="6" fillId="0" borderId="19" xfId="1" applyNumberFormat="1" applyFont="1" applyBorder="1" applyAlignment="1">
      <alignment horizontal="center" vertical="center"/>
    </xf>
    <xf numFmtId="172" fontId="6" fillId="0" borderId="19" xfId="1" applyNumberFormat="1" applyFont="1" applyBorder="1" applyAlignment="1">
      <alignment horizontal="center" vertical="center"/>
    </xf>
    <xf numFmtId="171" fontId="6" fillId="0" borderId="24" xfId="3" applyNumberFormat="1" applyFont="1" applyBorder="1" applyAlignment="1">
      <alignment horizontal="center" vertical="center"/>
    </xf>
    <xf numFmtId="14" fontId="6" fillId="0" borderId="24" xfId="3" applyNumberFormat="1" applyFont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left" vertical="center" indent="1"/>
    </xf>
    <xf numFmtId="170" fontId="6" fillId="0" borderId="19" xfId="1" applyNumberFormat="1" applyFont="1" applyBorder="1" applyAlignment="1">
      <alignment horizontal="center" vertical="center"/>
    </xf>
    <xf numFmtId="0" fontId="6" fillId="0" borderId="19" xfId="1" applyNumberFormat="1" applyFont="1" applyFill="1" applyBorder="1" applyAlignment="1">
      <alignment horizontal="right" vertical="center" indent="1"/>
    </xf>
    <xf numFmtId="172" fontId="6" fillId="0" borderId="19" xfId="3" applyNumberFormat="1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14" fontId="13" fillId="0" borderId="0" xfId="3" applyNumberFormat="1" applyFont="1" applyAlignment="1">
      <alignment horizontal="center" vertical="center"/>
    </xf>
    <xf numFmtId="166" fontId="13" fillId="0" borderId="0" xfId="4" applyNumberFormat="1" applyFont="1" applyFill="1" applyBorder="1" applyAlignment="1"/>
    <xf numFmtId="165" fontId="0" fillId="0" borderId="0" xfId="4" applyNumberFormat="1" applyFont="1" applyFill="1" applyAlignment="1">
      <alignment horizontal="right" indent="1"/>
    </xf>
    <xf numFmtId="164" fontId="13" fillId="0" borderId="0" xfId="4" applyFont="1" applyFill="1" applyBorder="1" applyAlignment="1"/>
    <xf numFmtId="0" fontId="1" fillId="0" borderId="0" xfId="3" applyAlignment="1">
      <alignment horizontal="right" indent="1"/>
    </xf>
    <xf numFmtId="43" fontId="1" fillId="0" borderId="0" xfId="1" applyFont="1" applyAlignment="1">
      <alignment horizontal="center"/>
    </xf>
    <xf numFmtId="165" fontId="0" fillId="0" borderId="0" xfId="4" applyNumberFormat="1" applyFont="1" applyFill="1"/>
    <xf numFmtId="165" fontId="0" fillId="0" borderId="0" xfId="4" applyNumberFormat="1" applyFont="1" applyFill="1" applyAlignment="1">
      <alignment horizontal="left" indent="1"/>
    </xf>
    <xf numFmtId="43" fontId="1" fillId="0" borderId="0" xfId="1" applyFont="1"/>
    <xf numFmtId="169" fontId="1" fillId="0" borderId="0" xfId="1" applyNumberFormat="1" applyFont="1"/>
    <xf numFmtId="0" fontId="14" fillId="0" borderId="0" xfId="3" applyFont="1"/>
    <xf numFmtId="0" fontId="15" fillId="0" borderId="0" xfId="3" applyFont="1" applyAlignment="1">
      <alignment horizontal="center"/>
    </xf>
    <xf numFmtId="165" fontId="16" fillId="0" borderId="0" xfId="4" applyNumberFormat="1" applyFont="1" applyFill="1" applyAlignment="1">
      <alignment horizontal="center"/>
    </xf>
    <xf numFmtId="164" fontId="14" fillId="0" borderId="0" xfId="4" applyFont="1" applyFill="1" applyBorder="1" applyAlignment="1">
      <alignment horizontal="right" indent="1"/>
    </xf>
    <xf numFmtId="0" fontId="17" fillId="0" borderId="0" xfId="3" applyFont="1" applyAlignment="1">
      <alignment horizontal="center"/>
    </xf>
    <xf numFmtId="0" fontId="17" fillId="0" borderId="0" xfId="3" applyFont="1"/>
    <xf numFmtId="43" fontId="14" fillId="0" borderId="0" xfId="1" applyFont="1" applyFill="1" applyBorder="1" applyAlignment="1">
      <alignment horizontal="center"/>
    </xf>
    <xf numFmtId="164" fontId="14" fillId="0" borderId="0" xfId="4" applyFont="1" applyFill="1" applyBorder="1" applyAlignment="1"/>
    <xf numFmtId="165" fontId="14" fillId="0" borderId="0" xfId="4" applyNumberFormat="1" applyFont="1" applyFill="1" applyBorder="1" applyAlignment="1">
      <alignment horizontal="right" indent="1"/>
    </xf>
    <xf numFmtId="14" fontId="14" fillId="0" borderId="0" xfId="3" applyNumberFormat="1" applyFont="1" applyAlignment="1">
      <alignment horizontal="center" vertical="center"/>
    </xf>
    <xf numFmtId="43" fontId="14" fillId="0" borderId="0" xfId="1" applyFont="1" applyAlignment="1">
      <alignment horizontal="center" vertical="center"/>
    </xf>
    <xf numFmtId="169" fontId="14" fillId="0" borderId="0" xfId="1" applyNumberFormat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5" fillId="0" borderId="0" xfId="3" applyFont="1"/>
    <xf numFmtId="0" fontId="16" fillId="0" borderId="0" xfId="0" applyFont="1"/>
    <xf numFmtId="0" fontId="18" fillId="0" borderId="0" xfId="3" applyFont="1"/>
    <xf numFmtId="0" fontId="18" fillId="0" borderId="26" xfId="3" applyFont="1" applyBorder="1"/>
    <xf numFmtId="14" fontId="18" fillId="0" borderId="27" xfId="3" applyNumberFormat="1" applyFont="1" applyBorder="1"/>
    <xf numFmtId="0" fontId="18" fillId="0" borderId="28" xfId="3" applyFont="1" applyBorder="1"/>
    <xf numFmtId="0" fontId="18" fillId="0" borderId="27" xfId="3" applyFont="1" applyBorder="1"/>
    <xf numFmtId="43" fontId="18" fillId="0" borderId="27" xfId="1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9" fillId="0" borderId="0" xfId="4" applyNumberFormat="1" applyFont="1" applyFill="1" applyBorder="1" applyAlignment="1">
      <alignment horizontal="center"/>
    </xf>
    <xf numFmtId="0" fontId="19" fillId="0" borderId="0" xfId="3" applyFont="1"/>
    <xf numFmtId="0" fontId="20" fillId="0" borderId="0" xfId="0" applyFont="1"/>
    <xf numFmtId="0" fontId="21" fillId="0" borderId="0" xfId="3" applyFont="1"/>
    <xf numFmtId="0" fontId="21" fillId="0" borderId="29" xfId="3" applyFont="1" applyBorder="1"/>
    <xf numFmtId="14" fontId="21" fillId="0" borderId="0" xfId="3" applyNumberFormat="1" applyFont="1"/>
    <xf numFmtId="0" fontId="21" fillId="0" borderId="30" xfId="3" applyFont="1" applyBorder="1"/>
    <xf numFmtId="43" fontId="21" fillId="0" borderId="0" xfId="1" applyFont="1" applyBorder="1" applyAlignment="1">
      <alignment horizontal="center"/>
    </xf>
    <xf numFmtId="0" fontId="18" fillId="0" borderId="29" xfId="3" applyFont="1" applyBorder="1"/>
    <xf numFmtId="14" fontId="18" fillId="0" borderId="0" xfId="3" applyNumberFormat="1" applyFont="1"/>
    <xf numFmtId="172" fontId="18" fillId="0" borderId="30" xfId="3" applyNumberFormat="1" applyFont="1" applyBorder="1"/>
    <xf numFmtId="172" fontId="18" fillId="0" borderId="0" xfId="3" applyNumberFormat="1" applyFont="1"/>
    <xf numFmtId="43" fontId="18" fillId="0" borderId="0" xfId="1" applyFont="1" applyBorder="1" applyAlignment="1">
      <alignment horizontal="center"/>
    </xf>
    <xf numFmtId="0" fontId="21" fillId="0" borderId="31" xfId="3" applyFont="1" applyBorder="1"/>
    <xf numFmtId="14" fontId="21" fillId="0" borderId="32" xfId="3" applyNumberFormat="1" applyFont="1" applyBorder="1"/>
    <xf numFmtId="172" fontId="21" fillId="0" borderId="33" xfId="3" applyNumberFormat="1" applyFont="1" applyBorder="1"/>
    <xf numFmtId="172" fontId="21" fillId="0" borderId="32" xfId="3" applyNumberFormat="1" applyFont="1" applyBorder="1"/>
    <xf numFmtId="43" fontId="21" fillId="0" borderId="32" xfId="1" applyFont="1" applyBorder="1" applyAlignment="1">
      <alignment horizontal="center"/>
    </xf>
    <xf numFmtId="165" fontId="0" fillId="0" borderId="0" xfId="4" applyNumberFormat="1" applyFont="1" applyFill="1" applyAlignment="1">
      <alignment horizontal="center"/>
    </xf>
    <xf numFmtId="176" fontId="1" fillId="0" borderId="0" xfId="3" applyNumberFormat="1"/>
    <xf numFmtId="165" fontId="22" fillId="0" borderId="0" xfId="4" applyNumberFormat="1" applyFont="1" applyFill="1" applyAlignment="1">
      <alignment horizontal="right" indent="1"/>
    </xf>
    <xf numFmtId="0" fontId="23" fillId="0" borderId="0" xfId="3" applyFont="1" applyAlignment="1">
      <alignment horizontal="center"/>
    </xf>
    <xf numFmtId="165" fontId="22" fillId="0" borderId="0" xfId="4" applyNumberFormat="1" applyFont="1" applyFill="1" applyAlignment="1">
      <alignment horizontal="center"/>
    </xf>
    <xf numFmtId="0" fontId="24" fillId="0" borderId="0" xfId="3" applyFont="1" applyAlignment="1">
      <alignment horizontal="right" indent="1"/>
    </xf>
    <xf numFmtId="0" fontId="25" fillId="0" borderId="0" xfId="3" applyFont="1"/>
    <xf numFmtId="177" fontId="4" fillId="0" borderId="0" xfId="1" applyNumberFormat="1" applyFont="1" applyAlignment="1">
      <alignment horizontal="center"/>
    </xf>
    <xf numFmtId="43" fontId="25" fillId="0" borderId="0" xfId="1" applyFont="1" applyAlignment="1">
      <alignment horizontal="center"/>
    </xf>
    <xf numFmtId="165" fontId="22" fillId="0" borderId="0" xfId="4" applyNumberFormat="1" applyFont="1" applyFill="1"/>
    <xf numFmtId="0" fontId="1" fillId="0" borderId="0" xfId="3" applyAlignment="1">
      <alignment horizontal="left" indent="1"/>
    </xf>
    <xf numFmtId="166" fontId="26" fillId="0" borderId="34" xfId="3" applyNumberFormat="1" applyFont="1" applyBorder="1" applyAlignment="1">
      <alignment horizontal="center"/>
    </xf>
    <xf numFmtId="14" fontId="26" fillId="0" borderId="35" xfId="4" applyNumberFormat="1" applyFont="1" applyFill="1" applyBorder="1" applyAlignment="1">
      <alignment horizontal="center"/>
    </xf>
    <xf numFmtId="166" fontId="24" fillId="0" borderId="36" xfId="3" applyNumberFormat="1" applyFont="1" applyBorder="1" applyAlignment="1">
      <alignment horizontal="right" indent="1"/>
    </xf>
    <xf numFmtId="166" fontId="24" fillId="0" borderId="37" xfId="3" applyNumberFormat="1" applyFont="1" applyBorder="1" applyAlignment="1">
      <alignment horizontal="right" indent="1"/>
    </xf>
    <xf numFmtId="14" fontId="24" fillId="0" borderId="38" xfId="4" applyNumberFormat="1" applyFont="1" applyFill="1" applyBorder="1"/>
    <xf numFmtId="177" fontId="27" fillId="0" borderId="39" xfId="1" applyNumberFormat="1" applyFont="1" applyBorder="1" applyAlignment="1">
      <alignment horizontal="center"/>
    </xf>
    <xf numFmtId="0" fontId="25" fillId="0" borderId="0" xfId="3" applyFont="1" applyAlignment="1">
      <alignment horizontal="center"/>
    </xf>
    <xf numFmtId="14" fontId="25" fillId="0" borderId="0" xfId="3" applyNumberFormat="1" applyFont="1" applyAlignment="1">
      <alignment horizontal="center"/>
    </xf>
    <xf numFmtId="166" fontId="0" fillId="0" borderId="0" xfId="4" applyNumberFormat="1" applyFont="1" applyFill="1"/>
    <xf numFmtId="166" fontId="26" fillId="0" borderId="40" xfId="3" applyNumberFormat="1" applyFont="1" applyBorder="1" applyAlignment="1">
      <alignment horizontal="center"/>
    </xf>
    <xf numFmtId="14" fontId="26" fillId="0" borderId="41" xfId="4" applyNumberFormat="1" applyFont="1" applyFill="1" applyBorder="1" applyAlignment="1">
      <alignment horizontal="center"/>
    </xf>
    <xf numFmtId="166" fontId="24" fillId="0" borderId="42" xfId="3" applyNumberFormat="1" applyFont="1" applyBorder="1" applyAlignment="1">
      <alignment horizontal="right" indent="1"/>
    </xf>
    <xf numFmtId="166" fontId="24" fillId="0" borderId="43" xfId="3" applyNumberFormat="1" applyFont="1" applyBorder="1" applyAlignment="1">
      <alignment horizontal="right" indent="1"/>
    </xf>
    <xf numFmtId="14" fontId="24" fillId="0" borderId="44" xfId="4" applyNumberFormat="1" applyFont="1" applyFill="1" applyBorder="1"/>
    <xf numFmtId="177" fontId="27" fillId="0" borderId="45" xfId="1" applyNumberFormat="1" applyFont="1" applyBorder="1" applyAlignment="1">
      <alignment horizontal="center"/>
    </xf>
    <xf numFmtId="14" fontId="1" fillId="0" borderId="0" xfId="3" applyNumberFormat="1"/>
    <xf numFmtId="164" fontId="0" fillId="0" borderId="0" xfId="4" applyFont="1" applyFill="1"/>
    <xf numFmtId="0" fontId="25" fillId="3" borderId="0" xfId="3" applyFont="1" applyFill="1" applyAlignment="1">
      <alignment horizontal="right" indent="1"/>
    </xf>
    <xf numFmtId="0" fontId="25" fillId="4" borderId="0" xfId="3" applyFont="1" applyFill="1" applyAlignment="1">
      <alignment horizontal="right" indent="1"/>
    </xf>
    <xf numFmtId="0" fontId="1" fillId="3" borderId="0" xfId="3" applyFill="1"/>
    <xf numFmtId="0" fontId="1" fillId="4" borderId="0" xfId="3" applyFill="1"/>
    <xf numFmtId="0" fontId="1" fillId="0" borderId="0" xfId="1" applyNumberFormat="1" applyFont="1" applyAlignment="1">
      <alignment horizontal="center"/>
    </xf>
    <xf numFmtId="44" fontId="28" fillId="4" borderId="0" xfId="2" applyFont="1" applyFill="1"/>
    <xf numFmtId="44" fontId="1" fillId="4" borderId="0" xfId="2" applyFont="1" applyFill="1"/>
    <xf numFmtId="0" fontId="1" fillId="5" borderId="0" xfId="3" applyFill="1" applyAlignment="1">
      <alignment horizontal="right" indent="1"/>
    </xf>
    <xf numFmtId="43" fontId="25" fillId="5" borderId="0" xfId="1" applyFont="1" applyFill="1" applyAlignment="1">
      <alignment horizontal="center"/>
    </xf>
    <xf numFmtId="0" fontId="25" fillId="5" borderId="0" xfId="3" applyFont="1" applyFill="1"/>
    <xf numFmtId="44" fontId="28" fillId="0" borderId="0" xfId="2" applyFont="1" applyFill="1"/>
    <xf numFmtId="0" fontId="25" fillId="0" borderId="0" xfId="3" applyFont="1" applyAlignment="1">
      <alignment horizontal="right" indent="1"/>
    </xf>
    <xf numFmtId="177" fontId="29" fillId="0" borderId="45" xfId="1" applyNumberFormat="1" applyFont="1" applyBorder="1"/>
    <xf numFmtId="14" fontId="30" fillId="0" borderId="46" xfId="0" applyNumberFormat="1" applyFont="1" applyBorder="1"/>
    <xf numFmtId="43" fontId="30" fillId="0" borderId="46" xfId="1" applyFont="1" applyBorder="1" applyAlignment="1">
      <alignment horizontal="center"/>
    </xf>
    <xf numFmtId="172" fontId="31" fillId="0" borderId="8" xfId="1" applyNumberFormat="1" applyFont="1" applyBorder="1" applyAlignment="1">
      <alignment horizontal="center" vertical="center"/>
    </xf>
    <xf numFmtId="0" fontId="1" fillId="0" borderId="0" xfId="3" quotePrefix="1" applyAlignment="1">
      <alignment horizontal="right" indent="1"/>
    </xf>
    <xf numFmtId="166" fontId="26" fillId="0" borderId="47" xfId="3" applyNumberFormat="1" applyFont="1" applyBorder="1" applyAlignment="1">
      <alignment horizontal="center"/>
    </xf>
    <xf numFmtId="14" fontId="26" fillId="0" borderId="48" xfId="4" applyNumberFormat="1" applyFont="1" applyFill="1" applyBorder="1" applyAlignment="1">
      <alignment horizontal="center"/>
    </xf>
    <xf numFmtId="166" fontId="24" fillId="0" borderId="49" xfId="3" applyNumberFormat="1" applyFont="1" applyBorder="1" applyAlignment="1">
      <alignment horizontal="right" indent="1"/>
    </xf>
    <xf numFmtId="166" fontId="24" fillId="0" borderId="50" xfId="3" applyNumberFormat="1" applyFont="1" applyBorder="1" applyAlignment="1">
      <alignment horizontal="right" indent="1"/>
    </xf>
    <xf numFmtId="14" fontId="24" fillId="0" borderId="51" xfId="4" applyNumberFormat="1" applyFont="1" applyFill="1" applyBorder="1"/>
    <xf numFmtId="164" fontId="29" fillId="0" borderId="52" xfId="3" applyNumberFormat="1" applyFont="1" applyBorder="1"/>
    <xf numFmtId="14" fontId="30" fillId="0" borderId="8" xfId="0" applyNumberFormat="1" applyFont="1" applyBorder="1"/>
    <xf numFmtId="43" fontId="30" fillId="0" borderId="22" xfId="1" applyFont="1" applyBorder="1" applyAlignment="1">
      <alignment horizontal="center"/>
    </xf>
    <xf numFmtId="172" fontId="4" fillId="0" borderId="53" xfId="3" applyNumberFormat="1" applyFont="1" applyBorder="1" applyAlignment="1">
      <alignment horizontal="right" indent="1"/>
    </xf>
    <xf numFmtId="14" fontId="26" fillId="0" borderId="54" xfId="4" applyNumberFormat="1" applyFont="1" applyFill="1" applyBorder="1" applyAlignment="1">
      <alignment horizontal="center"/>
    </xf>
    <xf numFmtId="172" fontId="24" fillId="0" borderId="55" xfId="3" applyNumberFormat="1" applyFont="1" applyBorder="1" applyAlignment="1">
      <alignment horizontal="right" indent="1"/>
    </xf>
    <xf numFmtId="172" fontId="24" fillId="0" borderId="56" xfId="3" applyNumberFormat="1" applyFont="1" applyBorder="1" applyAlignment="1">
      <alignment horizontal="right" indent="1"/>
    </xf>
    <xf numFmtId="177" fontId="27" fillId="5" borderId="57" xfId="1" applyNumberFormat="1" applyFont="1" applyFill="1" applyBorder="1" applyAlignment="1">
      <alignment horizontal="center"/>
    </xf>
    <xf numFmtId="43" fontId="1" fillId="0" borderId="0" xfId="1" applyFont="1" applyBorder="1" applyAlignment="1">
      <alignment horizontal="center"/>
    </xf>
    <xf numFmtId="44" fontId="0" fillId="0" borderId="0" xfId="2" applyFont="1" applyFill="1" applyBorder="1" applyAlignment="1">
      <alignment horizontal="center"/>
    </xf>
    <xf numFmtId="44" fontId="4" fillId="0" borderId="0" xfId="3" applyNumberFormat="1" applyFont="1" applyAlignment="1">
      <alignment horizontal="right" indent="1"/>
    </xf>
    <xf numFmtId="166" fontId="32" fillId="0" borderId="0" xfId="3" applyNumberFormat="1" applyFont="1" applyAlignment="1">
      <alignment horizontal="center"/>
    </xf>
    <xf numFmtId="165" fontId="33" fillId="0" borderId="0" xfId="4" applyNumberFormat="1" applyFont="1" applyFill="1" applyAlignment="1">
      <alignment horizontal="center"/>
    </xf>
    <xf numFmtId="166" fontId="33" fillId="0" borderId="0" xfId="4" applyNumberFormat="1" applyFont="1" applyFill="1" applyAlignment="1">
      <alignment horizontal="right" indent="1"/>
    </xf>
    <xf numFmtId="176" fontId="25" fillId="0" borderId="0" xfId="3" applyNumberFormat="1" applyFont="1" applyAlignment="1">
      <alignment horizontal="right" indent="1"/>
    </xf>
    <xf numFmtId="14" fontId="26" fillId="0" borderId="0" xfId="4" applyNumberFormat="1" applyFont="1" applyFill="1" applyBorder="1" applyAlignment="1">
      <alignment horizontal="center"/>
    </xf>
    <xf numFmtId="14" fontId="24" fillId="0" borderId="0" xfId="4" applyNumberFormat="1" applyFont="1" applyFill="1" applyBorder="1"/>
    <xf numFmtId="166" fontId="0" fillId="0" borderId="0" xfId="4" applyNumberFormat="1" applyFont="1" applyFill="1" applyBorder="1"/>
    <xf numFmtId="165" fontId="0" fillId="0" borderId="0" xfId="4" applyNumberFormat="1" applyFont="1" applyFill="1" applyBorder="1"/>
    <xf numFmtId="164" fontId="0" fillId="0" borderId="0" xfId="4" applyFont="1" applyFill="1" applyBorder="1"/>
    <xf numFmtId="166" fontId="26" fillId="0" borderId="0" xfId="3" applyNumberFormat="1" applyFont="1" applyAlignment="1">
      <alignment horizontal="center"/>
    </xf>
    <xf numFmtId="166" fontId="24" fillId="0" borderId="0" xfId="3" applyNumberFormat="1" applyFont="1" applyAlignment="1">
      <alignment horizontal="right" indent="1"/>
    </xf>
    <xf numFmtId="177" fontId="27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/>
    </xf>
    <xf numFmtId="44" fontId="28" fillId="0" borderId="0" xfId="2" applyFont="1" applyFill="1" applyBorder="1"/>
    <xf numFmtId="0" fontId="25" fillId="0" borderId="0" xfId="1" applyNumberFormat="1" applyFont="1" applyFill="1" applyBorder="1" applyAlignment="1">
      <alignment horizontal="center"/>
    </xf>
    <xf numFmtId="44" fontId="1" fillId="0" borderId="0" xfId="2" applyFont="1" applyFill="1" applyBorder="1"/>
    <xf numFmtId="43" fontId="25" fillId="0" borderId="0" xfId="1" applyFont="1" applyFill="1" applyBorder="1" applyAlignment="1">
      <alignment horizontal="center"/>
    </xf>
    <xf numFmtId="14" fontId="30" fillId="0" borderId="0" xfId="0" applyNumberFormat="1" applyFont="1"/>
    <xf numFmtId="178" fontId="31" fillId="0" borderId="0" xfId="1" applyNumberFormat="1" applyFont="1" applyFill="1" applyBorder="1" applyAlignment="1">
      <alignment horizontal="center" vertical="center"/>
    </xf>
    <xf numFmtId="0" fontId="31" fillId="0" borderId="0" xfId="1" applyNumberFormat="1" applyFont="1" applyFill="1" applyBorder="1" applyAlignment="1">
      <alignment horizontal="center" vertical="center"/>
    </xf>
    <xf numFmtId="172" fontId="4" fillId="0" borderId="0" xfId="3" applyNumberFormat="1" applyFont="1" applyAlignment="1">
      <alignment horizontal="right" indent="1"/>
    </xf>
    <xf numFmtId="172" fontId="24" fillId="0" borderId="0" xfId="3" applyNumberFormat="1" applyFont="1" applyAlignment="1">
      <alignment horizontal="right" indent="1"/>
    </xf>
    <xf numFmtId="169" fontId="1" fillId="0" borderId="0" xfId="1" applyNumberFormat="1" applyFont="1" applyFill="1" applyBorder="1"/>
    <xf numFmtId="173" fontId="4" fillId="0" borderId="0" xfId="3" applyNumberFormat="1" applyFont="1" applyAlignment="1">
      <alignment horizontal="right" indent="1"/>
    </xf>
  </cellXfs>
  <cellStyles count="6">
    <cellStyle name="Milliers" xfId="1" builtinId="3"/>
    <cellStyle name="Milliers 2" xfId="4" xr:uid="{D76BC94A-26C5-40D2-8EB8-0D5B710804E3}"/>
    <cellStyle name="Monétaire" xfId="2" builtinId="4"/>
    <cellStyle name="Monétaire 2" xfId="5" xr:uid="{7AD25BB9-436F-4499-AC06-19F6FE06A895}"/>
    <cellStyle name="Normal" xfId="0" builtinId="0"/>
    <cellStyle name="Normal 2" xfId="3" xr:uid="{C55B53DA-5C10-4761-BED2-FD5F980E7AB1}"/>
  </cellStyles>
  <dxfs count="30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color rgb="FFF9A307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FBA305"/>
      </font>
      <fill>
        <patternFill>
          <bgColor rgb="FFFF9900"/>
        </patternFill>
      </fill>
    </dxf>
    <dxf>
      <font>
        <b/>
        <i val="0"/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0000"/>
      </font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 val="0"/>
        <i val="0"/>
        <color theme="8" tint="0.59996337778862885"/>
      </font>
      <fill>
        <patternFill>
          <bgColor theme="8" tint="0.59996337778862885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F9A307"/>
      </font>
      <fill>
        <patternFill>
          <bgColor rgb="FFFF9900"/>
        </patternFill>
      </fill>
    </dxf>
    <dxf>
      <font>
        <color rgb="FFFBA305"/>
      </font>
      <fill>
        <patternFill>
          <bgColor rgb="FFFF9900"/>
        </patternFill>
      </fill>
    </dxf>
    <dxf>
      <font>
        <b/>
        <i val="0"/>
        <color rgb="FFFF0000"/>
      </font>
    </dxf>
    <dxf>
      <font>
        <color theme="9" tint="0.39994506668294322"/>
      </font>
      <fill>
        <patternFill>
          <bgColor theme="9" tint="0.39994506668294322"/>
        </patternFill>
      </fill>
    </dxf>
    <dxf>
      <font>
        <b val="0"/>
        <i val="0"/>
        <color theme="8" tint="0.59996337778862885"/>
      </font>
      <fill>
        <patternFill>
          <bgColor theme="8" tint="0.59996337778862885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b/>
        <i val="0"/>
        <color rgb="FFFF0000"/>
      </font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0000"/>
      </font>
    </dxf>
    <dxf>
      <font>
        <color theme="9" tint="0.39994506668294322"/>
      </font>
      <fill>
        <patternFill>
          <bgColor theme="9" tint="0.39994506668294322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0000"/>
      </font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color rgb="FFFBA305"/>
      </font>
      <fill>
        <patternFill>
          <bgColor rgb="FFFF9900"/>
        </patternFill>
      </fill>
    </dxf>
    <dxf>
      <font>
        <color rgb="FFF9A307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0000"/>
      </font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F1960F"/>
      </font>
      <fill>
        <patternFill>
          <bgColor rgb="FFFBA305"/>
        </patternFill>
      </fill>
    </dxf>
    <dxf>
      <fill>
        <patternFill>
          <bgColor theme="8" tint="0.59996337778862885"/>
        </patternFill>
      </fill>
    </dxf>
    <dxf>
      <font>
        <color rgb="FFF1960F"/>
      </font>
      <fill>
        <patternFill>
          <bgColor rgb="FFF1960F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0000"/>
      </font>
    </dxf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color rgb="FFF9A307"/>
      </font>
      <fill>
        <patternFill>
          <bgColor rgb="FFFF9900"/>
        </patternFill>
      </fill>
    </dxf>
    <dxf>
      <font>
        <color rgb="FFFBA305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0000"/>
      </font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FF9900"/>
      </font>
      <fill>
        <patternFill>
          <bgColor rgb="FFFF99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F9A307"/>
      </font>
      <fill>
        <patternFill>
          <bgColor rgb="FFFF9900"/>
        </patternFill>
      </fill>
    </dxf>
    <dxf>
      <font>
        <color rgb="FFFBA305"/>
      </font>
      <fill>
        <patternFill>
          <bgColor rgb="FFFF9900"/>
        </patternFill>
      </fill>
    </dxf>
    <dxf>
      <font>
        <b/>
        <i val="0"/>
        <color rgb="FFFF0000"/>
      </font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rgb="FFFBA305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F9A307"/>
      </font>
      <fill>
        <patternFill>
          <bgColor rgb="FFFF9900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color rgb="FFFBA305"/>
      </font>
      <fill>
        <patternFill>
          <bgColor rgb="FFFF9900"/>
        </patternFill>
      </fill>
    </dxf>
    <dxf>
      <font>
        <color rgb="FFF9A307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0000"/>
      </font>
    </dxf>
    <dxf>
      <font>
        <color theme="9" tint="0.39994506668294322"/>
      </font>
      <fill>
        <patternFill>
          <bgColor rgb="FFA9D08E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9A307"/>
      </font>
      <fill>
        <patternFill>
          <bgColor rgb="FFFE9912"/>
        </patternFill>
      </fill>
    </dxf>
    <dxf>
      <font>
        <color rgb="FFFE9912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color rgb="FFFBA305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F9A307"/>
      </font>
      <fill>
        <patternFill>
          <bgColor rgb="FFFF9900"/>
        </patternFill>
      </fill>
    </dxf>
    <dxf>
      <fill>
        <patternFill>
          <bgColor theme="5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ursorama.com/cours/1rPACA" TargetMode="External"/><Relationship Id="rId7" Type="http://schemas.openxmlformats.org/officeDocument/2006/relationships/image" Target="../media/image6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</xdr:colOff>
      <xdr:row>1</xdr:row>
      <xdr:rowOff>0</xdr:rowOff>
    </xdr:from>
    <xdr:ext cx="304800" cy="304800"/>
    <xdr:pic macro="[0]!CelluleAujourdhui">
      <xdr:nvPicPr>
        <xdr:cNvPr id="2" name="Graphique 1" descr="Calendrier à feuilles avec un remplissage uni">
          <a:extLst>
            <a:ext uri="{FF2B5EF4-FFF2-40B4-BE49-F238E27FC236}">
              <a16:creationId xmlns:a16="http://schemas.microsoft.com/office/drawing/2014/main" id="{FD2726F0-4B0B-43CD-B0DF-8ECF19C7E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0180" y="182880"/>
          <a:ext cx="304800" cy="304800"/>
        </a:xfrm>
        <a:prstGeom prst="rect">
          <a:avLst/>
        </a:prstGeom>
      </xdr:spPr>
    </xdr:pic>
    <xdr:clientData/>
  </xdr:oneCellAnchor>
  <xdr:oneCellAnchor>
    <xdr:from>
      <xdr:col>5</xdr:col>
      <xdr:colOff>320040</xdr:colOff>
      <xdr:row>1</xdr:row>
      <xdr:rowOff>0</xdr:rowOff>
    </xdr:from>
    <xdr:ext cx="297180" cy="297180"/>
    <xdr:pic>
      <xdr:nvPicPr>
        <xdr:cNvPr id="3" name="Graphique 2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522E8F2-3B86-4689-A9BD-89D79C89E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880" y="182880"/>
          <a:ext cx="297180" cy="297180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1</xdr:row>
      <xdr:rowOff>22860</xdr:rowOff>
    </xdr:from>
    <xdr:ext cx="297180" cy="297180"/>
    <xdr:pic>
      <xdr:nvPicPr>
        <xdr:cNvPr id="4" name="Graphique 3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4FEDE1-DCD1-44C4-A1E0-D6086114A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7080" y="203200"/>
          <a:ext cx="297180" cy="297180"/>
        </a:xfrm>
        <a:prstGeom prst="rect">
          <a:avLst/>
        </a:prstGeom>
      </xdr:spPr>
    </xdr:pic>
    <xdr:clientData/>
  </xdr:oneCellAnchor>
  <xdr:oneCellAnchor>
    <xdr:from>
      <xdr:col>13</xdr:col>
      <xdr:colOff>213360</xdr:colOff>
      <xdr:row>1</xdr:row>
      <xdr:rowOff>15240</xdr:rowOff>
    </xdr:from>
    <xdr:ext cx="297180" cy="297180"/>
    <xdr:pic>
      <xdr:nvPicPr>
        <xdr:cNvPr id="5" name="Graphique 4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8D4DA0-E8BE-4E1C-AC59-CEA2C3AF7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368280" y="200660"/>
          <a:ext cx="297180" cy="297180"/>
        </a:xfrm>
        <a:prstGeom prst="rect">
          <a:avLst/>
        </a:prstGeom>
      </xdr:spPr>
    </xdr:pic>
    <xdr:clientData/>
  </xdr:oneCellAnchor>
  <xdr:oneCellAnchor>
    <xdr:from>
      <xdr:col>16</xdr:col>
      <xdr:colOff>175260</xdr:colOff>
      <xdr:row>1</xdr:row>
      <xdr:rowOff>0</xdr:rowOff>
    </xdr:from>
    <xdr:ext cx="297180" cy="297180"/>
    <xdr:pic>
      <xdr:nvPicPr>
        <xdr:cNvPr id="6" name="Graphique 5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11CE42-7BA4-4E7E-98F1-F6E92090E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3800" y="182880"/>
          <a:ext cx="297180" cy="297180"/>
        </a:xfrm>
        <a:prstGeom prst="rect">
          <a:avLst/>
        </a:prstGeom>
      </xdr:spPr>
    </xdr:pic>
    <xdr:clientData/>
  </xdr:oneCellAnchor>
  <xdr:oneCellAnchor>
    <xdr:from>
      <xdr:col>19</xdr:col>
      <xdr:colOff>243840</xdr:colOff>
      <xdr:row>1</xdr:row>
      <xdr:rowOff>22860</xdr:rowOff>
    </xdr:from>
    <xdr:ext cx="297180" cy="297180"/>
    <xdr:pic>
      <xdr:nvPicPr>
        <xdr:cNvPr id="7" name="Graphique 6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30796B-CE62-4074-A907-1B04F6BED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4945360" y="203200"/>
          <a:ext cx="297180" cy="297180"/>
        </a:xfrm>
        <a:prstGeom prst="rect">
          <a:avLst/>
        </a:prstGeom>
      </xdr:spPr>
    </xdr:pic>
    <xdr:clientData/>
  </xdr:oneCellAnchor>
  <xdr:oneCellAnchor>
    <xdr:from>
      <xdr:col>22</xdr:col>
      <xdr:colOff>205740</xdr:colOff>
      <xdr:row>1</xdr:row>
      <xdr:rowOff>7620</xdr:rowOff>
    </xdr:from>
    <xdr:ext cx="297180" cy="297180"/>
    <xdr:pic>
      <xdr:nvPicPr>
        <xdr:cNvPr id="8" name="Graphique 7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E3AA5C-58FD-4CED-B71E-C249009C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16120" y="191770"/>
          <a:ext cx="297180" cy="297180"/>
        </a:xfrm>
        <a:prstGeom prst="rect">
          <a:avLst/>
        </a:prstGeom>
      </xdr:spPr>
    </xdr:pic>
    <xdr:clientData/>
  </xdr:oneCellAnchor>
  <xdr:oneCellAnchor>
    <xdr:from>
      <xdr:col>25</xdr:col>
      <xdr:colOff>144780</xdr:colOff>
      <xdr:row>1</xdr:row>
      <xdr:rowOff>0</xdr:rowOff>
    </xdr:from>
    <xdr:ext cx="297180" cy="297180"/>
    <xdr:pic>
      <xdr:nvPicPr>
        <xdr:cNvPr id="9" name="Graphique 8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D4838D3-0ADA-48FA-8A9F-8F0624ADA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9429730" y="182880"/>
          <a:ext cx="297180" cy="297180"/>
        </a:xfrm>
        <a:prstGeom prst="rect">
          <a:avLst/>
        </a:prstGeom>
      </xdr:spPr>
    </xdr:pic>
    <xdr:clientData/>
  </xdr:oneCellAnchor>
  <xdr:oneCellAnchor>
    <xdr:from>
      <xdr:col>28</xdr:col>
      <xdr:colOff>274320</xdr:colOff>
      <xdr:row>1</xdr:row>
      <xdr:rowOff>0</xdr:rowOff>
    </xdr:from>
    <xdr:ext cx="297180" cy="297180"/>
    <xdr:pic>
      <xdr:nvPicPr>
        <xdr:cNvPr id="10" name="Graphique 9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4C9FBA-0352-40BB-A717-FC3F09CB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70670" y="182880"/>
          <a:ext cx="297180" cy="297180"/>
        </a:xfrm>
        <a:prstGeom prst="rect">
          <a:avLst/>
        </a:prstGeom>
      </xdr:spPr>
    </xdr:pic>
    <xdr:clientData/>
  </xdr:oneCellAnchor>
  <xdr:oneCellAnchor>
    <xdr:from>
      <xdr:col>31</xdr:col>
      <xdr:colOff>228600</xdr:colOff>
      <xdr:row>1</xdr:row>
      <xdr:rowOff>0</xdr:rowOff>
    </xdr:from>
    <xdr:ext cx="297180" cy="297180"/>
    <xdr:pic>
      <xdr:nvPicPr>
        <xdr:cNvPr id="11" name="Graphique 10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F66A03-09D7-4F44-9C28-83BD6D89B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4102060" y="182880"/>
          <a:ext cx="297180" cy="297180"/>
        </a:xfrm>
        <a:prstGeom prst="rect">
          <a:avLst/>
        </a:prstGeom>
      </xdr:spPr>
    </xdr:pic>
    <xdr:clientData/>
  </xdr:oneCellAnchor>
  <xdr:oneCellAnchor>
    <xdr:from>
      <xdr:col>34</xdr:col>
      <xdr:colOff>213360</xdr:colOff>
      <xdr:row>1</xdr:row>
      <xdr:rowOff>7620</xdr:rowOff>
    </xdr:from>
    <xdr:ext cx="297180" cy="297180"/>
    <xdr:pic>
      <xdr:nvPicPr>
        <xdr:cNvPr id="12" name="Graphique 11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900E00-D265-46F5-9D23-BBF4118C6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93140" y="191770"/>
          <a:ext cx="297180" cy="297180"/>
        </a:xfrm>
        <a:prstGeom prst="rect">
          <a:avLst/>
        </a:prstGeom>
      </xdr:spPr>
    </xdr:pic>
    <xdr:clientData/>
  </xdr:oneCellAnchor>
  <xdr:oneCellAnchor>
    <xdr:from>
      <xdr:col>37</xdr:col>
      <xdr:colOff>190500</xdr:colOff>
      <xdr:row>1</xdr:row>
      <xdr:rowOff>0</xdr:rowOff>
    </xdr:from>
    <xdr:ext cx="297180" cy="297180"/>
    <xdr:pic>
      <xdr:nvPicPr>
        <xdr:cNvPr id="13" name="Graphique 12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A23D9E-10EF-48D8-829B-C0A42B4C2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8651200" y="182880"/>
          <a:ext cx="297180" cy="297180"/>
        </a:xfrm>
        <a:prstGeom prst="rect">
          <a:avLst/>
        </a:prstGeom>
      </xdr:spPr>
    </xdr:pic>
    <xdr:clientData/>
  </xdr:oneCellAnchor>
  <xdr:oneCellAnchor>
    <xdr:from>
      <xdr:col>1</xdr:col>
      <xdr:colOff>228600</xdr:colOff>
      <xdr:row>1</xdr:row>
      <xdr:rowOff>30480</xdr:rowOff>
    </xdr:from>
    <xdr:ext cx="297180" cy="297180"/>
    <xdr:pic>
      <xdr:nvPicPr>
        <xdr:cNvPr id="14" name="Graphique 13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1172CD-C4CD-46CC-B579-1FBD8B887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" y="212090"/>
          <a:ext cx="297180" cy="297180"/>
        </a:xfrm>
        <a:prstGeom prst="rect">
          <a:avLst/>
        </a:prstGeom>
      </xdr:spPr>
    </xdr:pic>
    <xdr:clientData/>
  </xdr:oneCellAnchor>
  <xdr:twoCellAnchor editAs="oneCell">
    <xdr:from>
      <xdr:col>41</xdr:col>
      <xdr:colOff>0</xdr:colOff>
      <xdr:row>1</xdr:row>
      <xdr:rowOff>0</xdr:rowOff>
    </xdr:from>
    <xdr:to>
      <xdr:col>41</xdr:col>
      <xdr:colOff>670891</xdr:colOff>
      <xdr:row>1</xdr:row>
      <xdr:rowOff>481661</xdr:rowOff>
    </xdr:to>
    <xdr:pic macro="[0]!Tableau_résultat">
      <xdr:nvPicPr>
        <xdr:cNvPr id="15" name="Graphique 14" descr="Graphique à barres avec un remplissage uni">
          <a:extLst>
            <a:ext uri="{FF2B5EF4-FFF2-40B4-BE49-F238E27FC236}">
              <a16:creationId xmlns:a16="http://schemas.microsoft.com/office/drawing/2014/main" id="{73B37949-EC15-4301-9B8A-715D3D554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31539180" y="182880"/>
          <a:ext cx="672161" cy="4829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7224954c56d8649/EXCEL/Marcel/Finances/A-Comptabilit&#233;%202024.xlsm" TargetMode="External"/><Relationship Id="rId1" Type="http://schemas.openxmlformats.org/officeDocument/2006/relationships/externalLinkPath" Target="/c7224954c56d8649/EXCEL/Marcel/Finances/A-Comptabilit&#233;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7224954c56d8649/EXCEL/Marcel/Sant&#233;/D&#233;compte%20SECU%20-%20M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écap"/>
      <sheetName val="Marcel"/>
      <sheetName val="Gaetane"/>
      <sheetName val="Sicav"/>
      <sheetName val="Echéancier Marcel"/>
      <sheetName val="Echéanciers Gaëtane"/>
      <sheetName val="Santé"/>
      <sheetName val="Décompte 2024"/>
      <sheetName val="Journal OF"/>
      <sheetName val="Relevé"/>
      <sheetName val="Jeff"/>
      <sheetName val="Vacances"/>
    </sheetNames>
    <sheetDataSet>
      <sheetData sheetId="0">
        <row r="2">
          <cell r="A2" t="str">
            <v>Carte</v>
          </cell>
          <cell r="B2" t="str">
            <v>D</v>
          </cell>
        </row>
        <row r="3">
          <cell r="A3" t="str">
            <v>Carte-SC</v>
          </cell>
          <cell r="B3" t="str">
            <v>D</v>
          </cell>
        </row>
        <row r="4">
          <cell r="A4" t="str">
            <v>Cetelem</v>
          </cell>
          <cell r="B4" t="str">
            <v>D</v>
          </cell>
        </row>
        <row r="5">
          <cell r="A5" t="str">
            <v>Chèque</v>
          </cell>
          <cell r="B5" t="str">
            <v>D</v>
          </cell>
        </row>
        <row r="6">
          <cell r="A6" t="str">
            <v>Internet</v>
          </cell>
          <cell r="B6" t="str">
            <v>D</v>
          </cell>
        </row>
        <row r="7">
          <cell r="A7" t="str">
            <v>Pass</v>
          </cell>
          <cell r="B7" t="str">
            <v>D</v>
          </cell>
        </row>
        <row r="8">
          <cell r="A8" t="str">
            <v>Paypal</v>
          </cell>
          <cell r="B8" t="str">
            <v>D</v>
          </cell>
        </row>
        <row r="9">
          <cell r="A9" t="str">
            <v>Prélt</v>
          </cell>
          <cell r="B9" t="str">
            <v>D</v>
          </cell>
        </row>
        <row r="10">
          <cell r="A10" t="str">
            <v>Remise chèque</v>
          </cell>
          <cell r="B10" t="str">
            <v>R</v>
          </cell>
        </row>
        <row r="11">
          <cell r="A11" t="str">
            <v>Retrait</v>
          </cell>
          <cell r="B11" t="str">
            <v>D</v>
          </cell>
        </row>
        <row r="12">
          <cell r="A12" t="str">
            <v>Virt-Emis</v>
          </cell>
          <cell r="B12" t="str">
            <v>D</v>
          </cell>
        </row>
        <row r="13">
          <cell r="A13" t="str">
            <v>Virt-Reçu</v>
          </cell>
          <cell r="B13" t="str">
            <v>R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R1" t="str">
            <v>Appareillage</v>
          </cell>
        </row>
        <row r="2">
          <cell r="R2" t="str">
            <v>Cardiologue</v>
          </cell>
        </row>
        <row r="3">
          <cell r="R3" t="str">
            <v>Consultation</v>
          </cell>
        </row>
        <row r="4">
          <cell r="R4" t="str">
            <v>Dentiste</v>
          </cell>
        </row>
        <row r="5">
          <cell r="R5" t="str">
            <v>Déplacement</v>
          </cell>
        </row>
        <row r="6">
          <cell r="R6" t="str">
            <v>Laboratoire</v>
          </cell>
        </row>
        <row r="7">
          <cell r="R7" t="str">
            <v>Pharmacie</v>
          </cell>
        </row>
        <row r="8">
          <cell r="R8" t="str">
            <v>Soins IDE</v>
          </cell>
        </row>
        <row r="9">
          <cell r="R9" t="str">
            <v>Forafait-Franchise</v>
          </cell>
        </row>
      </sheetData>
      <sheetData sheetId="8">
        <row r="4">
          <cell r="N4">
            <v>1</v>
          </cell>
          <cell r="O4">
            <v>31</v>
          </cell>
          <cell r="Q4" t="str">
            <v>Lu</v>
          </cell>
          <cell r="R4">
            <v>1.35</v>
          </cell>
        </row>
        <row r="5">
          <cell r="N5">
            <v>2</v>
          </cell>
          <cell r="O5">
            <v>29</v>
          </cell>
          <cell r="Q5" t="str">
            <v>Di</v>
          </cell>
          <cell r="R5">
            <v>0</v>
          </cell>
        </row>
        <row r="6">
          <cell r="N6">
            <v>3</v>
          </cell>
          <cell r="O6">
            <v>31</v>
          </cell>
          <cell r="Q6" t="str">
            <v>Je</v>
          </cell>
          <cell r="R6">
            <v>1.35</v>
          </cell>
        </row>
        <row r="7">
          <cell r="N7">
            <v>4</v>
          </cell>
          <cell r="O7">
            <v>30</v>
          </cell>
          <cell r="Q7" t="str">
            <v>Ma</v>
          </cell>
          <cell r="R7">
            <v>1.35</v>
          </cell>
        </row>
        <row r="8">
          <cell r="N8">
            <v>5</v>
          </cell>
          <cell r="O8">
            <v>31</v>
          </cell>
          <cell r="Q8" t="str">
            <v>Me</v>
          </cell>
          <cell r="R8">
            <v>1.35</v>
          </cell>
        </row>
        <row r="9">
          <cell r="N9">
            <v>6</v>
          </cell>
          <cell r="O9">
            <v>30</v>
          </cell>
          <cell r="Q9" t="str">
            <v>Sa</v>
          </cell>
          <cell r="R9">
            <v>1.35</v>
          </cell>
        </row>
        <row r="10">
          <cell r="N10">
            <v>7</v>
          </cell>
          <cell r="O10">
            <v>31</v>
          </cell>
          <cell r="Q10" t="str">
            <v>Ve</v>
          </cell>
          <cell r="R10">
            <v>1.6</v>
          </cell>
        </row>
        <row r="11">
          <cell r="N11">
            <v>8</v>
          </cell>
          <cell r="O11">
            <v>31</v>
          </cell>
        </row>
        <row r="12">
          <cell r="N12">
            <v>9</v>
          </cell>
          <cell r="O12">
            <v>30</v>
          </cell>
        </row>
        <row r="13">
          <cell r="N13">
            <v>10</v>
          </cell>
          <cell r="O13">
            <v>31</v>
          </cell>
        </row>
        <row r="14">
          <cell r="N14">
            <v>11</v>
          </cell>
          <cell r="O14">
            <v>30</v>
          </cell>
        </row>
        <row r="15">
          <cell r="N15">
            <v>12</v>
          </cell>
          <cell r="O15">
            <v>31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Décompte 2024"/>
      <sheetName val="Décompte 2023"/>
      <sheetName val="Récap"/>
      <sheetName val="Décompte SECU - MMA"/>
    </sheetNames>
    <sheetDataSet>
      <sheetData sheetId="0">
        <row r="1">
          <cell r="G1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D00A1-697F-4D07-8E53-6052F8DF7555}">
  <sheetPr codeName="Feuil6"/>
  <dimension ref="A1:AT67"/>
  <sheetViews>
    <sheetView showGridLines="0" tabSelected="1" zoomScale="115" zoomScaleNormal="115" workbookViewId="0">
      <pane xSplit="1" ySplit="2" topLeftCell="B37" activePane="bottomRight" state="frozen"/>
      <selection pane="topRight" activeCell="B1" sqref="B1"/>
      <selection pane="bottomLeft" activeCell="A2" sqref="A2"/>
      <selection pane="bottomRight" activeCell="J52" sqref="J52"/>
    </sheetView>
  </sheetViews>
  <sheetFormatPr baseColWidth="10" defaultColWidth="10.08203125" defaultRowHeight="14" x14ac:dyDescent="0.3"/>
  <cols>
    <col min="1" max="1" width="8.4140625" style="13" customWidth="1"/>
    <col min="2" max="2" width="10.08203125" style="64" customWidth="1"/>
    <col min="3" max="3" width="13.33203125" style="161" customWidth="1"/>
    <col min="4" max="4" width="12.4140625" style="113" customWidth="1"/>
    <col min="5" max="5" width="7.33203125" style="113" customWidth="1"/>
    <col min="6" max="6" width="11.4140625" style="64" customWidth="1"/>
    <col min="7" max="7" width="10.6640625" style="13" bestFit="1" customWidth="1"/>
    <col min="8" max="8" width="11" style="115" customWidth="1"/>
    <col min="9" max="9" width="6.83203125" style="116" customWidth="1"/>
    <col min="10" max="10" width="10.08203125" style="13"/>
    <col min="11" max="11" width="10.1640625" style="117" customWidth="1"/>
    <col min="12" max="13" width="10.75" style="118" customWidth="1"/>
    <col min="14" max="15" width="10.08203125" style="13"/>
    <col min="16" max="16" width="9.9140625" style="13" customWidth="1"/>
    <col min="17" max="17" width="10.08203125" style="13"/>
    <col min="18" max="19" width="9.6640625" style="117" customWidth="1"/>
    <col min="20" max="20" width="10.08203125" style="13"/>
    <col min="21" max="21" width="10.08203125" style="119"/>
    <col min="22" max="23" width="10.08203125" style="13"/>
    <col min="24" max="24" width="10.08203125" style="120"/>
    <col min="25" max="25" width="9.6640625" style="117" customWidth="1"/>
    <col min="26" max="30" width="10.08203125" style="13"/>
    <col min="31" max="31" width="9.6640625" style="117" customWidth="1"/>
    <col min="32" max="36" width="10.08203125" style="13"/>
    <col min="37" max="37" width="9.6640625" style="117" customWidth="1"/>
    <col min="38" max="42" width="10.08203125" style="13"/>
    <col min="43" max="43" width="14.5" style="13" customWidth="1"/>
    <col min="44" max="44" width="21.1640625" style="13" customWidth="1"/>
    <col min="45" max="45" width="11.9140625" customWidth="1"/>
    <col min="46" max="46" width="8" style="13" customWidth="1"/>
    <col min="47" max="16384" width="10.08203125" style="13"/>
  </cols>
  <sheetData>
    <row r="1" spans="1:46" ht="14.5" thickBot="1" x14ac:dyDescent="0.35">
      <c r="A1" s="1"/>
      <c r="B1" s="2"/>
      <c r="C1" s="3"/>
      <c r="D1" s="4"/>
      <c r="E1" s="4"/>
      <c r="F1" s="2"/>
      <c r="G1" s="5"/>
      <c r="H1" s="6"/>
      <c r="I1" s="7"/>
      <c r="J1" s="5"/>
      <c r="K1" s="8"/>
      <c r="L1" s="9"/>
      <c r="M1" s="9"/>
      <c r="N1" s="10">
        <f>+MAX($Q$58:$Q$60)</f>
        <v>0</v>
      </c>
      <c r="O1" s="11" t="e">
        <f>_xlfn.XLOOKUP(N1,$Q$45:$Q$58,$R$45:$R$58)</f>
        <v>#N/A</v>
      </c>
      <c r="P1" s="5"/>
      <c r="Q1" s="5"/>
      <c r="R1" s="10">
        <f>+MAX($Q$58:$Q$60)</f>
        <v>0</v>
      </c>
      <c r="S1" s="11" t="e">
        <f>_xlfn.XLOOKUP(R1,$Q$58:$Q$60,$R$58:$R$60)</f>
        <v>#N/A</v>
      </c>
      <c r="T1" s="5"/>
      <c r="U1" s="10">
        <f>+MAX($Q$58:$Q$60)</f>
        <v>0</v>
      </c>
      <c r="V1" s="11" t="e">
        <f>_xlfn.XLOOKUP(U1,$Q$58:$Q$60,$R$58:$R$60)</f>
        <v>#N/A</v>
      </c>
      <c r="W1" s="5"/>
      <c r="X1" s="10">
        <f>+MAX($Q$58:$Q$60)</f>
        <v>0</v>
      </c>
      <c r="Y1" s="11" t="e">
        <f>_xlfn.XLOOKUP(X1,$Q$58:$Q$60,$R$58:$R$60)</f>
        <v>#N/A</v>
      </c>
      <c r="Z1" s="5"/>
      <c r="AA1" s="5"/>
      <c r="AB1" s="5"/>
      <c r="AC1" s="5"/>
      <c r="AD1" s="5"/>
      <c r="AE1" s="8"/>
      <c r="AF1" s="5"/>
      <c r="AG1" s="5"/>
      <c r="AH1" s="5"/>
      <c r="AI1" s="5"/>
      <c r="AJ1" s="5"/>
      <c r="AK1" s="8"/>
      <c r="AL1" s="5"/>
      <c r="AM1" s="5"/>
      <c r="AN1" s="12"/>
    </row>
    <row r="2" spans="1:46" s="24" customFormat="1" ht="41.5" customHeight="1" thickBot="1" x14ac:dyDescent="0.35">
      <c r="A2" s="14">
        <v>45292</v>
      </c>
      <c r="B2" s="15">
        <f>MONTH(A2)</f>
        <v>1</v>
      </c>
      <c r="C2" s="16">
        <v>12.852</v>
      </c>
      <c r="D2" s="17" t="str">
        <f ca="1">IF(AND(TODAY()&lt;B33,TODAY()&gt;B3),"Résultat        "&amp;FIXED($J$52,2),"")</f>
        <v/>
      </c>
      <c r="E2" s="17"/>
      <c r="F2" s="15">
        <f>EDATE($A$2,1)</f>
        <v>45323</v>
      </c>
      <c r="G2" s="18">
        <f>IF(C33="","",LOOKUP(9^9,C3:C33))</f>
        <v>13.311999999999999</v>
      </c>
      <c r="H2" s="17" t="str">
        <f ca="1">IF(AND(TODAY()&lt;F31,TODAY()&gt;F3),"Résultat        "&amp;FIXED($J$52,2),"")</f>
        <v/>
      </c>
      <c r="I2" s="19"/>
      <c r="J2" s="15">
        <f>EDATE($A$2,2)</f>
        <v>45352</v>
      </c>
      <c r="K2" s="18">
        <f>IF(G31="","",LOOKUP(9^9,G3:G31))</f>
        <v>12.52</v>
      </c>
      <c r="L2" s="17" t="str">
        <f ca="1">IF(AND(TODAY()&lt;=J31,TODAY()&gt;=J3),"Résultat        "&amp;FIXED($J$52,2),"")</f>
        <v/>
      </c>
      <c r="M2" s="17"/>
      <c r="N2" s="15">
        <f>EDATE($A$2,3)</f>
        <v>45383</v>
      </c>
      <c r="O2" s="18">
        <f>IF(K33="","",LOOKUP(9^9,K3:K33))</f>
        <v>13.816000000000001</v>
      </c>
      <c r="P2" s="17" t="str">
        <f ca="1">IF(AND(TODAY()&lt;N32,TODAY()&gt;N3),"Résultat        "&amp;FIXED($J$52,2),"")</f>
        <v/>
      </c>
      <c r="Q2" s="15">
        <f>EDATE($A$2,4)</f>
        <v>45413</v>
      </c>
      <c r="R2" s="18">
        <f>IF(O32="","",LOOKUP(9^9,R3:R32))</f>
        <v>17</v>
      </c>
      <c r="S2" s="17" t="e">
        <f ca="1">IF(AND(TODAY()&lt;Q33,TODAY()&gt;Q3),"Résultat        "&amp;FIXED($J$52,2),"")</f>
        <v>#N/A</v>
      </c>
      <c r="T2" s="15">
        <f>EDATE($A$2,5)</f>
        <v>45444</v>
      </c>
      <c r="U2" s="20" t="str">
        <f>IF(R33="","",LOOKUP(9^9,R3:R33))</f>
        <v/>
      </c>
      <c r="V2" s="17" t="str">
        <f ca="1">IF(AND(TODAY()&lt;T32,TODAY()&gt;T3),"Résultat        "&amp;FIXED($J$52,2),"")</f>
        <v/>
      </c>
      <c r="W2" s="15">
        <f>EDATE($A$2,6)</f>
        <v>45474</v>
      </c>
      <c r="X2" s="20" t="str">
        <f>IF(U32="","",LOOKUP(9^9,U3:U32))</f>
        <v/>
      </c>
      <c r="Y2" s="17" t="str">
        <f ca="1">IF(AND(TODAY()&lt;W33,TODAY()&gt;W3),"Résultat        "&amp;FIXED($J$52,2),"")</f>
        <v/>
      </c>
      <c r="Z2" s="21">
        <f>EDATE($A$2,7)</f>
        <v>45505</v>
      </c>
      <c r="AA2" s="20" t="str">
        <f>IF(X33="","",LOOKUP(9^9,X3:X33))</f>
        <v/>
      </c>
      <c r="AB2" s="17" t="str">
        <f ca="1">IF(AND(TODAY()&lt;Z33,TODAY()&gt;Z3),"Résultat        "&amp;FIXED($J$52,2),"")</f>
        <v/>
      </c>
      <c r="AC2" s="15">
        <f>EDATE($A$2,8)</f>
        <v>45536</v>
      </c>
      <c r="AD2" s="20" t="str">
        <f>IF(AA33="","",LOOKUP(9^9,AA3:AA33))</f>
        <v/>
      </c>
      <c r="AE2" s="17" t="str">
        <f ca="1">IF(AND(TODAY()&lt;AC32,TODAY()&gt;AC3),"Résultat        "&amp;FIXED($J$52,2),"")</f>
        <v/>
      </c>
      <c r="AF2" s="15">
        <f>EDATE($A$2,9)</f>
        <v>45566</v>
      </c>
      <c r="AG2" s="20" t="str">
        <f>IF(AD32="","",LOOKUP(9^9,AD3:AD32))</f>
        <v/>
      </c>
      <c r="AH2" s="17" t="str">
        <f ca="1">IF(AND(TODAY()&lt;AF33,TODAY()&gt;AF3),"Résultat        "&amp;FIXED($J$52,2),"")</f>
        <v/>
      </c>
      <c r="AI2" s="15">
        <f>EDATE($A$2,10)</f>
        <v>45597</v>
      </c>
      <c r="AJ2" s="20" t="str">
        <f>IF(AG33="","",LOOKUP(9^9,AG3:AG33))</f>
        <v/>
      </c>
      <c r="AK2" s="17" t="str">
        <f ca="1">IF(AND(TODAY()&lt;AI32,TODAY()&gt;AI3),"Résultat        "&amp;FIXED($J$52,2),"")</f>
        <v/>
      </c>
      <c r="AL2" s="15">
        <f>EDATE($A$2,11)</f>
        <v>45627</v>
      </c>
      <c r="AM2" s="20" t="str">
        <f>IF(AJ32="","",LOOKUP(9^9,AJ3:AJ32))</f>
        <v/>
      </c>
      <c r="AN2" s="17" t="str">
        <f ca="1">IF(AND(TODAY()&lt;AL33,TODAY()&gt;AL3),"Résultat        "&amp;FIXED($J$52,2),"")</f>
        <v/>
      </c>
      <c r="AO2" s="22"/>
      <c r="AP2" s="23" t="s">
        <v>0</v>
      </c>
      <c r="AR2" s="13"/>
      <c r="AS2"/>
    </row>
    <row r="3" spans="1:46" ht="15" thickTop="1" thickBot="1" x14ac:dyDescent="0.35">
      <c r="A3" s="25">
        <v>1</v>
      </c>
      <c r="B3" s="26">
        <f t="shared" ref="B3:B33" si="0">DATE(YEAR($A$2),MONTH($B$2),DAY(A3))</f>
        <v>45292</v>
      </c>
      <c r="C3" s="27">
        <v>12.852</v>
      </c>
      <c r="D3" s="28"/>
      <c r="E3" s="28"/>
      <c r="F3" s="26">
        <f>DATE(YEAR($A$2),MONTH($F2),DAY(A3))</f>
        <v>45323</v>
      </c>
      <c r="G3" s="29">
        <v>12.938000000000001</v>
      </c>
      <c r="H3" s="30">
        <f>IF(OR(G3=G2,G3=""),"",(G3-G2)*69)</f>
        <v>-25.805999999999916</v>
      </c>
      <c r="I3" s="31">
        <f>IF(G3="","",1145.4-(69*G3))</f>
        <v>252.678</v>
      </c>
      <c r="J3" s="26">
        <f>DATE(YEAR($A$2),MONTH(J2),DAY($A3))</f>
        <v>45352</v>
      </c>
      <c r="K3" s="32">
        <v>12.6</v>
      </c>
      <c r="L3" s="30">
        <f>IF(OR(K3=K2,K3=""),"",(K3-K2)*69)</f>
        <v>5.5200000000000049</v>
      </c>
      <c r="M3" s="33">
        <f>IF(K3="","",1145.4-(69*K3))</f>
        <v>276.00000000000011</v>
      </c>
      <c r="N3" s="26">
        <f t="shared" ref="N3:N32" si="1">DATE(YEAR($A$2),MONTH($N$2),DAY($A3))</f>
        <v>45383</v>
      </c>
      <c r="O3" s="34">
        <v>13.819000000000001</v>
      </c>
      <c r="P3" s="30">
        <f>IF(OR(O3=O2,O3=""),"",(O3-O2)*69)</f>
        <v>0.20700000000000784</v>
      </c>
      <c r="Q3" s="26">
        <f t="shared" ref="Q3" si="2">DATE(YEAR($A$2),MONTH(Q2),DAY($A3))</f>
        <v>45413</v>
      </c>
      <c r="R3" s="32">
        <v>14.55</v>
      </c>
      <c r="S3" s="28">
        <f>IF(OR(R3=R2,R3=""),"",(R3-R2)*69)</f>
        <v>-169.04999999999995</v>
      </c>
      <c r="T3" s="26">
        <f t="shared" ref="T3" si="3">DATE(YEAR($A$2),MONTH(T2),DAY($A3))</f>
        <v>45444</v>
      </c>
      <c r="U3" s="35"/>
      <c r="V3" s="30" t="str">
        <f>IF(OR(U3=U2,U3=""),"",(U3-U2)*69)</f>
        <v/>
      </c>
      <c r="W3" s="26">
        <f t="shared" ref="W3:W33" si="4">DATE(YEAR($A$2),MONTH($W$2),DAY($A3))</f>
        <v>45474</v>
      </c>
      <c r="X3" s="36"/>
      <c r="Y3" s="28" t="str">
        <f>IF(OR(X3=X2,X3=""),"",(X3-X2)*69)</f>
        <v/>
      </c>
      <c r="Z3" s="37">
        <f t="shared" ref="Z3:Z33" si="5">DATE(YEAR($A$2),MONTH($Z$2),DAY($A3))</f>
        <v>45505</v>
      </c>
      <c r="AA3" s="29"/>
      <c r="AB3" s="28" t="str">
        <f>IF(OR(AA3=AA2,AA3=""),"",(AA3-AA2)*69)</f>
        <v/>
      </c>
      <c r="AC3" s="26">
        <f t="shared" ref="AC3" si="6">DATE(YEAR($A$2),MONTH(AC2),DAY($A3))</f>
        <v>45536</v>
      </c>
      <c r="AD3" s="38"/>
      <c r="AE3" s="28" t="str">
        <f>IF(OR(AD3=AD2,AD3=""),"",(AD3-AD2)*69)</f>
        <v/>
      </c>
      <c r="AF3" s="26">
        <f>DATE(YEAR($A$2),MONTH($AF2),DAY($A3))</f>
        <v>45566</v>
      </c>
      <c r="AG3" s="35"/>
      <c r="AH3" s="30" t="str">
        <f>IF(OR(AG3=AG2,AG3=""),"",(AG3-AG2)*69)</f>
        <v/>
      </c>
      <c r="AI3" s="26">
        <f t="shared" ref="AI3" si="7">DATE(YEAR($A$2),MONTH(AI2),DAY($A3))</f>
        <v>45597</v>
      </c>
      <c r="AJ3" s="29"/>
      <c r="AK3" s="39" t="str">
        <f>IF(OR(AJ3=AJ2,AJ3=""),"",(AJ3-AJ2)*69)</f>
        <v/>
      </c>
      <c r="AL3" s="26">
        <f t="shared" ref="AL3:AL32" si="8">DATE(YEAR($A$2),MONTH($AL$2),DAY($A3))</f>
        <v>45627</v>
      </c>
      <c r="AM3" s="40"/>
      <c r="AN3" s="30" t="str">
        <f>IF(OR(AM3=AM2,AM3=""),"",(AM3-AM2)*69)</f>
        <v/>
      </c>
      <c r="AO3" s="41"/>
      <c r="AP3" s="41"/>
    </row>
    <row r="4" spans="1:46" ht="16.5" customHeight="1" thickTop="1" x14ac:dyDescent="0.3">
      <c r="A4" s="42">
        <v>2</v>
      </c>
      <c r="B4" s="43">
        <f t="shared" si="0"/>
        <v>45293</v>
      </c>
      <c r="C4" s="44">
        <v>13.064</v>
      </c>
      <c r="D4" s="45">
        <f>IF(OR(C4=C3,C4=""),"",(C4-C3)*69)</f>
        <v>14.627999999999982</v>
      </c>
      <c r="E4" s="31">
        <f>IF(C4="","",1145.4-(69*C4))</f>
        <v>243.98400000000004</v>
      </c>
      <c r="F4" s="43">
        <f t="shared" ref="F4:F29" si="9">DATE(YEAR($A$2),MONTH($F$2),DAY(A4))</f>
        <v>45324</v>
      </c>
      <c r="G4" s="46">
        <v>13.138</v>
      </c>
      <c r="H4" s="47">
        <f>IF(OR(G4=G3,G4=""),"",(G4-G3)*69)</f>
        <v>13.799999999999951</v>
      </c>
      <c r="I4" s="48">
        <f t="shared" ref="I4:I31" si="10">IF(G4="","",1145.4-(69*G4))</f>
        <v>238.87800000000004</v>
      </c>
      <c r="J4" s="43">
        <f t="shared" ref="J4:J33" si="11">DATE(YEAR($A$2),MONTH($J$3),DAY(A4))</f>
        <v>45353</v>
      </c>
      <c r="K4" s="49">
        <v>12.6</v>
      </c>
      <c r="L4" s="45" t="str">
        <f>IF(OR(K4=K3,K4=""),"",(K4-K3)*69)</f>
        <v/>
      </c>
      <c r="M4" s="50">
        <f t="shared" ref="M4:M33" si="12">IF(K4="","",1145.4-(69*K4))</f>
        <v>276.00000000000011</v>
      </c>
      <c r="N4" s="43">
        <f t="shared" si="1"/>
        <v>45384</v>
      </c>
      <c r="O4" s="51">
        <v>13.875</v>
      </c>
      <c r="P4" s="47">
        <f>IF(OR(O4=O3,O4=""),"",(O4-O3)*69)</f>
        <v>3.8639999999999421</v>
      </c>
      <c r="Q4" s="43">
        <f t="shared" ref="Q4:Q33" si="13">DATE(YEAR($A$2),MONTH($Q$2),DAY($A4))</f>
        <v>45414</v>
      </c>
      <c r="R4" s="49">
        <v>14.61</v>
      </c>
      <c r="S4" s="45">
        <f>IF(OR(R4=R3,R4=""),"",(R4-R3)*69)</f>
        <v>4.1399999999999118</v>
      </c>
      <c r="T4" s="43">
        <f t="shared" ref="T4:T32" si="14">DATE(YEAR($A$2),MONTH($T$2),DAY($A4))</f>
        <v>45445</v>
      </c>
      <c r="U4" s="52"/>
      <c r="V4" s="47" t="str">
        <f t="shared" ref="V4:V32" si="15">IF(OR(U4=U3,U4=""),"",(U4-U3)*69)</f>
        <v/>
      </c>
      <c r="W4" s="43">
        <f t="shared" si="4"/>
        <v>45475</v>
      </c>
      <c r="X4" s="53"/>
      <c r="Y4" s="45" t="str">
        <f t="shared" ref="Y4:Y33" si="16">IF(OR(X4=X3,X4=""),"",(X4-X3)*69)</f>
        <v/>
      </c>
      <c r="Z4" s="37">
        <f t="shared" si="5"/>
        <v>45506</v>
      </c>
      <c r="AA4" s="54"/>
      <c r="AB4" s="45" t="str">
        <f t="shared" ref="AB4:AB33" si="17">IF(OR(AA4=AA3,AA4=""),"",(AA4-AA3)*69)</f>
        <v/>
      </c>
      <c r="AC4" s="43">
        <f>DATE(YEAR($A$2),MONTH(AC2),DAY($A4))</f>
        <v>45537</v>
      </c>
      <c r="AD4" s="55"/>
      <c r="AE4" s="45" t="str">
        <f t="shared" ref="AE4:AE32" si="18">IF(OR(AD4=AD3,AD4=""),"",(AD4-AD3)*69)</f>
        <v/>
      </c>
      <c r="AF4" s="43">
        <f t="shared" ref="AF4:AF33" si="19">DATE(YEAR($A$2),MONTH($AF$2),DAY($A4))</f>
        <v>45567</v>
      </c>
      <c r="AG4" s="56"/>
      <c r="AH4" s="47" t="str">
        <f t="shared" ref="AH4:AH33" si="20">IF(OR(AG4=AG3,AG4=""),"",(AG4-AG3)*69)</f>
        <v/>
      </c>
      <c r="AI4" s="43">
        <f t="shared" ref="AI4:AI32" si="21">DATE(YEAR($A$2),MONTH($AI$2),DAY($A4))</f>
        <v>45598</v>
      </c>
      <c r="AJ4" s="57"/>
      <c r="AK4" s="45" t="str">
        <f t="shared" ref="AK4:AK32" si="22">IF(OR(AJ4=AJ3,AJ4=""),"",(AJ4-AJ3)*69)</f>
        <v/>
      </c>
      <c r="AL4" s="43">
        <f t="shared" si="8"/>
        <v>45628</v>
      </c>
      <c r="AM4" s="54"/>
      <c r="AN4" s="47" t="str">
        <f t="shared" ref="AN4:AN33" si="23">IF(OR(AM4=AM3,AM4=""),"",(AM4-AM3)*69)</f>
        <v/>
      </c>
      <c r="AO4" s="41"/>
      <c r="AP4" s="41"/>
      <c r="AQ4" s="58"/>
      <c r="AR4" s="59" t="s">
        <v>1</v>
      </c>
      <c r="AT4" s="13" t="s">
        <v>2</v>
      </c>
    </row>
    <row r="5" spans="1:46" ht="16.5" customHeight="1" thickBot="1" x14ac:dyDescent="0.35">
      <c r="A5" s="42">
        <v>3</v>
      </c>
      <c r="B5" s="43">
        <f t="shared" si="0"/>
        <v>45294</v>
      </c>
      <c r="C5" s="44">
        <v>12.952</v>
      </c>
      <c r="D5" s="45">
        <f t="shared" ref="D5:D33" si="24">IF(OR(C5=C4,C5=""),"",(C5-C4)*69)</f>
        <v>-7.7280000000000069</v>
      </c>
      <c r="E5" s="48">
        <f>IF(C5="","",1145.4-(69*C5))</f>
        <v>251.7120000000001</v>
      </c>
      <c r="F5" s="43">
        <f t="shared" si="9"/>
        <v>45325</v>
      </c>
      <c r="G5" s="46">
        <v>13.138</v>
      </c>
      <c r="H5" s="47" t="str">
        <f t="shared" ref="H5:H31" si="25">IF(OR(G5=G4,G5=""),"",(G5-G4)*69)</f>
        <v/>
      </c>
      <c r="I5" s="48">
        <f t="shared" si="10"/>
        <v>238.87800000000004</v>
      </c>
      <c r="J5" s="43">
        <f t="shared" si="11"/>
        <v>45354</v>
      </c>
      <c r="K5" s="49">
        <v>12.6</v>
      </c>
      <c r="L5" s="45" t="str">
        <f>IF(OR(K5=K4,K5=""),"",(K5-K4)*69)</f>
        <v/>
      </c>
      <c r="M5" s="50">
        <f t="shared" si="12"/>
        <v>276.00000000000011</v>
      </c>
      <c r="N5" s="43">
        <f t="shared" si="1"/>
        <v>45385</v>
      </c>
      <c r="O5" s="51">
        <v>14.055</v>
      </c>
      <c r="P5" s="47">
        <f t="shared" ref="P5:P32" si="26">IF(OR(O5=O4,O5=""),"",(O5-O4)*69)</f>
        <v>12.41999999999998</v>
      </c>
      <c r="Q5" s="43">
        <f t="shared" si="13"/>
        <v>45415</v>
      </c>
      <c r="R5" s="49">
        <v>14.77</v>
      </c>
      <c r="S5" s="45">
        <f t="shared" ref="S5:S33" si="27">IF(OR(R5=R4,R5=""),"",(R5-R4)*69)</f>
        <v>11.04000000000001</v>
      </c>
      <c r="T5" s="43">
        <f t="shared" si="14"/>
        <v>45446</v>
      </c>
      <c r="U5" s="52"/>
      <c r="V5" s="47" t="str">
        <f t="shared" si="15"/>
        <v/>
      </c>
      <c r="W5" s="43">
        <f t="shared" si="4"/>
        <v>45476</v>
      </c>
      <c r="X5" s="53"/>
      <c r="Y5" s="45" t="str">
        <f t="shared" si="16"/>
        <v/>
      </c>
      <c r="Z5" s="37">
        <f t="shared" si="5"/>
        <v>45507</v>
      </c>
      <c r="AA5" s="54"/>
      <c r="AB5" s="45" t="str">
        <f t="shared" si="17"/>
        <v/>
      </c>
      <c r="AC5" s="43">
        <f t="shared" ref="AC5:AC32" si="28">DATE(YEAR($A$2),MONTH(AC3),DAY($A5))</f>
        <v>45538</v>
      </c>
      <c r="AD5" s="60"/>
      <c r="AE5" s="45" t="str">
        <f t="shared" si="18"/>
        <v/>
      </c>
      <c r="AF5" s="43">
        <f t="shared" si="19"/>
        <v>45568</v>
      </c>
      <c r="AG5" s="56"/>
      <c r="AH5" s="47" t="str">
        <f t="shared" si="20"/>
        <v/>
      </c>
      <c r="AI5" s="43">
        <f t="shared" si="21"/>
        <v>45599</v>
      </c>
      <c r="AJ5" s="54"/>
      <c r="AK5" s="45" t="str">
        <f t="shared" si="22"/>
        <v/>
      </c>
      <c r="AL5" s="43">
        <f t="shared" si="8"/>
        <v>45629</v>
      </c>
      <c r="AM5" s="54"/>
      <c r="AN5" s="47" t="str">
        <f t="shared" si="23"/>
        <v/>
      </c>
      <c r="AO5" s="41"/>
      <c r="AP5" s="41"/>
      <c r="AR5" s="59">
        <f>YEAR($A$2)</f>
        <v>2024</v>
      </c>
      <c r="AT5" s="13" t="s">
        <v>3</v>
      </c>
    </row>
    <row r="6" spans="1:46" ht="16.5" customHeight="1" x14ac:dyDescent="0.3">
      <c r="A6" s="42">
        <v>4</v>
      </c>
      <c r="B6" s="43">
        <f t="shared" si="0"/>
        <v>45295</v>
      </c>
      <c r="C6" s="44">
        <v>13.14</v>
      </c>
      <c r="D6" s="45">
        <f t="shared" si="24"/>
        <v>12.972000000000042</v>
      </c>
      <c r="E6" s="48">
        <f t="shared" ref="E6:E33" si="29">IF(C6="","",1145.4-(69*C6))</f>
        <v>238.74</v>
      </c>
      <c r="F6" s="43">
        <f t="shared" si="9"/>
        <v>45326</v>
      </c>
      <c r="G6" s="46">
        <v>13.138</v>
      </c>
      <c r="H6" s="47" t="str">
        <f t="shared" si="25"/>
        <v/>
      </c>
      <c r="I6" s="48">
        <f t="shared" si="10"/>
        <v>238.87800000000004</v>
      </c>
      <c r="J6" s="43">
        <f t="shared" si="11"/>
        <v>45355</v>
      </c>
      <c r="K6" s="49">
        <v>12.598000000000001</v>
      </c>
      <c r="L6" s="45">
        <f t="shared" ref="L6:L33" si="30">IF(OR(K6=K5,K6=""),"",(K6-K5)*69)</f>
        <v>-0.13799999999992352</v>
      </c>
      <c r="M6" s="50">
        <f t="shared" si="12"/>
        <v>276.13800000000003</v>
      </c>
      <c r="N6" s="43">
        <f t="shared" si="1"/>
        <v>45386</v>
      </c>
      <c r="O6" s="51">
        <v>14.145</v>
      </c>
      <c r="P6" s="47">
        <f t="shared" si="26"/>
        <v>6.2099999999999902</v>
      </c>
      <c r="Q6" s="43">
        <f t="shared" si="13"/>
        <v>45416</v>
      </c>
      <c r="R6" s="49">
        <v>14.77</v>
      </c>
      <c r="S6" s="45" t="str">
        <f t="shared" si="27"/>
        <v/>
      </c>
      <c r="T6" s="43">
        <f t="shared" si="14"/>
        <v>45447</v>
      </c>
      <c r="U6" s="52"/>
      <c r="V6" s="47" t="str">
        <f t="shared" si="15"/>
        <v/>
      </c>
      <c r="W6" s="43">
        <f t="shared" si="4"/>
        <v>45477</v>
      </c>
      <c r="X6" s="53"/>
      <c r="Y6" s="45" t="str">
        <f t="shared" si="16"/>
        <v/>
      </c>
      <c r="Z6" s="37">
        <f t="shared" si="5"/>
        <v>45508</v>
      </c>
      <c r="AA6" s="54"/>
      <c r="AB6" s="45" t="str">
        <f t="shared" si="17"/>
        <v/>
      </c>
      <c r="AC6" s="43">
        <f t="shared" si="28"/>
        <v>45539</v>
      </c>
      <c r="AD6" s="60"/>
      <c r="AE6" s="45" t="str">
        <f t="shared" si="18"/>
        <v/>
      </c>
      <c r="AF6" s="43">
        <f t="shared" si="19"/>
        <v>45569</v>
      </c>
      <c r="AG6" s="56"/>
      <c r="AH6" s="47" t="str">
        <f t="shared" si="20"/>
        <v/>
      </c>
      <c r="AI6" s="43">
        <f t="shared" si="21"/>
        <v>45600</v>
      </c>
      <c r="AJ6" s="54"/>
      <c r="AK6" s="45" t="str">
        <f t="shared" si="22"/>
        <v/>
      </c>
      <c r="AL6" s="43">
        <f t="shared" si="8"/>
        <v>45630</v>
      </c>
      <c r="AM6" s="54"/>
      <c r="AN6" s="47" t="str">
        <f t="shared" si="23"/>
        <v/>
      </c>
      <c r="AO6" s="41"/>
      <c r="AP6" s="41"/>
      <c r="AQ6" s="61" t="s">
        <v>4</v>
      </c>
      <c r="AR6" s="62">
        <f>DATE($AR$5,1,1)</f>
        <v>45292</v>
      </c>
      <c r="AT6" s="63" t="s">
        <v>5</v>
      </c>
    </row>
    <row r="7" spans="1:46" ht="16.5" customHeight="1" x14ac:dyDescent="0.3">
      <c r="A7" s="42">
        <v>5</v>
      </c>
      <c r="B7" s="43">
        <f t="shared" si="0"/>
        <v>45296</v>
      </c>
      <c r="C7" s="44">
        <v>13.25</v>
      </c>
      <c r="D7" s="45">
        <f t="shared" si="24"/>
        <v>7.5899999999999608</v>
      </c>
      <c r="E7" s="48">
        <f t="shared" si="29"/>
        <v>231.15000000000009</v>
      </c>
      <c r="F7" s="43">
        <f t="shared" si="9"/>
        <v>45327</v>
      </c>
      <c r="G7" s="46">
        <v>13.055999999999999</v>
      </c>
      <c r="H7" s="47">
        <f t="shared" si="25"/>
        <v>-5.658000000000051</v>
      </c>
      <c r="I7" s="48">
        <f t="shared" si="10"/>
        <v>244.53600000000017</v>
      </c>
      <c r="J7" s="43">
        <f t="shared" si="11"/>
        <v>45356</v>
      </c>
      <c r="K7" s="49">
        <v>12.564</v>
      </c>
      <c r="L7" s="45">
        <f t="shared" si="30"/>
        <v>-2.346000000000048</v>
      </c>
      <c r="M7" s="50">
        <f t="shared" si="12"/>
        <v>278.48400000000004</v>
      </c>
      <c r="N7" s="43">
        <f t="shared" si="1"/>
        <v>45387</v>
      </c>
      <c r="O7" s="51">
        <v>14.105</v>
      </c>
      <c r="P7" s="47">
        <f t="shared" si="26"/>
        <v>-2.7599999999999412</v>
      </c>
      <c r="Q7" s="43">
        <f t="shared" si="13"/>
        <v>45417</v>
      </c>
      <c r="R7" s="49">
        <v>14.77</v>
      </c>
      <c r="S7" s="45" t="str">
        <f t="shared" si="27"/>
        <v/>
      </c>
      <c r="T7" s="43">
        <f t="shared" si="14"/>
        <v>45448</v>
      </c>
      <c r="U7" s="52"/>
      <c r="V7" s="47" t="str">
        <f t="shared" si="15"/>
        <v/>
      </c>
      <c r="W7" s="43">
        <f t="shared" si="4"/>
        <v>45478</v>
      </c>
      <c r="X7" s="53"/>
      <c r="Y7" s="45" t="str">
        <f t="shared" si="16"/>
        <v/>
      </c>
      <c r="Z7" s="37">
        <f t="shared" si="5"/>
        <v>45509</v>
      </c>
      <c r="AA7" s="57"/>
      <c r="AB7" s="45" t="str">
        <f t="shared" si="17"/>
        <v/>
      </c>
      <c r="AC7" s="43">
        <f t="shared" si="28"/>
        <v>45540</v>
      </c>
      <c r="AD7" s="60"/>
      <c r="AE7" s="45" t="str">
        <f t="shared" si="18"/>
        <v/>
      </c>
      <c r="AF7" s="43">
        <f t="shared" si="19"/>
        <v>45570</v>
      </c>
      <c r="AG7" s="56"/>
      <c r="AH7" s="47" t="str">
        <f t="shared" si="20"/>
        <v/>
      </c>
      <c r="AI7" s="43">
        <f t="shared" si="21"/>
        <v>45601</v>
      </c>
      <c r="AJ7" s="54"/>
      <c r="AK7" s="45" t="str">
        <f t="shared" si="22"/>
        <v/>
      </c>
      <c r="AL7" s="43">
        <f t="shared" si="8"/>
        <v>45631</v>
      </c>
      <c r="AM7" s="54"/>
      <c r="AN7" s="47" t="str">
        <f t="shared" si="23"/>
        <v/>
      </c>
      <c r="AO7" s="41"/>
      <c r="AP7" s="41"/>
      <c r="AQ7" s="64" t="s">
        <v>6</v>
      </c>
      <c r="AR7" s="65"/>
      <c r="AS7" s="66">
        <v>45025</v>
      </c>
      <c r="AT7" s="63"/>
    </row>
    <row r="8" spans="1:46" ht="16.5" customHeight="1" x14ac:dyDescent="0.3">
      <c r="A8" s="42">
        <v>6</v>
      </c>
      <c r="B8" s="43">
        <f t="shared" si="0"/>
        <v>45297</v>
      </c>
      <c r="C8" s="44">
        <v>13.25</v>
      </c>
      <c r="D8" s="45" t="str">
        <f t="shared" si="24"/>
        <v/>
      </c>
      <c r="E8" s="48">
        <f t="shared" si="29"/>
        <v>231.15000000000009</v>
      </c>
      <c r="F8" s="43">
        <f t="shared" si="9"/>
        <v>45328</v>
      </c>
      <c r="G8" s="46">
        <v>13.066000000000001</v>
      </c>
      <c r="H8" s="47">
        <f t="shared" si="25"/>
        <v>0.69000000000010786</v>
      </c>
      <c r="I8" s="48">
        <f t="shared" si="10"/>
        <v>243.846</v>
      </c>
      <c r="J8" s="43">
        <f t="shared" si="11"/>
        <v>45357</v>
      </c>
      <c r="K8" s="49">
        <v>12.54</v>
      </c>
      <c r="L8" s="45">
        <f t="shared" si="30"/>
        <v>-1.6560000000000628</v>
      </c>
      <c r="M8" s="50">
        <f t="shared" si="12"/>
        <v>280.1400000000001</v>
      </c>
      <c r="N8" s="43">
        <f t="shared" si="1"/>
        <v>45388</v>
      </c>
      <c r="O8" s="51">
        <v>14.105</v>
      </c>
      <c r="P8" s="47" t="str">
        <f t="shared" si="26"/>
        <v/>
      </c>
      <c r="Q8" s="43">
        <f t="shared" si="13"/>
        <v>45418</v>
      </c>
      <c r="R8" s="49">
        <v>15</v>
      </c>
      <c r="S8" s="45">
        <f t="shared" si="27"/>
        <v>15.870000000000029</v>
      </c>
      <c r="T8" s="43">
        <f t="shared" si="14"/>
        <v>45449</v>
      </c>
      <c r="U8" s="52"/>
      <c r="V8" s="47" t="str">
        <f t="shared" si="15"/>
        <v/>
      </c>
      <c r="W8" s="43">
        <f t="shared" si="4"/>
        <v>45479</v>
      </c>
      <c r="X8" s="53"/>
      <c r="Y8" s="45" t="str">
        <f t="shared" si="16"/>
        <v/>
      </c>
      <c r="Z8" s="37">
        <f t="shared" si="5"/>
        <v>45510</v>
      </c>
      <c r="AA8" s="57"/>
      <c r="AB8" s="45" t="str">
        <f t="shared" si="17"/>
        <v/>
      </c>
      <c r="AC8" s="43">
        <f t="shared" si="28"/>
        <v>45541</v>
      </c>
      <c r="AD8" s="60"/>
      <c r="AE8" s="45" t="str">
        <f t="shared" si="18"/>
        <v/>
      </c>
      <c r="AF8" s="43">
        <f t="shared" si="19"/>
        <v>45571</v>
      </c>
      <c r="AG8" s="56"/>
      <c r="AH8" s="47" t="str">
        <f t="shared" si="20"/>
        <v/>
      </c>
      <c r="AI8" s="43">
        <f t="shared" si="21"/>
        <v>45602</v>
      </c>
      <c r="AJ8" s="54"/>
      <c r="AK8" s="45" t="str">
        <f t="shared" si="22"/>
        <v/>
      </c>
      <c r="AL8" s="43">
        <f t="shared" si="8"/>
        <v>45632</v>
      </c>
      <c r="AM8" s="54"/>
      <c r="AN8" s="47" t="str">
        <f t="shared" si="23"/>
        <v/>
      </c>
      <c r="AO8" s="41"/>
      <c r="AP8" s="41"/>
      <c r="AQ8" s="64" t="s">
        <v>7</v>
      </c>
      <c r="AR8" s="67">
        <f>+AS7+1</f>
        <v>45026</v>
      </c>
      <c r="AS8">
        <v>1</v>
      </c>
      <c r="AT8" s="63" t="s">
        <v>5</v>
      </c>
    </row>
    <row r="9" spans="1:46" ht="16.5" customHeight="1" x14ac:dyDescent="0.3">
      <c r="A9" s="42">
        <v>7</v>
      </c>
      <c r="B9" s="43">
        <f t="shared" si="0"/>
        <v>45298</v>
      </c>
      <c r="C9" s="44">
        <v>13.25</v>
      </c>
      <c r="D9" s="45" t="str">
        <f t="shared" si="24"/>
        <v/>
      </c>
      <c r="E9" s="48">
        <f t="shared" si="29"/>
        <v>231.15000000000009</v>
      </c>
      <c r="F9" s="43">
        <f t="shared" si="9"/>
        <v>45329</v>
      </c>
      <c r="G9" s="46">
        <v>13.02</v>
      </c>
      <c r="H9" s="47">
        <f t="shared" si="25"/>
        <v>-3.1740000000000794</v>
      </c>
      <c r="I9" s="48">
        <f t="shared" si="10"/>
        <v>247.0200000000001</v>
      </c>
      <c r="J9" s="43">
        <f t="shared" si="11"/>
        <v>45358</v>
      </c>
      <c r="K9" s="49">
        <v>12.804</v>
      </c>
      <c r="L9" s="45">
        <f t="shared" si="30"/>
        <v>18.216000000000079</v>
      </c>
      <c r="M9" s="50">
        <f t="shared" si="12"/>
        <v>261.92400000000009</v>
      </c>
      <c r="N9" s="43">
        <f t="shared" si="1"/>
        <v>45389</v>
      </c>
      <c r="O9" s="51">
        <v>14.105</v>
      </c>
      <c r="P9" s="47" t="str">
        <f t="shared" si="26"/>
        <v/>
      </c>
      <c r="Q9" s="43">
        <f t="shared" si="13"/>
        <v>45419</v>
      </c>
      <c r="R9" s="49">
        <v>15.275</v>
      </c>
      <c r="S9" s="45">
        <f t="shared" si="27"/>
        <v>18.975000000000023</v>
      </c>
      <c r="T9" s="43">
        <f t="shared" si="14"/>
        <v>45450</v>
      </c>
      <c r="U9" s="52"/>
      <c r="V9" s="47" t="str">
        <f t="shared" si="15"/>
        <v/>
      </c>
      <c r="W9" s="43">
        <f t="shared" si="4"/>
        <v>45480</v>
      </c>
      <c r="X9" s="53"/>
      <c r="Y9" s="45" t="str">
        <f t="shared" si="16"/>
        <v/>
      </c>
      <c r="Z9" s="37">
        <f t="shared" si="5"/>
        <v>45511</v>
      </c>
      <c r="AA9" s="54"/>
      <c r="AB9" s="45" t="str">
        <f t="shared" si="17"/>
        <v/>
      </c>
      <c r="AC9" s="43">
        <f t="shared" si="28"/>
        <v>45542</v>
      </c>
      <c r="AD9" s="60"/>
      <c r="AE9" s="45" t="str">
        <f t="shared" si="18"/>
        <v/>
      </c>
      <c r="AF9" s="43">
        <f t="shared" si="19"/>
        <v>45572</v>
      </c>
      <c r="AG9" s="56"/>
      <c r="AH9" s="47" t="str">
        <f t="shared" si="20"/>
        <v/>
      </c>
      <c r="AI9" s="43">
        <f t="shared" si="21"/>
        <v>45603</v>
      </c>
      <c r="AJ9" s="54"/>
      <c r="AK9" s="45" t="str">
        <f t="shared" si="22"/>
        <v/>
      </c>
      <c r="AL9" s="43">
        <f t="shared" si="8"/>
        <v>45633</v>
      </c>
      <c r="AM9" s="54"/>
      <c r="AN9" s="47" t="str">
        <f t="shared" si="23"/>
        <v/>
      </c>
      <c r="AO9" s="41"/>
      <c r="AP9" s="41"/>
      <c r="AQ9" s="61" t="s">
        <v>8</v>
      </c>
      <c r="AR9" s="68">
        <f>DATE($AR$5,5,1)</f>
        <v>45413</v>
      </c>
      <c r="AT9" s="63" t="s">
        <v>5</v>
      </c>
    </row>
    <row r="10" spans="1:46" ht="16.5" customHeight="1" x14ac:dyDescent="0.3">
      <c r="A10" s="42">
        <v>8</v>
      </c>
      <c r="B10" s="43">
        <f t="shared" si="0"/>
        <v>45299</v>
      </c>
      <c r="C10" s="44">
        <v>13.34</v>
      </c>
      <c r="D10" s="45">
        <f t="shared" si="24"/>
        <v>6.2099999999999902</v>
      </c>
      <c r="E10" s="48">
        <f t="shared" si="29"/>
        <v>224.94000000000005</v>
      </c>
      <c r="F10" s="43">
        <f t="shared" si="9"/>
        <v>45330</v>
      </c>
      <c r="G10" s="46">
        <v>12.364000000000001</v>
      </c>
      <c r="H10" s="47">
        <f t="shared" si="25"/>
        <v>-45.263999999999918</v>
      </c>
      <c r="I10" s="48">
        <f t="shared" si="10"/>
        <v>292.28399999999999</v>
      </c>
      <c r="J10" s="43">
        <f t="shared" si="11"/>
        <v>45359</v>
      </c>
      <c r="K10" s="49">
        <v>12.773999999999999</v>
      </c>
      <c r="L10" s="45">
        <f t="shared" si="30"/>
        <v>-2.0700000000000784</v>
      </c>
      <c r="M10" s="50">
        <f t="shared" si="12"/>
        <v>263.99400000000014</v>
      </c>
      <c r="N10" s="43">
        <f t="shared" si="1"/>
        <v>45390</v>
      </c>
      <c r="O10" s="51">
        <v>14.13</v>
      </c>
      <c r="P10" s="47">
        <f t="shared" si="26"/>
        <v>1.7250000000000245</v>
      </c>
      <c r="Q10" s="43">
        <f t="shared" si="13"/>
        <v>45420</v>
      </c>
      <c r="R10" s="49">
        <v>15.39</v>
      </c>
      <c r="S10" s="45">
        <f t="shared" si="27"/>
        <v>7.9350000000000147</v>
      </c>
      <c r="T10" s="43">
        <f t="shared" si="14"/>
        <v>45451</v>
      </c>
      <c r="U10" s="52"/>
      <c r="V10" s="47" t="str">
        <f t="shared" si="15"/>
        <v/>
      </c>
      <c r="W10" s="43">
        <f t="shared" si="4"/>
        <v>45481</v>
      </c>
      <c r="X10" s="53"/>
      <c r="Y10" s="45" t="str">
        <f t="shared" si="16"/>
        <v/>
      </c>
      <c r="Z10" s="37">
        <f t="shared" si="5"/>
        <v>45512</v>
      </c>
      <c r="AA10" s="54"/>
      <c r="AB10" s="45" t="str">
        <f t="shared" si="17"/>
        <v/>
      </c>
      <c r="AC10" s="43">
        <f t="shared" si="28"/>
        <v>45543</v>
      </c>
      <c r="AD10" s="60"/>
      <c r="AE10" s="45" t="str">
        <f t="shared" si="18"/>
        <v/>
      </c>
      <c r="AF10" s="43">
        <f t="shared" si="19"/>
        <v>45573</v>
      </c>
      <c r="AG10" s="56"/>
      <c r="AH10" s="47" t="str">
        <f t="shared" si="20"/>
        <v/>
      </c>
      <c r="AI10" s="43">
        <f t="shared" si="21"/>
        <v>45604</v>
      </c>
      <c r="AJ10" s="54"/>
      <c r="AK10" s="45" t="str">
        <f t="shared" si="22"/>
        <v/>
      </c>
      <c r="AL10" s="43">
        <f t="shared" si="8"/>
        <v>45634</v>
      </c>
      <c r="AM10" s="54"/>
      <c r="AN10" s="47" t="str">
        <f t="shared" si="23"/>
        <v/>
      </c>
      <c r="AO10" s="41"/>
      <c r="AP10" s="41"/>
      <c r="AQ10" s="61" t="s">
        <v>9</v>
      </c>
      <c r="AR10" s="68">
        <f>DATE($AR$5,5,8)</f>
        <v>45420</v>
      </c>
      <c r="AT10" s="69" t="s">
        <v>10</v>
      </c>
    </row>
    <row r="11" spans="1:46" ht="16.5" customHeight="1" x14ac:dyDescent="0.3">
      <c r="A11" s="42">
        <v>9</v>
      </c>
      <c r="B11" s="43">
        <f t="shared" si="0"/>
        <v>45300</v>
      </c>
      <c r="C11" s="44">
        <v>13.318</v>
      </c>
      <c r="D11" s="45">
        <f t="shared" si="24"/>
        <v>-1.5180000000000167</v>
      </c>
      <c r="E11" s="48">
        <f t="shared" si="29"/>
        <v>226.45800000000008</v>
      </c>
      <c r="F11" s="43">
        <f t="shared" si="9"/>
        <v>45331</v>
      </c>
      <c r="G11" s="46">
        <v>12.21</v>
      </c>
      <c r="H11" s="47">
        <f t="shared" si="25"/>
        <v>-10.625999999999994</v>
      </c>
      <c r="I11" s="48">
        <f t="shared" si="10"/>
        <v>302.91000000000008</v>
      </c>
      <c r="J11" s="43">
        <f t="shared" si="11"/>
        <v>45360</v>
      </c>
      <c r="K11" s="49">
        <v>12.773999999999999</v>
      </c>
      <c r="L11" s="45" t="str">
        <f t="shared" si="30"/>
        <v/>
      </c>
      <c r="M11" s="50">
        <f t="shared" si="12"/>
        <v>263.99400000000014</v>
      </c>
      <c r="N11" s="43">
        <f t="shared" si="1"/>
        <v>45391</v>
      </c>
      <c r="O11" s="51">
        <v>14.065</v>
      </c>
      <c r="P11" s="47">
        <f t="shared" si="26"/>
        <v>-4.4850000000000882</v>
      </c>
      <c r="Q11" s="43">
        <f t="shared" si="13"/>
        <v>45421</v>
      </c>
      <c r="R11" s="49">
        <v>15.43</v>
      </c>
      <c r="S11" s="45">
        <f t="shared" si="27"/>
        <v>2.7599999999999412</v>
      </c>
      <c r="T11" s="43">
        <f t="shared" si="14"/>
        <v>45452</v>
      </c>
      <c r="U11" s="52"/>
      <c r="V11" s="47" t="str">
        <f t="shared" si="15"/>
        <v/>
      </c>
      <c r="W11" s="43">
        <f t="shared" si="4"/>
        <v>45482</v>
      </c>
      <c r="X11" s="53"/>
      <c r="Y11" s="45" t="str">
        <f t="shared" si="16"/>
        <v/>
      </c>
      <c r="Z11" s="37">
        <f t="shared" si="5"/>
        <v>45513</v>
      </c>
      <c r="AA11" s="54"/>
      <c r="AB11" s="45" t="str">
        <f t="shared" si="17"/>
        <v/>
      </c>
      <c r="AC11" s="43">
        <f t="shared" si="28"/>
        <v>45544</v>
      </c>
      <c r="AD11" s="60"/>
      <c r="AE11" s="45" t="str">
        <f t="shared" si="18"/>
        <v/>
      </c>
      <c r="AF11" s="43">
        <f t="shared" si="19"/>
        <v>45574</v>
      </c>
      <c r="AG11" s="56"/>
      <c r="AH11" s="47" t="str">
        <f t="shared" si="20"/>
        <v/>
      </c>
      <c r="AI11" s="43">
        <f t="shared" si="21"/>
        <v>45605</v>
      </c>
      <c r="AJ11" s="54"/>
      <c r="AK11" s="45" t="str">
        <f t="shared" si="22"/>
        <v/>
      </c>
      <c r="AL11" s="43">
        <f t="shared" si="8"/>
        <v>45635</v>
      </c>
      <c r="AM11" s="54"/>
      <c r="AN11" s="47" t="str">
        <f t="shared" si="23"/>
        <v/>
      </c>
      <c r="AO11" s="41"/>
      <c r="AP11" s="41"/>
      <c r="AQ11" s="64" t="s">
        <v>11</v>
      </c>
      <c r="AR11" s="67">
        <f>+AS7+39</f>
        <v>45064</v>
      </c>
      <c r="AS11">
        <v>39</v>
      </c>
      <c r="AT11" s="69" t="s">
        <v>10</v>
      </c>
    </row>
    <row r="12" spans="1:46" ht="16.5" customHeight="1" x14ac:dyDescent="0.3">
      <c r="A12" s="42">
        <v>10</v>
      </c>
      <c r="B12" s="43">
        <f t="shared" si="0"/>
        <v>45301</v>
      </c>
      <c r="C12" s="44">
        <v>13.26</v>
      </c>
      <c r="D12" s="45">
        <f t="shared" si="24"/>
        <v>-4.0019999999999882</v>
      </c>
      <c r="E12" s="48">
        <f t="shared" si="29"/>
        <v>230.46000000000015</v>
      </c>
      <c r="F12" s="43">
        <f t="shared" si="9"/>
        <v>45332</v>
      </c>
      <c r="G12" s="46">
        <v>12.21</v>
      </c>
      <c r="H12" s="47" t="str">
        <f t="shared" si="25"/>
        <v/>
      </c>
      <c r="I12" s="48">
        <f t="shared" si="10"/>
        <v>302.91000000000008</v>
      </c>
      <c r="J12" s="43">
        <f t="shared" si="11"/>
        <v>45361</v>
      </c>
      <c r="K12" s="49">
        <v>12.773999999999999</v>
      </c>
      <c r="L12" s="45" t="str">
        <f t="shared" si="30"/>
        <v/>
      </c>
      <c r="M12" s="50">
        <f t="shared" si="12"/>
        <v>263.99400000000014</v>
      </c>
      <c r="N12" s="43">
        <f t="shared" si="1"/>
        <v>45392</v>
      </c>
      <c r="O12" s="46">
        <v>14.05</v>
      </c>
      <c r="P12" s="47">
        <f t="shared" si="26"/>
        <v>-1.0349999999999167</v>
      </c>
      <c r="Q12" s="43">
        <f t="shared" si="13"/>
        <v>45422</v>
      </c>
      <c r="R12" s="49">
        <v>15.45</v>
      </c>
      <c r="S12" s="45">
        <f t="shared" si="27"/>
        <v>1.3799999999999706</v>
      </c>
      <c r="T12" s="43">
        <f t="shared" si="14"/>
        <v>45453</v>
      </c>
      <c r="U12" s="52"/>
      <c r="V12" s="47" t="str">
        <f t="shared" si="15"/>
        <v/>
      </c>
      <c r="W12" s="43">
        <f t="shared" si="4"/>
        <v>45483</v>
      </c>
      <c r="X12" s="53"/>
      <c r="Y12" s="45" t="str">
        <f t="shared" si="16"/>
        <v/>
      </c>
      <c r="Z12" s="37">
        <f t="shared" si="5"/>
        <v>45514</v>
      </c>
      <c r="AA12" s="54"/>
      <c r="AB12" s="45" t="str">
        <f t="shared" si="17"/>
        <v/>
      </c>
      <c r="AC12" s="43">
        <f t="shared" si="28"/>
        <v>45545</v>
      </c>
      <c r="AD12" s="60"/>
      <c r="AE12" s="45" t="str">
        <f t="shared" si="18"/>
        <v/>
      </c>
      <c r="AF12" s="43">
        <f t="shared" si="19"/>
        <v>45575</v>
      </c>
      <c r="AG12" s="56"/>
      <c r="AH12" s="47" t="str">
        <f t="shared" si="20"/>
        <v/>
      </c>
      <c r="AI12" s="43">
        <f t="shared" si="21"/>
        <v>45606</v>
      </c>
      <c r="AJ12" s="54"/>
      <c r="AK12" s="45" t="str">
        <f t="shared" si="22"/>
        <v/>
      </c>
      <c r="AL12" s="43">
        <f t="shared" si="8"/>
        <v>45636</v>
      </c>
      <c r="AM12" s="54"/>
      <c r="AN12" s="47" t="str">
        <f t="shared" si="23"/>
        <v/>
      </c>
      <c r="AO12" s="41"/>
      <c r="AP12" s="41"/>
      <c r="AQ12" s="64"/>
      <c r="AR12" s="67"/>
    </row>
    <row r="13" spans="1:46" ht="16.5" customHeight="1" x14ac:dyDescent="0.3">
      <c r="A13" s="42">
        <v>11</v>
      </c>
      <c r="B13" s="43">
        <f t="shared" si="0"/>
        <v>45302</v>
      </c>
      <c r="C13" s="44">
        <v>13.076000000000001</v>
      </c>
      <c r="D13" s="45">
        <f t="shared" si="24"/>
        <v>-12.69599999999995</v>
      </c>
      <c r="E13" s="48">
        <f t="shared" si="29"/>
        <v>243.15600000000006</v>
      </c>
      <c r="F13" s="43">
        <f t="shared" si="9"/>
        <v>45333</v>
      </c>
      <c r="G13" s="46">
        <v>12.21</v>
      </c>
      <c r="H13" s="47" t="str">
        <f t="shared" si="25"/>
        <v/>
      </c>
      <c r="I13" s="48">
        <f t="shared" si="10"/>
        <v>302.91000000000008</v>
      </c>
      <c r="J13" s="43">
        <f t="shared" si="11"/>
        <v>45362</v>
      </c>
      <c r="K13" s="49">
        <v>12.882</v>
      </c>
      <c r="L13" s="45">
        <f t="shared" si="30"/>
        <v>7.4520000000000373</v>
      </c>
      <c r="M13" s="50">
        <f t="shared" si="12"/>
        <v>256.54200000000014</v>
      </c>
      <c r="N13" s="43">
        <f t="shared" si="1"/>
        <v>45393</v>
      </c>
      <c r="O13" s="46">
        <v>13.775</v>
      </c>
      <c r="P13" s="47">
        <f t="shared" si="26"/>
        <v>-18.975000000000023</v>
      </c>
      <c r="Q13" s="43">
        <f t="shared" si="13"/>
        <v>45423</v>
      </c>
      <c r="R13" s="49">
        <v>15.45</v>
      </c>
      <c r="S13" s="45" t="str">
        <f t="shared" si="27"/>
        <v/>
      </c>
      <c r="T13" s="43">
        <f t="shared" si="14"/>
        <v>45454</v>
      </c>
      <c r="U13" s="52"/>
      <c r="V13" s="47" t="str">
        <f t="shared" si="15"/>
        <v/>
      </c>
      <c r="W13" s="43">
        <f t="shared" si="4"/>
        <v>45484</v>
      </c>
      <c r="X13" s="53"/>
      <c r="Y13" s="45" t="str">
        <f t="shared" si="16"/>
        <v/>
      </c>
      <c r="Z13" s="37">
        <f t="shared" si="5"/>
        <v>45515</v>
      </c>
      <c r="AA13" s="54"/>
      <c r="AB13" s="45" t="str">
        <f t="shared" si="17"/>
        <v/>
      </c>
      <c r="AC13" s="43">
        <f t="shared" si="28"/>
        <v>45546</v>
      </c>
      <c r="AD13" s="60"/>
      <c r="AE13" s="45" t="str">
        <f t="shared" si="18"/>
        <v/>
      </c>
      <c r="AF13" s="43">
        <f t="shared" si="19"/>
        <v>45576</v>
      </c>
      <c r="AG13" s="56"/>
      <c r="AH13" s="47" t="str">
        <f t="shared" si="20"/>
        <v/>
      </c>
      <c r="AI13" s="43">
        <f t="shared" si="21"/>
        <v>45607</v>
      </c>
      <c r="AJ13" s="54"/>
      <c r="AK13" s="45" t="str">
        <f t="shared" si="22"/>
        <v/>
      </c>
      <c r="AL13" s="43">
        <f t="shared" si="8"/>
        <v>45637</v>
      </c>
      <c r="AM13" s="54"/>
      <c r="AN13" s="47" t="str">
        <f t="shared" si="23"/>
        <v/>
      </c>
      <c r="AO13" s="41"/>
      <c r="AP13" s="41"/>
      <c r="AQ13" s="64" t="s">
        <v>12</v>
      </c>
      <c r="AR13" s="67">
        <f>+AS7+50</f>
        <v>45075</v>
      </c>
      <c r="AS13">
        <v>50</v>
      </c>
      <c r="AT13" s="63" t="s">
        <v>5</v>
      </c>
    </row>
    <row r="14" spans="1:46" ht="16.5" customHeight="1" x14ac:dyDescent="0.3">
      <c r="A14" s="42">
        <v>12</v>
      </c>
      <c r="B14" s="43">
        <f t="shared" si="0"/>
        <v>45303</v>
      </c>
      <c r="C14" s="44">
        <v>13.118</v>
      </c>
      <c r="D14" s="45">
        <f t="shared" si="24"/>
        <v>2.8979999999999873</v>
      </c>
      <c r="E14" s="48">
        <f t="shared" si="29"/>
        <v>240.25800000000004</v>
      </c>
      <c r="F14" s="43">
        <f t="shared" si="9"/>
        <v>45334</v>
      </c>
      <c r="G14" s="46">
        <v>12.23</v>
      </c>
      <c r="H14" s="47">
        <f t="shared" si="25"/>
        <v>1.3799999999999706</v>
      </c>
      <c r="I14" s="48">
        <f t="shared" si="10"/>
        <v>301.53000000000009</v>
      </c>
      <c r="J14" s="43">
        <f t="shared" si="11"/>
        <v>45363</v>
      </c>
      <c r="K14" s="49">
        <v>12.942</v>
      </c>
      <c r="L14" s="45">
        <f t="shared" si="30"/>
        <v>4.1400000000000343</v>
      </c>
      <c r="M14" s="50">
        <f t="shared" si="12"/>
        <v>252.40200000000004</v>
      </c>
      <c r="N14" s="43">
        <f t="shared" si="1"/>
        <v>45394</v>
      </c>
      <c r="O14" s="51">
        <v>13.76</v>
      </c>
      <c r="P14" s="47">
        <f t="shared" si="26"/>
        <v>-1.0350000000000392</v>
      </c>
      <c r="Q14" s="43">
        <f t="shared" si="13"/>
        <v>45424</v>
      </c>
      <c r="R14" s="49">
        <v>15.45</v>
      </c>
      <c r="S14" s="45" t="str">
        <f t="shared" si="27"/>
        <v/>
      </c>
      <c r="T14" s="43">
        <f t="shared" si="14"/>
        <v>45455</v>
      </c>
      <c r="U14" s="52"/>
      <c r="V14" s="47" t="str">
        <f t="shared" si="15"/>
        <v/>
      </c>
      <c r="W14" s="43">
        <f t="shared" si="4"/>
        <v>45485</v>
      </c>
      <c r="X14" s="53"/>
      <c r="Y14" s="45" t="str">
        <f t="shared" si="16"/>
        <v/>
      </c>
      <c r="Z14" s="37">
        <f t="shared" si="5"/>
        <v>45516</v>
      </c>
      <c r="AA14" s="57"/>
      <c r="AB14" s="45" t="str">
        <f t="shared" si="17"/>
        <v/>
      </c>
      <c r="AC14" s="43">
        <f t="shared" si="28"/>
        <v>45547</v>
      </c>
      <c r="AD14" s="60"/>
      <c r="AE14" s="45" t="str">
        <f t="shared" si="18"/>
        <v/>
      </c>
      <c r="AF14" s="43">
        <f t="shared" si="19"/>
        <v>45577</v>
      </c>
      <c r="AG14" s="56"/>
      <c r="AH14" s="47" t="str">
        <f t="shared" si="20"/>
        <v/>
      </c>
      <c r="AI14" s="43">
        <f t="shared" si="21"/>
        <v>45608</v>
      </c>
      <c r="AJ14" s="54"/>
      <c r="AK14" s="45" t="str">
        <f t="shared" si="22"/>
        <v/>
      </c>
      <c r="AL14" s="43">
        <f t="shared" si="8"/>
        <v>45638</v>
      </c>
      <c r="AM14" s="54"/>
      <c r="AN14" s="47" t="str">
        <f t="shared" si="23"/>
        <v/>
      </c>
      <c r="AO14" s="41"/>
      <c r="AP14" s="41"/>
      <c r="AQ14" s="61" t="s">
        <v>13</v>
      </c>
      <c r="AR14" s="67">
        <f>DATE($AR$5,7,14)</f>
        <v>45487</v>
      </c>
      <c r="AT14" s="69" t="s">
        <v>10</v>
      </c>
    </row>
    <row r="15" spans="1:46" ht="16.5" customHeight="1" x14ac:dyDescent="0.3">
      <c r="A15" s="42">
        <v>13</v>
      </c>
      <c r="B15" s="43">
        <f t="shared" si="0"/>
        <v>45304</v>
      </c>
      <c r="C15" s="44">
        <v>13.118</v>
      </c>
      <c r="D15" s="45" t="str">
        <f t="shared" si="24"/>
        <v/>
      </c>
      <c r="E15" s="48">
        <f t="shared" si="29"/>
        <v>240.25800000000004</v>
      </c>
      <c r="F15" s="43">
        <f t="shared" si="9"/>
        <v>45335</v>
      </c>
      <c r="G15" s="46">
        <v>12.2</v>
      </c>
      <c r="H15" s="47">
        <f t="shared" si="25"/>
        <v>-2.0700000000000784</v>
      </c>
      <c r="I15" s="48">
        <f t="shared" si="10"/>
        <v>303.60000000000014</v>
      </c>
      <c r="J15" s="43">
        <f t="shared" si="11"/>
        <v>45364</v>
      </c>
      <c r="K15" s="49">
        <v>12.988</v>
      </c>
      <c r="L15" s="45">
        <f t="shared" si="30"/>
        <v>3.1739999999999569</v>
      </c>
      <c r="M15" s="50">
        <f t="shared" si="12"/>
        <v>249.22800000000007</v>
      </c>
      <c r="N15" s="43">
        <f t="shared" si="1"/>
        <v>45395</v>
      </c>
      <c r="O15" s="51">
        <v>13.76</v>
      </c>
      <c r="P15" s="47" t="str">
        <f t="shared" si="26"/>
        <v/>
      </c>
      <c r="Q15" s="43">
        <f t="shared" si="13"/>
        <v>45425</v>
      </c>
      <c r="R15" s="49">
        <v>17</v>
      </c>
      <c r="S15" s="45">
        <f t="shared" si="27"/>
        <v>106.95000000000005</v>
      </c>
      <c r="T15" s="43">
        <f t="shared" si="14"/>
        <v>45456</v>
      </c>
      <c r="U15" s="52"/>
      <c r="V15" s="47" t="str">
        <f t="shared" si="15"/>
        <v/>
      </c>
      <c r="W15" s="43">
        <f t="shared" si="4"/>
        <v>45486</v>
      </c>
      <c r="X15" s="53"/>
      <c r="Y15" s="45" t="str">
        <f t="shared" si="16"/>
        <v/>
      </c>
      <c r="Z15" s="37">
        <f t="shared" si="5"/>
        <v>45517</v>
      </c>
      <c r="AA15" s="57"/>
      <c r="AB15" s="45" t="str">
        <f t="shared" si="17"/>
        <v/>
      </c>
      <c r="AC15" s="43">
        <f t="shared" si="28"/>
        <v>45548</v>
      </c>
      <c r="AD15" s="60"/>
      <c r="AE15" s="45" t="str">
        <f t="shared" si="18"/>
        <v/>
      </c>
      <c r="AF15" s="43">
        <f t="shared" si="19"/>
        <v>45578</v>
      </c>
      <c r="AG15" s="56"/>
      <c r="AH15" s="47" t="str">
        <f t="shared" si="20"/>
        <v/>
      </c>
      <c r="AI15" s="43">
        <f t="shared" si="21"/>
        <v>45609</v>
      </c>
      <c r="AJ15" s="54"/>
      <c r="AK15" s="45" t="str">
        <f t="shared" si="22"/>
        <v/>
      </c>
      <c r="AL15" s="43">
        <f t="shared" si="8"/>
        <v>45639</v>
      </c>
      <c r="AM15" s="54"/>
      <c r="AN15" s="47" t="str">
        <f t="shared" si="23"/>
        <v/>
      </c>
      <c r="AO15" s="41"/>
      <c r="AP15" s="41"/>
      <c r="AQ15" s="61" t="s">
        <v>14</v>
      </c>
      <c r="AR15" s="68">
        <f>DATE($AR$5,8,15)</f>
        <v>45519</v>
      </c>
      <c r="AT15" s="69" t="s">
        <v>10</v>
      </c>
    </row>
    <row r="16" spans="1:46" ht="16.5" customHeight="1" x14ac:dyDescent="0.3">
      <c r="A16" s="42">
        <v>14</v>
      </c>
      <c r="B16" s="43">
        <f t="shared" si="0"/>
        <v>45305</v>
      </c>
      <c r="C16" s="44">
        <v>13.118</v>
      </c>
      <c r="D16" s="45" t="str">
        <f t="shared" si="24"/>
        <v/>
      </c>
      <c r="E16" s="48">
        <f t="shared" si="29"/>
        <v>240.25800000000004</v>
      </c>
      <c r="F16" s="43">
        <f t="shared" si="9"/>
        <v>45336</v>
      </c>
      <c r="G16" s="46">
        <v>12.202</v>
      </c>
      <c r="H16" s="47">
        <f t="shared" si="25"/>
        <v>0.13800000000004609</v>
      </c>
      <c r="I16" s="48">
        <f t="shared" si="10"/>
        <v>303.4620000000001</v>
      </c>
      <c r="J16" s="43">
        <f t="shared" si="11"/>
        <v>45365</v>
      </c>
      <c r="K16" s="49">
        <v>13.036</v>
      </c>
      <c r="L16" s="45">
        <f t="shared" si="30"/>
        <v>3.3120000000000029</v>
      </c>
      <c r="M16" s="50">
        <f t="shared" si="12"/>
        <v>245.91600000000017</v>
      </c>
      <c r="N16" s="43">
        <f t="shared" si="1"/>
        <v>45396</v>
      </c>
      <c r="O16" s="51">
        <v>13.76</v>
      </c>
      <c r="P16" s="47" t="str">
        <f t="shared" si="26"/>
        <v/>
      </c>
      <c r="Q16" s="43">
        <f t="shared" si="13"/>
        <v>45426</v>
      </c>
      <c r="R16" s="49"/>
      <c r="S16" s="45" t="str">
        <f t="shared" si="27"/>
        <v/>
      </c>
      <c r="T16" s="43">
        <f t="shared" si="14"/>
        <v>45457</v>
      </c>
      <c r="U16" s="52"/>
      <c r="V16" s="47" t="str">
        <f t="shared" si="15"/>
        <v/>
      </c>
      <c r="W16" s="43">
        <f t="shared" si="4"/>
        <v>45487</v>
      </c>
      <c r="X16" s="70"/>
      <c r="Y16" s="45" t="str">
        <f t="shared" si="16"/>
        <v/>
      </c>
      <c r="Z16" s="37">
        <f t="shared" si="5"/>
        <v>45518</v>
      </c>
      <c r="AA16" s="54"/>
      <c r="AB16" s="45" t="str">
        <f t="shared" si="17"/>
        <v/>
      </c>
      <c r="AC16" s="43">
        <f t="shared" si="28"/>
        <v>45549</v>
      </c>
      <c r="AD16" s="60"/>
      <c r="AE16" s="45" t="str">
        <f t="shared" si="18"/>
        <v/>
      </c>
      <c r="AF16" s="43">
        <f t="shared" si="19"/>
        <v>45579</v>
      </c>
      <c r="AG16" s="56"/>
      <c r="AH16" s="47" t="str">
        <f t="shared" si="20"/>
        <v/>
      </c>
      <c r="AI16" s="43">
        <f t="shared" si="21"/>
        <v>45610</v>
      </c>
      <c r="AJ16" s="54"/>
      <c r="AK16" s="45" t="str">
        <f t="shared" si="22"/>
        <v/>
      </c>
      <c r="AL16" s="43">
        <f t="shared" si="8"/>
        <v>45640</v>
      </c>
      <c r="AM16" s="54"/>
      <c r="AN16" s="47" t="str">
        <f t="shared" si="23"/>
        <v/>
      </c>
      <c r="AO16" s="41"/>
      <c r="AP16" s="41"/>
      <c r="AQ16" s="61" t="s">
        <v>15</v>
      </c>
      <c r="AR16" s="67"/>
      <c r="AT16" s="69" t="s">
        <v>10</v>
      </c>
    </row>
    <row r="17" spans="1:46" ht="16.5" customHeight="1" x14ac:dyDescent="0.3">
      <c r="A17" s="42">
        <v>15</v>
      </c>
      <c r="B17" s="43">
        <f t="shared" si="0"/>
        <v>45306</v>
      </c>
      <c r="C17" s="44">
        <v>13.215999999999999</v>
      </c>
      <c r="D17" s="45">
        <f t="shared" si="24"/>
        <v>6.7619999999999294</v>
      </c>
      <c r="E17" s="48">
        <f t="shared" si="29"/>
        <v>233.49600000000009</v>
      </c>
      <c r="F17" s="43">
        <f t="shared" si="9"/>
        <v>45337</v>
      </c>
      <c r="G17" s="46">
        <v>12.23</v>
      </c>
      <c r="H17" s="47">
        <f t="shared" si="25"/>
        <v>1.9320000000000324</v>
      </c>
      <c r="I17" s="48">
        <f t="shared" si="10"/>
        <v>301.53000000000009</v>
      </c>
      <c r="J17" s="43">
        <f t="shared" si="11"/>
        <v>45366</v>
      </c>
      <c r="K17" s="49">
        <v>13.02</v>
      </c>
      <c r="L17" s="45">
        <f t="shared" si="30"/>
        <v>-1.104000000000001</v>
      </c>
      <c r="M17" s="50">
        <f t="shared" si="12"/>
        <v>247.0200000000001</v>
      </c>
      <c r="N17" s="43">
        <f t="shared" si="1"/>
        <v>45397</v>
      </c>
      <c r="O17" s="51">
        <v>13.82</v>
      </c>
      <c r="P17" s="47">
        <f t="shared" si="26"/>
        <v>4.1400000000000343</v>
      </c>
      <c r="Q17" s="43">
        <f t="shared" si="13"/>
        <v>45427</v>
      </c>
      <c r="R17" s="49"/>
      <c r="S17" s="45" t="str">
        <f t="shared" si="27"/>
        <v/>
      </c>
      <c r="T17" s="43">
        <f t="shared" si="14"/>
        <v>45458</v>
      </c>
      <c r="U17" s="52"/>
      <c r="V17" s="47" t="str">
        <f t="shared" si="15"/>
        <v/>
      </c>
      <c r="W17" s="43">
        <f t="shared" si="4"/>
        <v>45488</v>
      </c>
      <c r="X17" s="53"/>
      <c r="Y17" s="45" t="str">
        <f t="shared" si="16"/>
        <v/>
      </c>
      <c r="Z17" s="37">
        <f t="shared" si="5"/>
        <v>45519</v>
      </c>
      <c r="AA17" s="54"/>
      <c r="AB17" s="45" t="str">
        <f t="shared" si="17"/>
        <v/>
      </c>
      <c r="AC17" s="43">
        <f t="shared" si="28"/>
        <v>45550</v>
      </c>
      <c r="AD17" s="60"/>
      <c r="AE17" s="45" t="str">
        <f t="shared" si="18"/>
        <v/>
      </c>
      <c r="AF17" s="43">
        <f t="shared" si="19"/>
        <v>45580</v>
      </c>
      <c r="AG17" s="56"/>
      <c r="AH17" s="47" t="str">
        <f t="shared" si="20"/>
        <v/>
      </c>
      <c r="AI17" s="43">
        <f t="shared" si="21"/>
        <v>45611</v>
      </c>
      <c r="AJ17" s="54"/>
      <c r="AK17" s="45" t="str">
        <f t="shared" si="22"/>
        <v/>
      </c>
      <c r="AL17" s="43">
        <f t="shared" si="8"/>
        <v>45641</v>
      </c>
      <c r="AM17" s="54"/>
      <c r="AN17" s="47" t="str">
        <f t="shared" si="23"/>
        <v/>
      </c>
      <c r="AO17" s="41"/>
      <c r="AP17" s="41"/>
      <c r="AQ17" s="61" t="s">
        <v>16</v>
      </c>
      <c r="AR17" s="67">
        <f>DATE($AR$5,11,11)</f>
        <v>45607</v>
      </c>
      <c r="AT17" s="63" t="s">
        <v>5</v>
      </c>
    </row>
    <row r="18" spans="1:46" ht="16.5" customHeight="1" thickBot="1" x14ac:dyDescent="0.35">
      <c r="A18" s="42">
        <v>16</v>
      </c>
      <c r="B18" s="43">
        <f t="shared" si="0"/>
        <v>45307</v>
      </c>
      <c r="C18" s="44">
        <v>13.222</v>
      </c>
      <c r="D18" s="45">
        <f t="shared" si="24"/>
        <v>0.41400000000001569</v>
      </c>
      <c r="E18" s="48">
        <f t="shared" si="29"/>
        <v>233.08200000000011</v>
      </c>
      <c r="F18" s="43">
        <f t="shared" si="9"/>
        <v>45338</v>
      </c>
      <c r="G18" s="46">
        <v>12.23</v>
      </c>
      <c r="H18" s="47" t="str">
        <f t="shared" si="25"/>
        <v/>
      </c>
      <c r="I18" s="71">
        <f t="shared" si="10"/>
        <v>301.53000000000009</v>
      </c>
      <c r="J18" s="43">
        <f t="shared" si="11"/>
        <v>45367</v>
      </c>
      <c r="K18" s="49">
        <v>13.02</v>
      </c>
      <c r="L18" s="45" t="str">
        <f t="shared" si="30"/>
        <v/>
      </c>
      <c r="M18" s="50">
        <f t="shared" si="12"/>
        <v>247.0200000000001</v>
      </c>
      <c r="N18" s="43">
        <f t="shared" si="1"/>
        <v>45398</v>
      </c>
      <c r="O18" s="51">
        <v>13.57</v>
      </c>
      <c r="P18" s="47">
        <f t="shared" si="26"/>
        <v>-17.25</v>
      </c>
      <c r="Q18" s="43">
        <f t="shared" si="13"/>
        <v>45428</v>
      </c>
      <c r="R18" s="49"/>
      <c r="S18" s="45" t="str">
        <f t="shared" si="27"/>
        <v/>
      </c>
      <c r="T18" s="43">
        <f t="shared" si="14"/>
        <v>45459</v>
      </c>
      <c r="U18" s="52"/>
      <c r="V18" s="47" t="str">
        <f t="shared" si="15"/>
        <v/>
      </c>
      <c r="W18" s="43">
        <f t="shared" si="4"/>
        <v>45489</v>
      </c>
      <c r="X18" s="53"/>
      <c r="Y18" s="45" t="str">
        <f t="shared" si="16"/>
        <v/>
      </c>
      <c r="Z18" s="37">
        <f t="shared" si="5"/>
        <v>45520</v>
      </c>
      <c r="AA18" s="54"/>
      <c r="AB18" s="45" t="str">
        <f t="shared" si="17"/>
        <v/>
      </c>
      <c r="AC18" s="43">
        <f t="shared" si="28"/>
        <v>45551</v>
      </c>
      <c r="AD18" s="60"/>
      <c r="AE18" s="45" t="str">
        <f t="shared" si="18"/>
        <v/>
      </c>
      <c r="AF18" s="43">
        <f t="shared" si="19"/>
        <v>45581</v>
      </c>
      <c r="AG18" s="56"/>
      <c r="AH18" s="47" t="str">
        <f t="shared" si="20"/>
        <v/>
      </c>
      <c r="AI18" s="43">
        <f t="shared" si="21"/>
        <v>45612</v>
      </c>
      <c r="AJ18" s="54"/>
      <c r="AK18" s="45" t="str">
        <f t="shared" si="22"/>
        <v/>
      </c>
      <c r="AL18" s="43">
        <f t="shared" si="8"/>
        <v>45642</v>
      </c>
      <c r="AM18" s="54"/>
      <c r="AN18" s="47" t="str">
        <f t="shared" si="23"/>
        <v/>
      </c>
      <c r="AO18" s="41"/>
      <c r="AP18" s="41"/>
      <c r="AQ18" s="61" t="s">
        <v>17</v>
      </c>
      <c r="AR18" s="72">
        <f>DATE($AR$5,12,25)</f>
        <v>45651</v>
      </c>
      <c r="AT18" s="63" t="s">
        <v>5</v>
      </c>
    </row>
    <row r="19" spans="1:46" ht="16.5" customHeight="1" x14ac:dyDescent="0.3">
      <c r="A19" s="42">
        <v>17</v>
      </c>
      <c r="B19" s="43">
        <f t="shared" si="0"/>
        <v>45308</v>
      </c>
      <c r="C19" s="44">
        <v>13.1</v>
      </c>
      <c r="D19" s="45">
        <f t="shared" si="24"/>
        <v>-8.4179999999999922</v>
      </c>
      <c r="E19" s="48">
        <f t="shared" si="29"/>
        <v>241.50000000000011</v>
      </c>
      <c r="F19" s="43">
        <f t="shared" si="9"/>
        <v>45339</v>
      </c>
      <c r="G19" s="46">
        <v>12.23</v>
      </c>
      <c r="H19" s="47" t="str">
        <f t="shared" si="25"/>
        <v/>
      </c>
      <c r="I19" s="50">
        <f t="shared" si="10"/>
        <v>301.53000000000009</v>
      </c>
      <c r="J19" s="43">
        <f t="shared" si="11"/>
        <v>45368</v>
      </c>
      <c r="K19" s="49">
        <v>13.02</v>
      </c>
      <c r="L19" s="45" t="str">
        <f t="shared" si="30"/>
        <v/>
      </c>
      <c r="M19" s="50">
        <f t="shared" si="12"/>
        <v>247.0200000000001</v>
      </c>
      <c r="N19" s="43">
        <f t="shared" si="1"/>
        <v>45399</v>
      </c>
      <c r="O19" s="51">
        <v>13.664999999999999</v>
      </c>
      <c r="P19" s="47">
        <f t="shared" si="26"/>
        <v>6.5549999999999216</v>
      </c>
      <c r="Q19" s="43">
        <f t="shared" si="13"/>
        <v>45429</v>
      </c>
      <c r="R19" s="49"/>
      <c r="S19" s="45" t="str">
        <f t="shared" si="27"/>
        <v/>
      </c>
      <c r="T19" s="43">
        <f t="shared" si="14"/>
        <v>45460</v>
      </c>
      <c r="U19" s="52"/>
      <c r="V19" s="47" t="str">
        <f t="shared" si="15"/>
        <v/>
      </c>
      <c r="W19" s="43">
        <f t="shared" si="4"/>
        <v>45490</v>
      </c>
      <c r="X19" s="53"/>
      <c r="Y19" s="45" t="str">
        <f t="shared" si="16"/>
        <v/>
      </c>
      <c r="Z19" s="37">
        <f t="shared" si="5"/>
        <v>45521</v>
      </c>
      <c r="AA19" s="54"/>
      <c r="AB19" s="45" t="str">
        <f t="shared" si="17"/>
        <v/>
      </c>
      <c r="AC19" s="43">
        <f t="shared" si="28"/>
        <v>45552</v>
      </c>
      <c r="AD19" s="60"/>
      <c r="AE19" s="45" t="str">
        <f t="shared" si="18"/>
        <v/>
      </c>
      <c r="AF19" s="43">
        <f t="shared" si="19"/>
        <v>45582</v>
      </c>
      <c r="AG19" s="56"/>
      <c r="AH19" s="47" t="str">
        <f t="shared" si="20"/>
        <v/>
      </c>
      <c r="AI19" s="43">
        <f t="shared" si="21"/>
        <v>45613</v>
      </c>
      <c r="AJ19" s="54"/>
      <c r="AK19" s="45" t="str">
        <f t="shared" si="22"/>
        <v/>
      </c>
      <c r="AL19" s="43">
        <f t="shared" si="8"/>
        <v>45643</v>
      </c>
      <c r="AM19" s="54"/>
      <c r="AN19" s="47" t="str">
        <f t="shared" si="23"/>
        <v/>
      </c>
      <c r="AO19" s="41"/>
      <c r="AP19" s="41"/>
      <c r="AQ19" s="73"/>
      <c r="AR19" s="74"/>
      <c r="AT19" s="63"/>
    </row>
    <row r="20" spans="1:46" ht="16.5" customHeight="1" x14ac:dyDescent="0.3">
      <c r="A20" s="42">
        <v>18</v>
      </c>
      <c r="B20" s="43">
        <f t="shared" si="0"/>
        <v>45309</v>
      </c>
      <c r="C20" s="44">
        <v>13.09</v>
      </c>
      <c r="D20" s="45">
        <f t="shared" si="24"/>
        <v>-0.68999999999998529</v>
      </c>
      <c r="E20" s="48">
        <f t="shared" si="29"/>
        <v>242.19000000000005</v>
      </c>
      <c r="F20" s="43">
        <f t="shared" si="9"/>
        <v>45340</v>
      </c>
      <c r="G20" s="46">
        <v>12.23</v>
      </c>
      <c r="H20" s="47" t="str">
        <f t="shared" si="25"/>
        <v/>
      </c>
      <c r="I20" s="50">
        <f t="shared" si="10"/>
        <v>301.53000000000009</v>
      </c>
      <c r="J20" s="43">
        <f t="shared" si="11"/>
        <v>45369</v>
      </c>
      <c r="K20" s="49">
        <v>13.183999999999999</v>
      </c>
      <c r="L20" s="45">
        <f t="shared" si="30"/>
        <v>11.315999999999979</v>
      </c>
      <c r="M20" s="50">
        <f t="shared" si="12"/>
        <v>235.70400000000018</v>
      </c>
      <c r="N20" s="43">
        <f t="shared" si="1"/>
        <v>45400</v>
      </c>
      <c r="O20" s="51">
        <v>13.904999999999999</v>
      </c>
      <c r="P20" s="47">
        <f t="shared" si="26"/>
        <v>16.560000000000016</v>
      </c>
      <c r="Q20" s="43">
        <f t="shared" si="13"/>
        <v>45430</v>
      </c>
      <c r="R20" s="49"/>
      <c r="S20" s="45" t="str">
        <f t="shared" si="27"/>
        <v/>
      </c>
      <c r="T20" s="43">
        <f t="shared" si="14"/>
        <v>45461</v>
      </c>
      <c r="U20" s="52"/>
      <c r="V20" s="47" t="str">
        <f t="shared" si="15"/>
        <v/>
      </c>
      <c r="W20" s="43">
        <f t="shared" si="4"/>
        <v>45491</v>
      </c>
      <c r="X20" s="53"/>
      <c r="Y20" s="45" t="str">
        <f t="shared" si="16"/>
        <v/>
      </c>
      <c r="Z20" s="37">
        <f t="shared" si="5"/>
        <v>45522</v>
      </c>
      <c r="AA20" s="54"/>
      <c r="AB20" s="45" t="str">
        <f t="shared" si="17"/>
        <v/>
      </c>
      <c r="AC20" s="43">
        <f t="shared" si="28"/>
        <v>45553</v>
      </c>
      <c r="AD20" s="60"/>
      <c r="AE20" s="45" t="str">
        <f t="shared" si="18"/>
        <v/>
      </c>
      <c r="AF20" s="43">
        <f t="shared" si="19"/>
        <v>45583</v>
      </c>
      <c r="AG20" s="56"/>
      <c r="AH20" s="47" t="str">
        <f t="shared" si="20"/>
        <v/>
      </c>
      <c r="AI20" s="43">
        <f t="shared" si="21"/>
        <v>45614</v>
      </c>
      <c r="AJ20" s="54"/>
      <c r="AK20" s="45" t="str">
        <f t="shared" si="22"/>
        <v/>
      </c>
      <c r="AL20" s="43">
        <f t="shared" si="8"/>
        <v>45644</v>
      </c>
      <c r="AM20" s="54"/>
      <c r="AN20" s="47" t="str">
        <f t="shared" si="23"/>
        <v/>
      </c>
      <c r="AO20" s="41"/>
      <c r="AP20" s="41"/>
      <c r="AQ20" s="24"/>
      <c r="AR20" s="74"/>
      <c r="AT20" s="63"/>
    </row>
    <row r="21" spans="1:46" ht="16.5" customHeight="1" x14ac:dyDescent="0.3">
      <c r="A21" s="42">
        <v>19</v>
      </c>
      <c r="B21" s="43">
        <f t="shared" si="0"/>
        <v>45310</v>
      </c>
      <c r="C21" s="44">
        <v>13.23</v>
      </c>
      <c r="D21" s="45">
        <f t="shared" si="24"/>
        <v>9.6600000000000392</v>
      </c>
      <c r="E21" s="48">
        <f t="shared" si="29"/>
        <v>232.53000000000009</v>
      </c>
      <c r="F21" s="43">
        <f t="shared" si="9"/>
        <v>45341</v>
      </c>
      <c r="G21" s="46">
        <v>12.364000000000001</v>
      </c>
      <c r="H21" s="47">
        <f t="shared" si="25"/>
        <v>9.2460000000000235</v>
      </c>
      <c r="I21" s="50">
        <f t="shared" si="10"/>
        <v>292.28399999999999</v>
      </c>
      <c r="J21" s="43">
        <f t="shared" si="11"/>
        <v>45370</v>
      </c>
      <c r="K21" s="49">
        <v>13.242000000000001</v>
      </c>
      <c r="L21" s="45">
        <f t="shared" si="30"/>
        <v>4.0020000000001108</v>
      </c>
      <c r="M21" s="50">
        <f t="shared" si="12"/>
        <v>231.702</v>
      </c>
      <c r="N21" s="43">
        <f t="shared" si="1"/>
        <v>45401</v>
      </c>
      <c r="O21" s="51">
        <v>14.035</v>
      </c>
      <c r="P21" s="47">
        <f t="shared" si="26"/>
        <v>8.9700000000000539</v>
      </c>
      <c r="Q21" s="43">
        <f t="shared" si="13"/>
        <v>45431</v>
      </c>
      <c r="R21" s="49"/>
      <c r="S21" s="45" t="str">
        <f t="shared" si="27"/>
        <v/>
      </c>
      <c r="T21" s="43">
        <f t="shared" si="14"/>
        <v>45462</v>
      </c>
      <c r="U21" s="52"/>
      <c r="V21" s="47" t="str">
        <f t="shared" si="15"/>
        <v/>
      </c>
      <c r="W21" s="43">
        <f t="shared" si="4"/>
        <v>45492</v>
      </c>
      <c r="X21" s="53"/>
      <c r="Y21" s="45" t="str">
        <f t="shared" si="16"/>
        <v/>
      </c>
      <c r="Z21" s="37">
        <f t="shared" si="5"/>
        <v>45523</v>
      </c>
      <c r="AA21" s="57"/>
      <c r="AB21" s="45" t="str">
        <f t="shared" si="17"/>
        <v/>
      </c>
      <c r="AC21" s="43">
        <f t="shared" si="28"/>
        <v>45554</v>
      </c>
      <c r="AD21" s="60"/>
      <c r="AE21" s="45" t="str">
        <f t="shared" si="18"/>
        <v/>
      </c>
      <c r="AF21" s="43">
        <f t="shared" si="19"/>
        <v>45584</v>
      </c>
      <c r="AG21" s="56"/>
      <c r="AH21" s="47" t="str">
        <f t="shared" si="20"/>
        <v/>
      </c>
      <c r="AI21" s="43">
        <f t="shared" si="21"/>
        <v>45615</v>
      </c>
      <c r="AJ21" s="54"/>
      <c r="AK21" s="45" t="str">
        <f t="shared" si="22"/>
        <v/>
      </c>
      <c r="AL21" s="43">
        <f t="shared" si="8"/>
        <v>45645</v>
      </c>
      <c r="AM21" s="54"/>
      <c r="AN21" s="47" t="str">
        <f t="shared" si="23"/>
        <v/>
      </c>
      <c r="AO21" s="41"/>
      <c r="AP21" s="41"/>
      <c r="AQ21" s="73"/>
      <c r="AR21" s="75"/>
    </row>
    <row r="22" spans="1:46" ht="16.5" customHeight="1" x14ac:dyDescent="0.3">
      <c r="A22" s="42">
        <v>20</v>
      </c>
      <c r="B22" s="43">
        <f t="shared" si="0"/>
        <v>45311</v>
      </c>
      <c r="C22" s="44">
        <v>13.23</v>
      </c>
      <c r="D22" s="45" t="str">
        <f t="shared" si="24"/>
        <v/>
      </c>
      <c r="E22" s="48">
        <f t="shared" si="29"/>
        <v>232.53000000000009</v>
      </c>
      <c r="F22" s="43">
        <f t="shared" si="9"/>
        <v>45342</v>
      </c>
      <c r="G22" s="46">
        <v>12.44</v>
      </c>
      <c r="H22" s="47">
        <f t="shared" si="25"/>
        <v>5.2439999999999127</v>
      </c>
      <c r="I22" s="50">
        <f t="shared" si="10"/>
        <v>287.04000000000008</v>
      </c>
      <c r="J22" s="43">
        <f t="shared" si="11"/>
        <v>45371</v>
      </c>
      <c r="K22" s="49">
        <v>13.254</v>
      </c>
      <c r="L22" s="45">
        <f t="shared" si="30"/>
        <v>0.82799999999990881</v>
      </c>
      <c r="M22" s="50">
        <f t="shared" si="12"/>
        <v>230.87400000000014</v>
      </c>
      <c r="N22" s="43">
        <f t="shared" si="1"/>
        <v>45402</v>
      </c>
      <c r="O22" s="51">
        <v>14.035</v>
      </c>
      <c r="P22" s="47" t="str">
        <f t="shared" si="26"/>
        <v/>
      </c>
      <c r="Q22" s="43">
        <f t="shared" si="13"/>
        <v>45432</v>
      </c>
      <c r="R22" s="49"/>
      <c r="S22" s="45" t="str">
        <f t="shared" si="27"/>
        <v/>
      </c>
      <c r="T22" s="43">
        <f t="shared" si="14"/>
        <v>45463</v>
      </c>
      <c r="U22" s="52"/>
      <c r="V22" s="47" t="str">
        <f t="shared" si="15"/>
        <v/>
      </c>
      <c r="W22" s="43">
        <f t="shared" si="4"/>
        <v>45493</v>
      </c>
      <c r="X22" s="53"/>
      <c r="Y22" s="45" t="str">
        <f t="shared" si="16"/>
        <v/>
      </c>
      <c r="Z22" s="37">
        <f t="shared" si="5"/>
        <v>45524</v>
      </c>
      <c r="AA22" s="57"/>
      <c r="AB22" s="45" t="str">
        <f t="shared" si="17"/>
        <v/>
      </c>
      <c r="AC22" s="43">
        <f t="shared" si="28"/>
        <v>45555</v>
      </c>
      <c r="AD22" s="60"/>
      <c r="AE22" s="45" t="str">
        <f t="shared" si="18"/>
        <v/>
      </c>
      <c r="AF22" s="43">
        <f t="shared" si="19"/>
        <v>45585</v>
      </c>
      <c r="AG22" s="56"/>
      <c r="AH22" s="47" t="str">
        <f t="shared" si="20"/>
        <v/>
      </c>
      <c r="AI22" s="43">
        <f t="shared" si="21"/>
        <v>45616</v>
      </c>
      <c r="AJ22" s="54"/>
      <c r="AK22" s="45" t="str">
        <f t="shared" si="22"/>
        <v/>
      </c>
      <c r="AL22" s="43">
        <f t="shared" si="8"/>
        <v>45646</v>
      </c>
      <c r="AM22" s="54"/>
      <c r="AN22" s="47" t="str">
        <f t="shared" si="23"/>
        <v/>
      </c>
      <c r="AO22" s="41"/>
      <c r="AP22" s="41"/>
      <c r="AR22" s="76"/>
    </row>
    <row r="23" spans="1:46" ht="16.5" customHeight="1" x14ac:dyDescent="0.3">
      <c r="A23" s="42">
        <v>21</v>
      </c>
      <c r="B23" s="43">
        <f t="shared" si="0"/>
        <v>45312</v>
      </c>
      <c r="C23" s="44">
        <v>13.23</v>
      </c>
      <c r="D23" s="45" t="str">
        <f t="shared" si="24"/>
        <v/>
      </c>
      <c r="E23" s="48">
        <f t="shared" si="29"/>
        <v>232.53000000000009</v>
      </c>
      <c r="F23" s="43">
        <f t="shared" si="9"/>
        <v>45343</v>
      </c>
      <c r="G23" s="46">
        <v>12.516</v>
      </c>
      <c r="H23" s="47">
        <f t="shared" si="25"/>
        <v>5.2440000000000353</v>
      </c>
      <c r="I23" s="50">
        <f t="shared" si="10"/>
        <v>281.79600000000005</v>
      </c>
      <c r="J23" s="43">
        <f t="shared" si="11"/>
        <v>45372</v>
      </c>
      <c r="K23" s="49">
        <v>13.401999999999999</v>
      </c>
      <c r="L23" s="45">
        <f t="shared" si="30"/>
        <v>10.211999999999978</v>
      </c>
      <c r="M23" s="50">
        <f t="shared" si="12"/>
        <v>220.66200000000015</v>
      </c>
      <c r="N23" s="43">
        <f t="shared" si="1"/>
        <v>45403</v>
      </c>
      <c r="O23" s="51">
        <v>14.035</v>
      </c>
      <c r="P23" s="47" t="str">
        <f t="shared" si="26"/>
        <v/>
      </c>
      <c r="Q23" s="43">
        <f t="shared" si="13"/>
        <v>45433</v>
      </c>
      <c r="R23" s="49"/>
      <c r="S23" s="45" t="str">
        <f t="shared" si="27"/>
        <v/>
      </c>
      <c r="T23" s="43">
        <f t="shared" si="14"/>
        <v>45464</v>
      </c>
      <c r="U23" s="52"/>
      <c r="V23" s="47" t="str">
        <f t="shared" si="15"/>
        <v/>
      </c>
      <c r="W23" s="43">
        <f t="shared" si="4"/>
        <v>45494</v>
      </c>
      <c r="X23" s="53"/>
      <c r="Y23" s="45" t="str">
        <f t="shared" si="16"/>
        <v/>
      </c>
      <c r="Z23" s="37">
        <f t="shared" si="5"/>
        <v>45525</v>
      </c>
      <c r="AA23" s="54"/>
      <c r="AB23" s="45" t="str">
        <f t="shared" si="17"/>
        <v/>
      </c>
      <c r="AC23" s="43">
        <f t="shared" si="28"/>
        <v>45556</v>
      </c>
      <c r="AD23" s="60"/>
      <c r="AE23" s="45" t="str">
        <f t="shared" si="18"/>
        <v/>
      </c>
      <c r="AF23" s="43">
        <f t="shared" si="19"/>
        <v>45586</v>
      </c>
      <c r="AG23" s="56"/>
      <c r="AH23" s="47" t="str">
        <f t="shared" si="20"/>
        <v/>
      </c>
      <c r="AI23" s="43">
        <f t="shared" si="21"/>
        <v>45617</v>
      </c>
      <c r="AJ23" s="54"/>
      <c r="AK23" s="45" t="str">
        <f t="shared" si="22"/>
        <v/>
      </c>
      <c r="AL23" s="43">
        <f t="shared" si="8"/>
        <v>45647</v>
      </c>
      <c r="AM23" s="54"/>
      <c r="AN23" s="47" t="str">
        <f t="shared" si="23"/>
        <v/>
      </c>
      <c r="AO23" s="41"/>
      <c r="AP23" s="41"/>
    </row>
    <row r="24" spans="1:46" ht="16.5" customHeight="1" x14ac:dyDescent="0.3">
      <c r="A24" s="42">
        <v>22</v>
      </c>
      <c r="B24" s="43">
        <f t="shared" si="0"/>
        <v>45313</v>
      </c>
      <c r="C24" s="44">
        <v>13.3</v>
      </c>
      <c r="D24" s="45">
        <f t="shared" si="24"/>
        <v>4.8300000000000196</v>
      </c>
      <c r="E24" s="48">
        <f t="shared" si="29"/>
        <v>227.70000000000005</v>
      </c>
      <c r="F24" s="43">
        <f t="shared" si="9"/>
        <v>45344</v>
      </c>
      <c r="G24" s="46">
        <v>12.593999999999999</v>
      </c>
      <c r="H24" s="47">
        <f t="shared" si="25"/>
        <v>5.3819999999999588</v>
      </c>
      <c r="I24" s="50">
        <f t="shared" si="10"/>
        <v>276.4140000000001</v>
      </c>
      <c r="J24" s="43">
        <f t="shared" si="11"/>
        <v>45373</v>
      </c>
      <c r="K24" s="49">
        <v>13.4</v>
      </c>
      <c r="L24" s="45">
        <f t="shared" si="30"/>
        <v>-0.13799999999992352</v>
      </c>
      <c r="M24" s="50">
        <f t="shared" si="12"/>
        <v>220.80000000000007</v>
      </c>
      <c r="N24" s="43">
        <f t="shared" si="1"/>
        <v>45404</v>
      </c>
      <c r="O24" s="51">
        <v>14.29</v>
      </c>
      <c r="P24" s="47">
        <f t="shared" si="26"/>
        <v>17.594999999999931</v>
      </c>
      <c r="Q24" s="43">
        <f t="shared" si="13"/>
        <v>45434</v>
      </c>
      <c r="R24" s="49"/>
      <c r="S24" s="45" t="str">
        <f t="shared" si="27"/>
        <v/>
      </c>
      <c r="T24" s="43">
        <f t="shared" si="14"/>
        <v>45465</v>
      </c>
      <c r="U24" s="52"/>
      <c r="V24" s="47" t="str">
        <f t="shared" si="15"/>
        <v/>
      </c>
      <c r="W24" s="43">
        <f t="shared" si="4"/>
        <v>45495</v>
      </c>
      <c r="X24" s="53"/>
      <c r="Y24" s="45" t="str">
        <f t="shared" si="16"/>
        <v/>
      </c>
      <c r="Z24" s="37">
        <f t="shared" si="5"/>
        <v>45526</v>
      </c>
      <c r="AA24" s="54"/>
      <c r="AB24" s="45" t="str">
        <f t="shared" si="17"/>
        <v/>
      </c>
      <c r="AC24" s="43">
        <f t="shared" si="28"/>
        <v>45557</v>
      </c>
      <c r="AD24" s="60"/>
      <c r="AE24" s="45" t="str">
        <f t="shared" si="18"/>
        <v/>
      </c>
      <c r="AF24" s="43">
        <f t="shared" si="19"/>
        <v>45587</v>
      </c>
      <c r="AG24" s="56"/>
      <c r="AH24" s="47" t="str">
        <f t="shared" si="20"/>
        <v/>
      </c>
      <c r="AI24" s="43">
        <f t="shared" si="21"/>
        <v>45618</v>
      </c>
      <c r="AJ24" s="54"/>
      <c r="AK24" s="45" t="str">
        <f t="shared" si="22"/>
        <v/>
      </c>
      <c r="AL24" s="43">
        <f t="shared" si="8"/>
        <v>45648</v>
      </c>
      <c r="AM24" s="54"/>
      <c r="AN24" s="47" t="str">
        <f t="shared" si="23"/>
        <v/>
      </c>
      <c r="AO24" s="41"/>
      <c r="AP24" s="41"/>
      <c r="AR24" s="77"/>
    </row>
    <row r="25" spans="1:46" ht="16.5" customHeight="1" x14ac:dyDescent="0.3">
      <c r="A25" s="42">
        <v>23</v>
      </c>
      <c r="B25" s="43">
        <f t="shared" si="0"/>
        <v>45314</v>
      </c>
      <c r="C25" s="44">
        <v>13.276</v>
      </c>
      <c r="D25" s="45">
        <f t="shared" si="24"/>
        <v>-1.6560000000000628</v>
      </c>
      <c r="E25" s="48">
        <f t="shared" si="29"/>
        <v>229.35600000000011</v>
      </c>
      <c r="F25" s="43">
        <f t="shared" si="9"/>
        <v>45345</v>
      </c>
      <c r="G25" s="46">
        <v>12.55</v>
      </c>
      <c r="H25" s="47">
        <f t="shared" si="25"/>
        <v>-3.0359999999999108</v>
      </c>
      <c r="I25" s="50">
        <f t="shared" si="10"/>
        <v>279.45000000000005</v>
      </c>
      <c r="J25" s="43">
        <f t="shared" si="11"/>
        <v>45374</v>
      </c>
      <c r="K25" s="49">
        <v>13.4</v>
      </c>
      <c r="L25" s="45" t="str">
        <f t="shared" si="30"/>
        <v/>
      </c>
      <c r="M25" s="50">
        <f t="shared" si="12"/>
        <v>220.80000000000007</v>
      </c>
      <c r="N25" s="43">
        <f t="shared" si="1"/>
        <v>45405</v>
      </c>
      <c r="O25" s="51">
        <v>14.385</v>
      </c>
      <c r="P25" s="47">
        <f t="shared" si="26"/>
        <v>6.5550000000000441</v>
      </c>
      <c r="Q25" s="43">
        <f t="shared" si="13"/>
        <v>45435</v>
      </c>
      <c r="R25" s="49"/>
      <c r="S25" s="45" t="str">
        <f t="shared" si="27"/>
        <v/>
      </c>
      <c r="T25" s="43">
        <f t="shared" si="14"/>
        <v>45466</v>
      </c>
      <c r="U25" s="52"/>
      <c r="V25" s="47" t="str">
        <f t="shared" si="15"/>
        <v/>
      </c>
      <c r="W25" s="43">
        <f t="shared" si="4"/>
        <v>45496</v>
      </c>
      <c r="X25" s="53"/>
      <c r="Y25" s="45" t="str">
        <f t="shared" si="16"/>
        <v/>
      </c>
      <c r="Z25" s="37">
        <f t="shared" si="5"/>
        <v>45527</v>
      </c>
      <c r="AA25" s="54"/>
      <c r="AB25" s="45" t="str">
        <f t="shared" si="17"/>
        <v/>
      </c>
      <c r="AC25" s="43">
        <f t="shared" si="28"/>
        <v>45558</v>
      </c>
      <c r="AD25" s="60"/>
      <c r="AE25" s="45" t="str">
        <f t="shared" si="18"/>
        <v/>
      </c>
      <c r="AF25" s="43">
        <f t="shared" si="19"/>
        <v>45588</v>
      </c>
      <c r="AG25" s="56"/>
      <c r="AH25" s="47" t="str">
        <f t="shared" si="20"/>
        <v/>
      </c>
      <c r="AI25" s="43">
        <f t="shared" si="21"/>
        <v>45619</v>
      </c>
      <c r="AJ25" s="54"/>
      <c r="AK25" s="45" t="str">
        <f t="shared" si="22"/>
        <v/>
      </c>
      <c r="AL25" s="43">
        <f t="shared" si="8"/>
        <v>45649</v>
      </c>
      <c r="AM25" s="54"/>
      <c r="AN25" s="47" t="str">
        <f t="shared" si="23"/>
        <v/>
      </c>
      <c r="AO25" s="41"/>
      <c r="AP25" s="41"/>
    </row>
    <row r="26" spans="1:46" ht="16.399999999999999" customHeight="1" x14ac:dyDescent="0.3">
      <c r="A26" s="42">
        <v>24</v>
      </c>
      <c r="B26" s="43">
        <f t="shared" si="0"/>
        <v>45315</v>
      </c>
      <c r="C26" s="44">
        <v>13.38</v>
      </c>
      <c r="D26" s="45">
        <f t="shared" si="24"/>
        <v>7.1760000000000677</v>
      </c>
      <c r="E26" s="48">
        <f t="shared" si="29"/>
        <v>222.18000000000006</v>
      </c>
      <c r="F26" s="43">
        <f t="shared" si="9"/>
        <v>45346</v>
      </c>
      <c r="G26" s="46">
        <v>12.55</v>
      </c>
      <c r="H26" s="47" t="str">
        <f t="shared" si="25"/>
        <v/>
      </c>
      <c r="I26" s="50">
        <f t="shared" si="10"/>
        <v>279.45000000000005</v>
      </c>
      <c r="J26" s="43">
        <f t="shared" si="11"/>
        <v>45375</v>
      </c>
      <c r="K26" s="49">
        <v>13.4</v>
      </c>
      <c r="L26" s="45" t="str">
        <f t="shared" si="30"/>
        <v/>
      </c>
      <c r="M26" s="50">
        <f t="shared" si="12"/>
        <v>220.80000000000007</v>
      </c>
      <c r="N26" s="43">
        <f t="shared" si="1"/>
        <v>45406</v>
      </c>
      <c r="O26" s="51">
        <v>14.45</v>
      </c>
      <c r="P26" s="47">
        <f t="shared" si="26"/>
        <v>4.4849999999999657</v>
      </c>
      <c r="Q26" s="43">
        <f t="shared" si="13"/>
        <v>45436</v>
      </c>
      <c r="R26" s="49"/>
      <c r="S26" s="45" t="str">
        <f t="shared" si="27"/>
        <v/>
      </c>
      <c r="T26" s="43">
        <f t="shared" si="14"/>
        <v>45467</v>
      </c>
      <c r="U26" s="52"/>
      <c r="V26" s="47" t="str">
        <f t="shared" si="15"/>
        <v/>
      </c>
      <c r="W26" s="43">
        <f t="shared" si="4"/>
        <v>45497</v>
      </c>
      <c r="X26" s="53"/>
      <c r="Y26" s="45" t="str">
        <f t="shared" si="16"/>
        <v/>
      </c>
      <c r="Z26" s="37">
        <f t="shared" si="5"/>
        <v>45528</v>
      </c>
      <c r="AA26" s="54"/>
      <c r="AB26" s="45" t="str">
        <f t="shared" si="17"/>
        <v/>
      </c>
      <c r="AC26" s="43">
        <f t="shared" si="28"/>
        <v>45559</v>
      </c>
      <c r="AD26" s="60"/>
      <c r="AE26" s="45" t="str">
        <f t="shared" si="18"/>
        <v/>
      </c>
      <c r="AF26" s="43">
        <f t="shared" si="19"/>
        <v>45589</v>
      </c>
      <c r="AG26" s="56"/>
      <c r="AH26" s="47" t="str">
        <f t="shared" si="20"/>
        <v/>
      </c>
      <c r="AI26" s="43">
        <f t="shared" si="21"/>
        <v>45620</v>
      </c>
      <c r="AJ26" s="54"/>
      <c r="AK26" s="45" t="str">
        <f t="shared" si="22"/>
        <v/>
      </c>
      <c r="AL26" s="43">
        <f t="shared" si="8"/>
        <v>45650</v>
      </c>
      <c r="AM26" s="54"/>
      <c r="AN26" s="47" t="str">
        <f t="shared" si="23"/>
        <v/>
      </c>
      <c r="AO26" s="41"/>
      <c r="AP26" s="41"/>
    </row>
    <row r="27" spans="1:46" ht="16.5" customHeight="1" x14ac:dyDescent="0.3">
      <c r="A27" s="42">
        <v>25</v>
      </c>
      <c r="B27" s="43">
        <f t="shared" si="0"/>
        <v>45316</v>
      </c>
      <c r="C27" s="44">
        <v>13.42</v>
      </c>
      <c r="D27" s="45">
        <f t="shared" si="24"/>
        <v>2.7599999999999412</v>
      </c>
      <c r="E27" s="48">
        <f t="shared" si="29"/>
        <v>219.42000000000007</v>
      </c>
      <c r="F27" s="43">
        <f t="shared" si="9"/>
        <v>45347</v>
      </c>
      <c r="G27" s="46">
        <v>12.55</v>
      </c>
      <c r="H27" s="47" t="str">
        <f t="shared" si="25"/>
        <v/>
      </c>
      <c r="I27" s="50">
        <f t="shared" si="10"/>
        <v>279.45000000000005</v>
      </c>
      <c r="J27" s="43">
        <f t="shared" si="11"/>
        <v>45376</v>
      </c>
      <c r="K27" s="49">
        <v>13.398</v>
      </c>
      <c r="L27" s="45">
        <f t="shared" si="30"/>
        <v>-0.13800000000004609</v>
      </c>
      <c r="M27" s="50">
        <f t="shared" si="12"/>
        <v>220.9380000000001</v>
      </c>
      <c r="N27" s="43">
        <f t="shared" si="1"/>
        <v>45407</v>
      </c>
      <c r="O27" s="51">
        <v>14.475</v>
      </c>
      <c r="P27" s="47">
        <f t="shared" si="26"/>
        <v>1.7250000000000245</v>
      </c>
      <c r="Q27" s="43">
        <f t="shared" si="13"/>
        <v>45437</v>
      </c>
      <c r="R27" s="49"/>
      <c r="S27" s="45" t="str">
        <f t="shared" si="27"/>
        <v/>
      </c>
      <c r="T27" s="43">
        <f t="shared" si="14"/>
        <v>45468</v>
      </c>
      <c r="U27" s="52"/>
      <c r="V27" s="47" t="str">
        <f t="shared" si="15"/>
        <v/>
      </c>
      <c r="W27" s="43">
        <f t="shared" si="4"/>
        <v>45498</v>
      </c>
      <c r="X27" s="53"/>
      <c r="Y27" s="45" t="str">
        <f t="shared" si="16"/>
        <v/>
      </c>
      <c r="Z27" s="37">
        <f t="shared" si="5"/>
        <v>45529</v>
      </c>
      <c r="AA27" s="54"/>
      <c r="AB27" s="45" t="str">
        <f t="shared" si="17"/>
        <v/>
      </c>
      <c r="AC27" s="43">
        <f t="shared" si="28"/>
        <v>45560</v>
      </c>
      <c r="AD27" s="60"/>
      <c r="AE27" s="45" t="str">
        <f t="shared" si="18"/>
        <v/>
      </c>
      <c r="AF27" s="43">
        <f t="shared" si="19"/>
        <v>45590</v>
      </c>
      <c r="AG27" s="56"/>
      <c r="AH27" s="47" t="str">
        <f t="shared" si="20"/>
        <v/>
      </c>
      <c r="AI27" s="43">
        <f t="shared" si="21"/>
        <v>45621</v>
      </c>
      <c r="AJ27" s="54"/>
      <c r="AK27" s="45" t="str">
        <f t="shared" si="22"/>
        <v/>
      </c>
      <c r="AL27" s="43">
        <f t="shared" si="8"/>
        <v>45651</v>
      </c>
      <c r="AM27" s="46"/>
      <c r="AN27" s="47" t="str">
        <f t="shared" si="23"/>
        <v/>
      </c>
      <c r="AO27" s="41"/>
      <c r="AP27" s="41"/>
    </row>
    <row r="28" spans="1:46" ht="16.5" customHeight="1" x14ac:dyDescent="0.3">
      <c r="A28" s="42">
        <v>26</v>
      </c>
      <c r="B28" s="43">
        <f t="shared" si="0"/>
        <v>45317</v>
      </c>
      <c r="C28" s="44">
        <v>13.468</v>
      </c>
      <c r="D28" s="45">
        <f t="shared" si="24"/>
        <v>3.3120000000000029</v>
      </c>
      <c r="E28" s="48">
        <f t="shared" si="29"/>
        <v>216.10800000000006</v>
      </c>
      <c r="F28" s="43">
        <f t="shared" si="9"/>
        <v>45348</v>
      </c>
      <c r="G28" s="46">
        <v>12.458</v>
      </c>
      <c r="H28" s="47">
        <f t="shared" si="25"/>
        <v>-6.3480000000000363</v>
      </c>
      <c r="I28" s="50">
        <f t="shared" si="10"/>
        <v>285.79800000000012</v>
      </c>
      <c r="J28" s="43">
        <f t="shared" si="11"/>
        <v>45377</v>
      </c>
      <c r="K28" s="49">
        <v>13.574</v>
      </c>
      <c r="L28" s="45">
        <f t="shared" si="30"/>
        <v>12.144000000000011</v>
      </c>
      <c r="M28" s="50">
        <f t="shared" si="12"/>
        <v>208.7940000000001</v>
      </c>
      <c r="N28" s="43">
        <f t="shared" si="1"/>
        <v>45408</v>
      </c>
      <c r="O28" s="51">
        <v>14.555</v>
      </c>
      <c r="P28" s="47">
        <f t="shared" si="26"/>
        <v>5.5200000000000049</v>
      </c>
      <c r="Q28" s="43">
        <f t="shared" si="13"/>
        <v>45438</v>
      </c>
      <c r="R28" s="49"/>
      <c r="S28" s="45" t="str">
        <f t="shared" si="27"/>
        <v/>
      </c>
      <c r="T28" s="43">
        <f t="shared" si="14"/>
        <v>45469</v>
      </c>
      <c r="U28" s="52"/>
      <c r="V28" s="47" t="str">
        <f t="shared" si="15"/>
        <v/>
      </c>
      <c r="W28" s="43">
        <f t="shared" si="4"/>
        <v>45499</v>
      </c>
      <c r="X28" s="53"/>
      <c r="Y28" s="45" t="str">
        <f t="shared" si="16"/>
        <v/>
      </c>
      <c r="Z28" s="37">
        <f t="shared" si="5"/>
        <v>45530</v>
      </c>
      <c r="AA28" s="57"/>
      <c r="AB28" s="45" t="str">
        <f t="shared" si="17"/>
        <v/>
      </c>
      <c r="AC28" s="43">
        <f t="shared" si="28"/>
        <v>45561</v>
      </c>
      <c r="AD28" s="60"/>
      <c r="AE28" s="45" t="str">
        <f t="shared" si="18"/>
        <v/>
      </c>
      <c r="AF28" s="43">
        <f t="shared" si="19"/>
        <v>45591</v>
      </c>
      <c r="AG28" s="56"/>
      <c r="AH28" s="47" t="str">
        <f t="shared" si="20"/>
        <v/>
      </c>
      <c r="AI28" s="43">
        <f t="shared" si="21"/>
        <v>45622</v>
      </c>
      <c r="AJ28" s="54"/>
      <c r="AK28" s="45" t="str">
        <f t="shared" si="22"/>
        <v/>
      </c>
      <c r="AL28" s="43">
        <f t="shared" si="8"/>
        <v>45652</v>
      </c>
      <c r="AM28" s="54"/>
      <c r="AN28" s="47" t="str">
        <f t="shared" si="23"/>
        <v/>
      </c>
      <c r="AO28" s="41"/>
      <c r="AP28" s="41"/>
    </row>
    <row r="29" spans="1:46" ht="15.65" customHeight="1" x14ac:dyDescent="0.3">
      <c r="A29" s="42">
        <v>27</v>
      </c>
      <c r="B29" s="43">
        <f t="shared" si="0"/>
        <v>45318</v>
      </c>
      <c r="C29" s="44">
        <v>13.468</v>
      </c>
      <c r="D29" s="45" t="str">
        <f t="shared" si="24"/>
        <v/>
      </c>
      <c r="E29" s="48">
        <f t="shared" si="29"/>
        <v>216.10800000000006</v>
      </c>
      <c r="F29" s="43">
        <f t="shared" si="9"/>
        <v>45349</v>
      </c>
      <c r="G29" s="46">
        <v>12.52</v>
      </c>
      <c r="H29" s="47">
        <f t="shared" si="25"/>
        <v>4.2779999999999578</v>
      </c>
      <c r="I29" s="50">
        <f t="shared" si="10"/>
        <v>281.5200000000001</v>
      </c>
      <c r="J29" s="43">
        <f t="shared" si="11"/>
        <v>45378</v>
      </c>
      <c r="K29" s="49">
        <v>13.58</v>
      </c>
      <c r="L29" s="45">
        <f t="shared" si="30"/>
        <v>0.41400000000001569</v>
      </c>
      <c r="M29" s="50">
        <f t="shared" si="12"/>
        <v>208.38000000000011</v>
      </c>
      <c r="N29" s="43">
        <f t="shared" si="1"/>
        <v>45409</v>
      </c>
      <c r="O29" s="51">
        <v>14.555</v>
      </c>
      <c r="P29" s="47" t="str">
        <f t="shared" si="26"/>
        <v/>
      </c>
      <c r="Q29" s="43">
        <f t="shared" si="13"/>
        <v>45439</v>
      </c>
      <c r="R29" s="49"/>
      <c r="S29" s="45" t="str">
        <f t="shared" si="27"/>
        <v/>
      </c>
      <c r="T29" s="43">
        <f t="shared" si="14"/>
        <v>45470</v>
      </c>
      <c r="U29" s="52"/>
      <c r="V29" s="47" t="str">
        <f t="shared" si="15"/>
        <v/>
      </c>
      <c r="W29" s="43">
        <f t="shared" si="4"/>
        <v>45500</v>
      </c>
      <c r="X29" s="53"/>
      <c r="Y29" s="45" t="str">
        <f t="shared" si="16"/>
        <v/>
      </c>
      <c r="Z29" s="37">
        <f t="shared" si="5"/>
        <v>45531</v>
      </c>
      <c r="AA29" s="57"/>
      <c r="AB29" s="45" t="str">
        <f t="shared" si="17"/>
        <v/>
      </c>
      <c r="AC29" s="43">
        <f t="shared" si="28"/>
        <v>45562</v>
      </c>
      <c r="AD29" s="60"/>
      <c r="AE29" s="45" t="str">
        <f t="shared" si="18"/>
        <v/>
      </c>
      <c r="AF29" s="43">
        <f t="shared" si="19"/>
        <v>45592</v>
      </c>
      <c r="AG29" s="56"/>
      <c r="AH29" s="47" t="str">
        <f t="shared" si="20"/>
        <v/>
      </c>
      <c r="AI29" s="43">
        <f t="shared" si="21"/>
        <v>45623</v>
      </c>
      <c r="AJ29" s="54"/>
      <c r="AK29" s="45" t="str">
        <f t="shared" si="22"/>
        <v/>
      </c>
      <c r="AL29" s="43">
        <f t="shared" si="8"/>
        <v>45653</v>
      </c>
      <c r="AM29" s="54"/>
      <c r="AN29" s="47" t="str">
        <f t="shared" si="23"/>
        <v/>
      </c>
      <c r="AO29" s="41"/>
      <c r="AP29" s="41"/>
    </row>
    <row r="30" spans="1:46" ht="16.5" customHeight="1" x14ac:dyDescent="0.3">
      <c r="A30" s="42">
        <v>28</v>
      </c>
      <c r="B30" s="43">
        <f t="shared" si="0"/>
        <v>45319</v>
      </c>
      <c r="C30" s="44">
        <v>13.468</v>
      </c>
      <c r="D30" s="45" t="str">
        <f t="shared" si="24"/>
        <v/>
      </c>
      <c r="E30" s="48">
        <f t="shared" si="29"/>
        <v>216.10800000000006</v>
      </c>
      <c r="F30" s="43">
        <f>IF(MONTH(DATE(YEAR($A$2),MONTH($F$2),DAY(A30)))=MONTH($F$2),DATE(YEAR($A$2),MONTH($F$2),DAY(A30)),"")</f>
        <v>45350</v>
      </c>
      <c r="G30" s="46">
        <v>12.574</v>
      </c>
      <c r="H30" s="47">
        <f t="shared" si="25"/>
        <v>3.7260000000000186</v>
      </c>
      <c r="I30" s="50">
        <f t="shared" si="10"/>
        <v>277.7940000000001</v>
      </c>
      <c r="J30" s="43">
        <f t="shared" si="11"/>
        <v>45379</v>
      </c>
      <c r="K30" s="49">
        <v>13.816000000000001</v>
      </c>
      <c r="L30" s="45">
        <f t="shared" si="30"/>
        <v>16.284000000000045</v>
      </c>
      <c r="M30" s="50">
        <f t="shared" si="12"/>
        <v>192.096</v>
      </c>
      <c r="N30" s="43">
        <f t="shared" si="1"/>
        <v>45410</v>
      </c>
      <c r="O30" s="78">
        <v>14.555</v>
      </c>
      <c r="P30" s="47" t="str">
        <f t="shared" si="26"/>
        <v/>
      </c>
      <c r="Q30" s="43">
        <f t="shared" si="13"/>
        <v>45440</v>
      </c>
      <c r="R30" s="49"/>
      <c r="S30" s="45" t="str">
        <f t="shared" si="27"/>
        <v/>
      </c>
      <c r="T30" s="43">
        <f t="shared" si="14"/>
        <v>45471</v>
      </c>
      <c r="U30" s="52"/>
      <c r="V30" s="47" t="str">
        <f t="shared" si="15"/>
        <v/>
      </c>
      <c r="W30" s="43">
        <f t="shared" si="4"/>
        <v>45501</v>
      </c>
      <c r="X30" s="53"/>
      <c r="Y30" s="45" t="str">
        <f t="shared" si="16"/>
        <v/>
      </c>
      <c r="Z30" s="37">
        <f t="shared" si="5"/>
        <v>45532</v>
      </c>
      <c r="AA30" s="54"/>
      <c r="AB30" s="45" t="str">
        <f t="shared" si="17"/>
        <v/>
      </c>
      <c r="AC30" s="43">
        <f t="shared" si="28"/>
        <v>45563</v>
      </c>
      <c r="AD30" s="60"/>
      <c r="AE30" s="45" t="str">
        <f t="shared" si="18"/>
        <v/>
      </c>
      <c r="AF30" s="43">
        <f t="shared" si="19"/>
        <v>45593</v>
      </c>
      <c r="AG30" s="56"/>
      <c r="AH30" s="47" t="str">
        <f t="shared" si="20"/>
        <v/>
      </c>
      <c r="AI30" s="43">
        <f t="shared" si="21"/>
        <v>45624</v>
      </c>
      <c r="AJ30" s="54"/>
      <c r="AK30" s="45" t="str">
        <f t="shared" si="22"/>
        <v/>
      </c>
      <c r="AL30" s="43">
        <f t="shared" si="8"/>
        <v>45654</v>
      </c>
      <c r="AM30" s="54"/>
      <c r="AN30" s="47" t="str">
        <f t="shared" si="23"/>
        <v/>
      </c>
      <c r="AO30" s="79"/>
      <c r="AP30" s="41"/>
    </row>
    <row r="31" spans="1:46" ht="16.5" customHeight="1" thickBot="1" x14ac:dyDescent="0.35">
      <c r="A31" s="42">
        <v>29</v>
      </c>
      <c r="B31" s="43">
        <f t="shared" si="0"/>
        <v>45320</v>
      </c>
      <c r="C31" s="44">
        <v>13.254</v>
      </c>
      <c r="D31" s="45">
        <f t="shared" si="24"/>
        <v>-14.766000000000028</v>
      </c>
      <c r="E31" s="48">
        <f t="shared" si="29"/>
        <v>230.87400000000014</v>
      </c>
      <c r="F31" s="80">
        <f>IF(MONTH(DATE(YEAR($A$2),MONTH($F$2),DAY(A31)))=MONTH($F$2),DATE(YEAR($A$2),MONTH($F$2),DAY(A31)),"")</f>
        <v>45351</v>
      </c>
      <c r="G31" s="81">
        <v>12.52</v>
      </c>
      <c r="H31" s="82">
        <f t="shared" si="25"/>
        <v>-3.7260000000000186</v>
      </c>
      <c r="I31" s="50">
        <f t="shared" si="10"/>
        <v>281.5200000000001</v>
      </c>
      <c r="J31" s="43">
        <f t="shared" si="11"/>
        <v>45380</v>
      </c>
      <c r="K31" s="49">
        <v>13.816000000000001</v>
      </c>
      <c r="L31" s="45" t="str">
        <f t="shared" si="30"/>
        <v/>
      </c>
      <c r="M31" s="50">
        <f t="shared" si="12"/>
        <v>192.096</v>
      </c>
      <c r="N31" s="43">
        <f t="shared" si="1"/>
        <v>45411</v>
      </c>
      <c r="O31" s="51">
        <v>14.55</v>
      </c>
      <c r="P31" s="47">
        <f t="shared" si="26"/>
        <v>-0.34499999999993136</v>
      </c>
      <c r="Q31" s="43">
        <f t="shared" si="13"/>
        <v>45441</v>
      </c>
      <c r="R31" s="49"/>
      <c r="S31" s="45" t="str">
        <f t="shared" si="27"/>
        <v/>
      </c>
      <c r="T31" s="43">
        <f t="shared" si="14"/>
        <v>45472</v>
      </c>
      <c r="U31" s="52"/>
      <c r="V31" s="47" t="str">
        <f t="shared" si="15"/>
        <v/>
      </c>
      <c r="W31" s="43">
        <f t="shared" si="4"/>
        <v>45502</v>
      </c>
      <c r="X31" s="53"/>
      <c r="Y31" s="45" t="str">
        <f t="shared" si="16"/>
        <v/>
      </c>
      <c r="Z31" s="37">
        <f t="shared" si="5"/>
        <v>45533</v>
      </c>
      <c r="AA31" s="54"/>
      <c r="AB31" s="45" t="str">
        <f t="shared" si="17"/>
        <v/>
      </c>
      <c r="AC31" s="43">
        <f t="shared" si="28"/>
        <v>45564</v>
      </c>
      <c r="AD31" s="60"/>
      <c r="AE31" s="45" t="str">
        <f t="shared" si="18"/>
        <v/>
      </c>
      <c r="AF31" s="43">
        <f t="shared" si="19"/>
        <v>45594</v>
      </c>
      <c r="AG31" s="56"/>
      <c r="AH31" s="47" t="str">
        <f t="shared" si="20"/>
        <v/>
      </c>
      <c r="AI31" s="43">
        <f t="shared" si="21"/>
        <v>45625</v>
      </c>
      <c r="AJ31" s="54"/>
      <c r="AK31" s="45" t="str">
        <f t="shared" si="22"/>
        <v/>
      </c>
      <c r="AL31" s="43">
        <f t="shared" si="8"/>
        <v>45655</v>
      </c>
      <c r="AM31" s="54"/>
      <c r="AN31" s="47" t="str">
        <f t="shared" si="23"/>
        <v/>
      </c>
      <c r="AO31" s="41"/>
      <c r="AP31" s="41"/>
    </row>
    <row r="32" spans="1:46" ht="16.5" customHeight="1" thickTop="1" thickBot="1" x14ac:dyDescent="0.35">
      <c r="A32" s="42">
        <v>30</v>
      </c>
      <c r="B32" s="43">
        <f t="shared" si="0"/>
        <v>45321</v>
      </c>
      <c r="C32" s="44">
        <v>13.31</v>
      </c>
      <c r="D32" s="45">
        <f t="shared" si="24"/>
        <v>3.8640000000000647</v>
      </c>
      <c r="E32" s="48">
        <f t="shared" si="29"/>
        <v>227.0100000000001</v>
      </c>
      <c r="F32" s="83" t="str">
        <f>IF(MONTH(DATE(YEAR($A$2),MONTH($F$2),DAY($A32)))=MONTH($F$2),DATE(YEAR($A$2),MONTH($F$2),DAY($A32)),"")</f>
        <v/>
      </c>
      <c r="G32" s="84"/>
      <c r="H32" s="85"/>
      <c r="I32" s="86"/>
      <c r="J32" s="43">
        <f t="shared" si="11"/>
        <v>45381</v>
      </c>
      <c r="K32" s="49">
        <v>13.816000000000001</v>
      </c>
      <c r="L32" s="45" t="str">
        <f t="shared" si="30"/>
        <v/>
      </c>
      <c r="M32" s="50">
        <f t="shared" si="12"/>
        <v>192.096</v>
      </c>
      <c r="N32" s="43">
        <f t="shared" si="1"/>
        <v>45412</v>
      </c>
      <c r="O32" s="87">
        <v>14.55</v>
      </c>
      <c r="P32" s="47" t="str">
        <f t="shared" si="26"/>
        <v/>
      </c>
      <c r="Q32" s="43">
        <f t="shared" si="13"/>
        <v>45442</v>
      </c>
      <c r="R32" s="49"/>
      <c r="S32" s="45" t="str">
        <f t="shared" si="27"/>
        <v/>
      </c>
      <c r="T32" s="80">
        <f t="shared" si="14"/>
        <v>45473</v>
      </c>
      <c r="U32" s="88"/>
      <c r="V32" s="47" t="str">
        <f t="shared" si="15"/>
        <v/>
      </c>
      <c r="W32" s="43">
        <f t="shared" si="4"/>
        <v>45503</v>
      </c>
      <c r="X32" s="53"/>
      <c r="Y32" s="45" t="str">
        <f t="shared" si="16"/>
        <v/>
      </c>
      <c r="Z32" s="37">
        <f t="shared" si="5"/>
        <v>45534</v>
      </c>
      <c r="AA32" s="54"/>
      <c r="AB32" s="45" t="str">
        <f t="shared" si="17"/>
        <v/>
      </c>
      <c r="AC32" s="89">
        <f t="shared" si="28"/>
        <v>45565</v>
      </c>
      <c r="AD32" s="90"/>
      <c r="AE32" s="91" t="str">
        <f t="shared" si="18"/>
        <v/>
      </c>
      <c r="AF32" s="43">
        <f t="shared" si="19"/>
        <v>45595</v>
      </c>
      <c r="AG32" s="56"/>
      <c r="AH32" s="47" t="str">
        <f t="shared" si="20"/>
        <v/>
      </c>
      <c r="AI32" s="80">
        <f t="shared" si="21"/>
        <v>45626</v>
      </c>
      <c r="AJ32" s="92"/>
      <c r="AK32" s="91" t="str">
        <f t="shared" si="22"/>
        <v/>
      </c>
      <c r="AL32" s="43">
        <f t="shared" si="8"/>
        <v>45656</v>
      </c>
      <c r="AM32" s="54"/>
      <c r="AN32" s="47" t="str">
        <f t="shared" si="23"/>
        <v/>
      </c>
      <c r="AO32" s="41"/>
      <c r="AP32" s="41"/>
    </row>
    <row r="33" spans="1:45" ht="16.5" customHeight="1" thickTop="1" thickBot="1" x14ac:dyDescent="0.35">
      <c r="A33" s="93">
        <v>31</v>
      </c>
      <c r="B33" s="80">
        <f t="shared" si="0"/>
        <v>45322</v>
      </c>
      <c r="C33" s="81">
        <v>13.311999999999999</v>
      </c>
      <c r="D33" s="82">
        <f t="shared" si="24"/>
        <v>0.13799999999992352</v>
      </c>
      <c r="E33" s="48">
        <f t="shared" si="29"/>
        <v>226.87200000000018</v>
      </c>
      <c r="F33" s="83" t="str">
        <f>IF(MONTH(DATE(YEAR($A$2),MONTH($F$2),DAY(A33)))=MONTH($F$2),DATE(YEAR($A$2),MONTH($F$2),DAY(A33)),"")</f>
        <v/>
      </c>
      <c r="G33" s="84"/>
      <c r="H33" s="85"/>
      <c r="I33" s="86"/>
      <c r="J33" s="80">
        <f t="shared" si="11"/>
        <v>45382</v>
      </c>
      <c r="K33" s="94">
        <v>13.816000000000001</v>
      </c>
      <c r="L33" s="82" t="str">
        <f t="shared" si="30"/>
        <v/>
      </c>
      <c r="M33" s="95">
        <f t="shared" si="12"/>
        <v>192.096</v>
      </c>
      <c r="N33" s="96"/>
      <c r="O33" s="97"/>
      <c r="P33" s="98"/>
      <c r="Q33" s="80">
        <f t="shared" si="13"/>
        <v>45443</v>
      </c>
      <c r="R33" s="94"/>
      <c r="S33" s="82" t="str">
        <f t="shared" si="27"/>
        <v/>
      </c>
      <c r="T33" s="99"/>
      <c r="U33" s="100"/>
      <c r="V33" s="101" t="str">
        <f t="shared" ref="V33" si="31">IF(U33="","",(U33-U32)*69)</f>
        <v/>
      </c>
      <c r="W33" s="80">
        <f t="shared" si="4"/>
        <v>45504</v>
      </c>
      <c r="X33" s="102"/>
      <c r="Y33" s="82" t="str">
        <f t="shared" si="16"/>
        <v/>
      </c>
      <c r="Z33" s="80">
        <f t="shared" si="5"/>
        <v>45535</v>
      </c>
      <c r="AA33" s="103"/>
      <c r="AB33" s="82" t="str">
        <f t="shared" si="17"/>
        <v/>
      </c>
      <c r="AC33" s="104"/>
      <c r="AD33" s="105"/>
      <c r="AE33" s="106"/>
      <c r="AF33" s="80">
        <f t="shared" si="19"/>
        <v>45596</v>
      </c>
      <c r="AG33" s="107"/>
      <c r="AH33" s="108" t="str">
        <f t="shared" si="20"/>
        <v/>
      </c>
      <c r="AI33" s="99"/>
      <c r="AJ33" s="105"/>
      <c r="AK33" s="106"/>
      <c r="AL33" s="80">
        <v>32</v>
      </c>
      <c r="AM33" s="109"/>
      <c r="AN33" s="108" t="str">
        <f t="shared" si="23"/>
        <v/>
      </c>
      <c r="AO33" s="41"/>
      <c r="AP33" s="41"/>
    </row>
    <row r="34" spans="1:45" ht="16.5" customHeight="1" thickTop="1" thickBot="1" x14ac:dyDescent="0.35">
      <c r="A34" s="110"/>
      <c r="B34" s="111"/>
      <c r="C34" s="112"/>
      <c r="F34" s="114"/>
      <c r="G34" s="114"/>
      <c r="AO34" s="41"/>
      <c r="AP34" s="41"/>
    </row>
    <row r="35" spans="1:45" s="134" customFormat="1" ht="14.5" thickBot="1" x14ac:dyDescent="0.35">
      <c r="A35" s="121" t="s">
        <v>18</v>
      </c>
      <c r="B35" s="122"/>
      <c r="C35" s="123"/>
      <c r="D35" s="124">
        <f>SUM(D3:D33)</f>
        <v>31.739999999999938</v>
      </c>
      <c r="E35" s="124"/>
      <c r="F35" s="125"/>
      <c r="G35" s="126"/>
      <c r="H35" s="124">
        <f>SUM(H3:H33)</f>
        <v>-54.647999999999989</v>
      </c>
      <c r="I35" s="127"/>
      <c r="J35" s="128"/>
      <c r="K35" s="128"/>
      <c r="L35" s="129">
        <f>SUM(L3:L33)</f>
        <v>89.424000000000092</v>
      </c>
      <c r="M35" s="129"/>
      <c r="N35" s="128"/>
      <c r="O35" s="128"/>
      <c r="P35" s="129">
        <f>SUM(P3:P33)</f>
        <v>50.646000000000001</v>
      </c>
      <c r="Q35" s="128"/>
      <c r="R35" s="128"/>
      <c r="S35" s="129">
        <f>SUM(S3:S33)</f>
        <v>0</v>
      </c>
      <c r="T35" s="130"/>
      <c r="U35" s="131"/>
      <c r="V35" s="129">
        <f>SUM(V3:V33)</f>
        <v>0</v>
      </c>
      <c r="W35" s="130"/>
      <c r="X35" s="132"/>
      <c r="Y35" s="129">
        <f>SUM(Y3:Y33)</f>
        <v>0</v>
      </c>
      <c r="Z35" s="130"/>
      <c r="AA35" s="130"/>
      <c r="AB35" s="129">
        <f>SUM(AB3:AB33)</f>
        <v>0</v>
      </c>
      <c r="AC35" s="133"/>
      <c r="AD35" s="133"/>
      <c r="AE35" s="129">
        <f>SUM(AE3:AE33)</f>
        <v>0</v>
      </c>
      <c r="AF35" s="130"/>
      <c r="AG35" s="130"/>
      <c r="AH35" s="129">
        <f>SUM(AH3:AH33)</f>
        <v>0</v>
      </c>
      <c r="AI35" s="133"/>
      <c r="AJ35" s="133"/>
      <c r="AK35" s="129">
        <f>SUM(AK3:AK33)</f>
        <v>0</v>
      </c>
      <c r="AL35" s="130"/>
      <c r="AM35" s="130"/>
      <c r="AN35" s="129">
        <f>SUM(AN3:AN33)</f>
        <v>0</v>
      </c>
      <c r="AS35" s="135"/>
    </row>
    <row r="36" spans="1:45" s="144" customFormat="1" ht="12" thickTop="1" x14ac:dyDescent="0.25">
      <c r="A36" s="136" t="s">
        <v>19</v>
      </c>
      <c r="B36" s="137" t="s">
        <v>20</v>
      </c>
      <c r="C36" s="138" cm="1">
        <f t="array" ref="C36">IF(D36=0,"",_xlfn.XLOOKUP(D36,D$3:D33,B$3:B$33))</f>
        <v>45293</v>
      </c>
      <c r="D36" s="139">
        <f>MAX(D3:D33)</f>
        <v>14.627999999999982</v>
      </c>
      <c r="E36" s="140"/>
      <c r="F36" s="137" t="s">
        <v>20</v>
      </c>
      <c r="G36" s="138" cm="1">
        <f t="array" ref="G36">IF(H36=0,"",_xlfn.XLOOKUP(H36,H$3:H31,F$3:F$31))</f>
        <v>45324</v>
      </c>
      <c r="H36" s="139">
        <f>MAX(H3:H31)</f>
        <v>13.799999999999951</v>
      </c>
      <c r="I36" s="141"/>
      <c r="J36" s="137" t="s">
        <v>20</v>
      </c>
      <c r="K36" s="138" cm="1">
        <f t="array" ref="K36">IF(L36=0,"",_xlfn.XLOOKUP(L36,L$3:L33,J$3:J$33))</f>
        <v>45358</v>
      </c>
      <c r="L36" s="139">
        <f>MAX(L3:L33)</f>
        <v>18.216000000000079</v>
      </c>
      <c r="M36" s="140"/>
      <c r="N36" s="137" t="s">
        <v>20</v>
      </c>
      <c r="O36" s="138" cm="1">
        <f t="array" ref="O36">IF(P36=0,"",_xlfn.XLOOKUP(P36,P$3:P32,N$3:N$32))</f>
        <v>45404</v>
      </c>
      <c r="P36" s="139">
        <f>MAX(P3:P32)</f>
        <v>17.594999999999931</v>
      </c>
      <c r="Q36" s="137" t="s">
        <v>20</v>
      </c>
      <c r="R36" s="138" cm="1">
        <f t="array" ref="R36">IF(S36=0,"",_xlfn.XLOOKUP(S36,S$3:S33,Q$3:Q$33))</f>
        <v>45425</v>
      </c>
      <c r="S36" s="139">
        <f>MAX(S3:S33)</f>
        <v>106.95000000000005</v>
      </c>
      <c r="T36" s="137" t="s">
        <v>20</v>
      </c>
      <c r="U36" s="138" t="str" cm="1">
        <f t="array" ref="U36">IF(V36=0,"",_xlfn.XLOOKUP(V36,V$3:V32,T$3:T$32))</f>
        <v/>
      </c>
      <c r="V36" s="139">
        <f>MAX(V3:V32)</f>
        <v>0</v>
      </c>
      <c r="W36" s="137" t="s">
        <v>20</v>
      </c>
      <c r="X36" s="138" t="str" cm="1">
        <f t="array" ref="X36">IF(Y36=0,"",_xlfn.XLOOKUP(Y36,Y$3:Y33,W$3:W$33))</f>
        <v/>
      </c>
      <c r="Y36" s="139">
        <f>MAX(Y3:Y33)</f>
        <v>0</v>
      </c>
      <c r="Z36" s="137" t="s">
        <v>20</v>
      </c>
      <c r="AA36" s="138" t="str" cm="1">
        <f t="array" ref="AA36">IF(AB36=0,"",_xlfn.XLOOKUP(AB36,AB$3:AB33,Z$3:Z$33))</f>
        <v/>
      </c>
      <c r="AB36" s="139">
        <f>MAX(AB3:AB33)</f>
        <v>0</v>
      </c>
      <c r="AC36" s="137" t="s">
        <v>20</v>
      </c>
      <c r="AD36" s="138" t="str" cm="1">
        <f t="array" ref="AD36">IF(AE36=0,"",_xlfn.XLOOKUP(AE36,AE$3:AE32,AC$3:AC$32))</f>
        <v/>
      </c>
      <c r="AE36" s="139">
        <f>MAX(AE3:AE32)</f>
        <v>0</v>
      </c>
      <c r="AF36" s="137" t="s">
        <v>20</v>
      </c>
      <c r="AG36" s="138" t="str" cm="1">
        <f t="array" ref="AG36">IF(AH36=0,"",_xlfn.XLOOKUP(AH36,AH$3:AH33,AF$3:AF$33))</f>
        <v/>
      </c>
      <c r="AH36" s="139">
        <f>MAX(AH3:AH33)</f>
        <v>0</v>
      </c>
      <c r="AI36" s="137" t="s">
        <v>20</v>
      </c>
      <c r="AJ36" s="138" t="str" cm="1">
        <f t="array" ref="AJ36">IF(AK36=0,"",_xlfn.XLOOKUP(AK36,AK$3:AK32,AI$3:AI$32))</f>
        <v/>
      </c>
      <c r="AK36" s="139">
        <f>MAX(AK3:AK32)</f>
        <v>0</v>
      </c>
      <c r="AL36" s="137" t="s">
        <v>20</v>
      </c>
      <c r="AM36" s="138" t="str" cm="1">
        <f t="array" ref="AM36">IF(AN36=0,"",_xlfn.XLOOKUP(AN36,AN$3:AN33,AL$3:AL$33))</f>
        <v/>
      </c>
      <c r="AN36" s="139">
        <f>MAX(AN3:AN33)</f>
        <v>0</v>
      </c>
      <c r="AO36" s="142"/>
      <c r="AP36" s="143"/>
      <c r="AS36" s="145"/>
    </row>
    <row r="37" spans="1:45" s="144" customFormat="1" ht="11.5" x14ac:dyDescent="0.25">
      <c r="A37" s="146" t="s">
        <v>21</v>
      </c>
      <c r="B37" s="147" t="s">
        <v>22</v>
      </c>
      <c r="C37" s="148">
        <f>IF(D37=0,"",_xlfn.XLOOKUP(D37,D$3:D$33,B$3:B$33))</f>
        <v>45320</v>
      </c>
      <c r="D37" s="149">
        <f>MIN(D3:D33)</f>
        <v>-14.766000000000028</v>
      </c>
      <c r="E37" s="146"/>
      <c r="F37" s="147" t="s">
        <v>22</v>
      </c>
      <c r="G37" s="148">
        <f>IF(H37=0,"",_xlfn.XLOOKUP(H37,H$3:H$31,F$3:F$31))</f>
        <v>45330</v>
      </c>
      <c r="H37" s="149">
        <f>MIN(H3:H31)</f>
        <v>-45.263999999999918</v>
      </c>
      <c r="I37" s="150"/>
      <c r="J37" s="147" t="s">
        <v>22</v>
      </c>
      <c r="K37" s="148">
        <f>IF(L37=0,"",_xlfn.XLOOKUP(L37,L$3:L$33,J$3:J$33))</f>
        <v>45356</v>
      </c>
      <c r="L37" s="149">
        <f>MIN(L3:L33)</f>
        <v>-2.346000000000048</v>
      </c>
      <c r="M37" s="146"/>
      <c r="N37" s="147" t="s">
        <v>22</v>
      </c>
      <c r="O37" s="148">
        <f>IF(P37=0,"",_xlfn.XLOOKUP(P37,P$3:P$32,N$3:N$32))</f>
        <v>45393</v>
      </c>
      <c r="P37" s="149">
        <f>MIN(P3:P32)</f>
        <v>-18.975000000000023</v>
      </c>
      <c r="Q37" s="147" t="s">
        <v>22</v>
      </c>
      <c r="R37" s="148">
        <f>IF(S37=0,"",_xlfn.XLOOKUP(S37,S$3:S$33,Q$3:Q$33))</f>
        <v>45413</v>
      </c>
      <c r="S37" s="149">
        <f>MIN(S3:S33)</f>
        <v>-169.04999999999995</v>
      </c>
      <c r="T37" s="147" t="s">
        <v>22</v>
      </c>
      <c r="U37" s="148" t="str">
        <f>IF(V37=0,"",_xlfn.XLOOKUP(V37,V$3:V$32,T$3:T$32))</f>
        <v/>
      </c>
      <c r="V37" s="149">
        <f>MIN(V3:V32)</f>
        <v>0</v>
      </c>
      <c r="W37" s="147" t="s">
        <v>22</v>
      </c>
      <c r="X37" s="148" t="str">
        <f>IF(Y37=0,"",_xlfn.XLOOKUP(Y37,Y$3:Y$33,W$3:W$33))</f>
        <v/>
      </c>
      <c r="Y37" s="149">
        <f>MIN(Y3:Y33)</f>
        <v>0</v>
      </c>
      <c r="Z37" s="147" t="s">
        <v>22</v>
      </c>
      <c r="AA37" s="148" t="str">
        <f>IF(AB37=0,"",_xlfn.XLOOKUP(AB37,AB$3:AB$33,Z$3:Z$33))</f>
        <v/>
      </c>
      <c r="AB37" s="149">
        <f>MIN(AB3:AB33)</f>
        <v>0</v>
      </c>
      <c r="AC37" s="147" t="s">
        <v>22</v>
      </c>
      <c r="AD37" s="148" t="str">
        <f>IF(AE37=0,"",_xlfn.XLOOKUP(AE37,AE$3:AE$32,AC$3:AC$32))</f>
        <v/>
      </c>
      <c r="AE37" s="149">
        <f>MIN(AE3:AE32)</f>
        <v>0</v>
      </c>
      <c r="AF37" s="147" t="s">
        <v>22</v>
      </c>
      <c r="AG37" s="148" t="str">
        <f>IF(AH37=0,"",_xlfn.XLOOKUP(AH37,AH$3:AH$33,AF$3:AF$33))</f>
        <v/>
      </c>
      <c r="AH37" s="149">
        <f>MIN(AH3:AH33)</f>
        <v>0</v>
      </c>
      <c r="AI37" s="147" t="s">
        <v>22</v>
      </c>
      <c r="AJ37" s="148" t="str">
        <f>IF(AK37=0,"",_xlfn.XLOOKUP(AK37,AK$3:AK$32,AI$3:AI$32))</f>
        <v/>
      </c>
      <c r="AK37" s="149">
        <f>MIN(AK3:AK32)</f>
        <v>0</v>
      </c>
      <c r="AL37" s="147" t="s">
        <v>22</v>
      </c>
      <c r="AM37" s="148" t="str">
        <f>IF(AN37=0,"",_xlfn.XLOOKUP(AN37,AN$3:AN$33,AL$3:AL$33))</f>
        <v/>
      </c>
      <c r="AN37" s="149">
        <f>MIN(AN3:AN33)</f>
        <v>0</v>
      </c>
      <c r="AO37" s="142"/>
      <c r="AP37" s="143"/>
      <c r="AS37" s="145"/>
    </row>
    <row r="38" spans="1:45" s="144" customFormat="1" ht="7.5" customHeight="1" x14ac:dyDescent="0.25">
      <c r="A38" s="146"/>
      <c r="B38" s="147"/>
      <c r="C38" s="146"/>
      <c r="D38" s="149"/>
      <c r="E38" s="146"/>
      <c r="F38" s="147"/>
      <c r="G38" s="146"/>
      <c r="H38" s="149"/>
      <c r="I38" s="150"/>
      <c r="J38" s="147"/>
      <c r="K38" s="146"/>
      <c r="L38" s="149"/>
      <c r="M38" s="146"/>
      <c r="N38" s="147"/>
      <c r="O38" s="146"/>
      <c r="P38" s="149"/>
      <c r="Q38" s="147"/>
      <c r="R38" s="146"/>
      <c r="S38" s="149"/>
      <c r="T38" s="147"/>
      <c r="U38" s="146"/>
      <c r="V38" s="149"/>
      <c r="W38" s="147"/>
      <c r="X38" s="146"/>
      <c r="Y38" s="149"/>
      <c r="Z38" s="147"/>
      <c r="AA38" s="146"/>
      <c r="AB38" s="149"/>
      <c r="AC38" s="147"/>
      <c r="AD38" s="146"/>
      <c r="AE38" s="149"/>
      <c r="AF38" s="147"/>
      <c r="AG38" s="146"/>
      <c r="AH38" s="149"/>
      <c r="AI38" s="147"/>
      <c r="AJ38" s="146"/>
      <c r="AK38" s="149"/>
      <c r="AL38" s="147"/>
      <c r="AM38" s="146"/>
      <c r="AN38" s="149"/>
      <c r="AO38" s="142"/>
      <c r="AP38" s="143"/>
      <c r="AS38" s="145"/>
    </row>
    <row r="39" spans="1:45" s="144" customFormat="1" ht="11.5" x14ac:dyDescent="0.25">
      <c r="A39" s="136" t="s">
        <v>23</v>
      </c>
      <c r="B39" s="151" t="s">
        <v>20</v>
      </c>
      <c r="C39" s="152" cm="1">
        <f t="array" ref="C39">IF(D39=0,"",_xlfn.XLOOKUP(D39,C$3:C33,B$3:B$33))</f>
        <v>45317</v>
      </c>
      <c r="D39" s="153">
        <f>MAX(C3:C33)</f>
        <v>13.468</v>
      </c>
      <c r="E39" s="154"/>
      <c r="F39" s="151" t="s">
        <v>20</v>
      </c>
      <c r="G39" s="152" cm="1">
        <f t="array" ref="G39">IF(H39=0,"",_xlfn.XLOOKUP(H39,G$3:G31,F$3:F$31))</f>
        <v>45324</v>
      </c>
      <c r="H39" s="153">
        <f>MAX(G3:G31)</f>
        <v>13.138</v>
      </c>
      <c r="I39" s="155"/>
      <c r="J39" s="151" t="s">
        <v>20</v>
      </c>
      <c r="K39" s="152" cm="1">
        <f t="array" ref="K39">IF(L39=0,"",_xlfn.XLOOKUP(L39,K$3:K33,J$3:J$33))</f>
        <v>45379</v>
      </c>
      <c r="L39" s="153">
        <f>MAX(K3:K33)</f>
        <v>13.816000000000001</v>
      </c>
      <c r="M39" s="154"/>
      <c r="N39" s="151" t="s">
        <v>20</v>
      </c>
      <c r="O39" s="152" cm="1">
        <f t="array" ref="O39">IF(P39=0,"",_xlfn.XLOOKUP(P39,O$3:O32,N$3:N$32))</f>
        <v>45408</v>
      </c>
      <c r="P39" s="153">
        <f>MAX(O3:O32)</f>
        <v>14.555</v>
      </c>
      <c r="Q39" s="151" t="s">
        <v>20</v>
      </c>
      <c r="R39" s="152" cm="1">
        <f t="array" ref="R39">IF(S39=0,"",_xlfn.XLOOKUP(S39,R$3:R33,Q$3:Q$33))</f>
        <v>45425</v>
      </c>
      <c r="S39" s="153">
        <f>MAX(R3:R33)</f>
        <v>17</v>
      </c>
      <c r="T39" s="151" t="s">
        <v>20</v>
      </c>
      <c r="U39" s="152" t="str" cm="1">
        <f t="array" ref="U39">IF(V39=0,"",_xlfn.XLOOKUP(V39,U$3:U32,T$3:T$32))</f>
        <v/>
      </c>
      <c r="V39" s="153">
        <f>MAX(U3:U32)</f>
        <v>0</v>
      </c>
      <c r="W39" s="151" t="s">
        <v>20</v>
      </c>
      <c r="X39" s="152" t="str" cm="1">
        <f t="array" ref="X39">IF(Y39=0,"",_xlfn.XLOOKUP(Y39,X$3:X33,W$3:W$33))</f>
        <v/>
      </c>
      <c r="Y39" s="153">
        <f>MAX(X3:X33)</f>
        <v>0</v>
      </c>
      <c r="Z39" s="151" t="s">
        <v>20</v>
      </c>
      <c r="AA39" s="152" t="str" cm="1">
        <f t="array" ref="AA39">IF(AB39=0,"",_xlfn.XLOOKUP(AB39,AA$3:AA33,Z$3:Z$33))</f>
        <v/>
      </c>
      <c r="AB39" s="153">
        <f>MAX(AA3:AA33)</f>
        <v>0</v>
      </c>
      <c r="AC39" s="151" t="s">
        <v>20</v>
      </c>
      <c r="AD39" s="152" t="str" cm="1">
        <f t="array" ref="AD39">IF(AE39=0,"",_xlfn.XLOOKUP(AE39,AD$3:AD32,AC$3:AC$32))</f>
        <v/>
      </c>
      <c r="AE39" s="153">
        <f>MAX(AD3:AD32)</f>
        <v>0</v>
      </c>
      <c r="AF39" s="151" t="s">
        <v>20</v>
      </c>
      <c r="AG39" s="152" t="str" cm="1">
        <f t="array" ref="AG39">IF(AH39=0,"",_xlfn.XLOOKUP(AH39,AG$3:AG33,AF$3:AF$33))</f>
        <v/>
      </c>
      <c r="AH39" s="153">
        <f>MAX(AG3:AG33)</f>
        <v>0</v>
      </c>
      <c r="AI39" s="151" t="s">
        <v>20</v>
      </c>
      <c r="AJ39" s="152" t="str" cm="1">
        <f t="array" ref="AJ39">IF(AK39=0,"",_xlfn.XLOOKUP(AK39,AJ$3:AJ32,AI$3:AI$32))</f>
        <v/>
      </c>
      <c r="AK39" s="153">
        <f>MAX(AJ3:AJ32)</f>
        <v>0</v>
      </c>
      <c r="AL39" s="151" t="s">
        <v>20</v>
      </c>
      <c r="AM39" s="152" t="str" cm="1">
        <f t="array" ref="AM39">IF(AN39=0,"",_xlfn.XLOOKUP(AN39,AM$3:AM33,AL$3:AL$33))</f>
        <v/>
      </c>
      <c r="AN39" s="153">
        <f>MAX(AM3:AM33)</f>
        <v>0</v>
      </c>
      <c r="AO39" s="142"/>
      <c r="AP39" s="143"/>
      <c r="AS39" s="145"/>
    </row>
    <row r="40" spans="1:45" s="144" customFormat="1" ht="12" thickBot="1" x14ac:dyDescent="0.3">
      <c r="A40" s="146" t="s">
        <v>24</v>
      </c>
      <c r="B40" s="156" t="s">
        <v>22</v>
      </c>
      <c r="C40" s="157">
        <f>IF(D40=0,"",_xlfn.XLOOKUP(D40,C$3:C$33,B$3:B$33))</f>
        <v>45292</v>
      </c>
      <c r="D40" s="158">
        <f>MIN(C3:C33)</f>
        <v>12.852</v>
      </c>
      <c r="E40" s="159"/>
      <c r="F40" s="156" t="s">
        <v>22</v>
      </c>
      <c r="G40" s="157">
        <f>IF(H40=0,"",_xlfn.XLOOKUP(H40,G$3:G$31,F$3:F$31))</f>
        <v>45335</v>
      </c>
      <c r="H40" s="158">
        <f>MIN(G3:G31)</f>
        <v>12.2</v>
      </c>
      <c r="I40" s="160"/>
      <c r="J40" s="156" t="s">
        <v>22</v>
      </c>
      <c r="K40" s="157">
        <f>IF(L40=0,"",_xlfn.XLOOKUP(L40,K$3:K$33,J$3:J$33))</f>
        <v>45357</v>
      </c>
      <c r="L40" s="158">
        <f>MIN(K3:K33)</f>
        <v>12.54</v>
      </c>
      <c r="M40" s="159"/>
      <c r="N40" s="156" t="s">
        <v>22</v>
      </c>
      <c r="O40" s="157">
        <f>IF(P40=0,"",_xlfn.XLOOKUP(P40,O$3:O$32,N$3:N$32))</f>
        <v>45398</v>
      </c>
      <c r="P40" s="158">
        <f>MIN(O3:O32)</f>
        <v>13.57</v>
      </c>
      <c r="Q40" s="156" t="s">
        <v>22</v>
      </c>
      <c r="R40" s="157">
        <f>IF(S40=0,"",_xlfn.XLOOKUP(S40,R$3:R$33,Q$3:Q$33))</f>
        <v>45413</v>
      </c>
      <c r="S40" s="158">
        <f>MIN(R3:R33)</f>
        <v>14.55</v>
      </c>
      <c r="T40" s="156" t="s">
        <v>22</v>
      </c>
      <c r="U40" s="157" t="str">
        <f>IF(V40=0,"",_xlfn.XLOOKUP(V40,U$3:U$32,T$3:T$32))</f>
        <v/>
      </c>
      <c r="V40" s="158">
        <f>MIN(U3:U32)</f>
        <v>0</v>
      </c>
      <c r="W40" s="156" t="s">
        <v>22</v>
      </c>
      <c r="X40" s="157" t="str">
        <f>IF(Y40=0,"",_xlfn.XLOOKUP(Y40,X$3:X$33,W$3:W$33))</f>
        <v/>
      </c>
      <c r="Y40" s="158">
        <f>MIN(X3:X33)</f>
        <v>0</v>
      </c>
      <c r="Z40" s="156" t="s">
        <v>22</v>
      </c>
      <c r="AA40" s="157" t="str">
        <f>IF(AB40=0,"",_xlfn.XLOOKUP(AB40,AA$3:AA$33,Z$3:Z$33))</f>
        <v/>
      </c>
      <c r="AB40" s="158">
        <f>MIN(AA3:AA33)</f>
        <v>0</v>
      </c>
      <c r="AC40" s="156" t="s">
        <v>22</v>
      </c>
      <c r="AD40" s="157" t="str">
        <f>IF(AE40=0,"",_xlfn.XLOOKUP(AE40,AD$3:AD$32,AC$3:AC$32))</f>
        <v/>
      </c>
      <c r="AE40" s="158">
        <f>MIN(AD3:AD32)</f>
        <v>0</v>
      </c>
      <c r="AF40" s="156" t="s">
        <v>22</v>
      </c>
      <c r="AG40" s="157" t="str">
        <f>IF(AH40=0,"",_xlfn.XLOOKUP(AH40,AG$3:AG$33,AF$3:AF$33))</f>
        <v/>
      </c>
      <c r="AH40" s="158">
        <f>MIN(AG3:AG33)</f>
        <v>0</v>
      </c>
      <c r="AI40" s="156" t="s">
        <v>22</v>
      </c>
      <c r="AJ40" s="157" t="str">
        <f>IF(AK40=0,"",_xlfn.XLOOKUP(AK40,AJ$3:AJ$32,AI$3:AI$32))</f>
        <v/>
      </c>
      <c r="AK40" s="158">
        <f>MIN(AJ3:AJ32)</f>
        <v>0</v>
      </c>
      <c r="AL40" s="156" t="s">
        <v>22</v>
      </c>
      <c r="AM40" s="157" t="str">
        <f>IF(AN40=0,"",_xlfn.XLOOKUP(AN40,AM$3:AM$33,AL$3:AL$33))</f>
        <v/>
      </c>
      <c r="AN40" s="158">
        <f>MIN(AM3:AM33)</f>
        <v>0</v>
      </c>
      <c r="AO40" s="142"/>
      <c r="AP40" s="143"/>
      <c r="AS40" s="145"/>
    </row>
    <row r="41" spans="1:45" ht="14.5" thickTop="1" x14ac:dyDescent="0.3">
      <c r="O41" s="162"/>
    </row>
    <row r="42" spans="1:45" x14ac:dyDescent="0.3">
      <c r="O42" s="162"/>
    </row>
    <row r="43" spans="1:45" ht="14.5" x14ac:dyDescent="0.35">
      <c r="D43" s="163"/>
      <c r="E43" s="163"/>
      <c r="O43" s="162"/>
    </row>
    <row r="44" spans="1:45" ht="15" thickBot="1" x14ac:dyDescent="0.4">
      <c r="B44" s="164" t="s">
        <v>25</v>
      </c>
      <c r="C44" s="165"/>
      <c r="D44" s="166" t="s">
        <v>26</v>
      </c>
      <c r="E44" s="166"/>
      <c r="F44" s="167"/>
      <c r="G44" s="168" t="s">
        <v>27</v>
      </c>
      <c r="H44" s="167"/>
      <c r="I44" s="169"/>
      <c r="J44" s="170"/>
      <c r="K44" s="13"/>
      <c r="L44" s="171"/>
      <c r="M44" s="171"/>
    </row>
    <row r="45" spans="1:45" ht="14.5" thickTop="1" x14ac:dyDescent="0.3">
      <c r="A45" s="13">
        <v>1</v>
      </c>
      <c r="B45" s="172">
        <f>+D39</f>
        <v>13.468</v>
      </c>
      <c r="C45" s="173">
        <f>+C39</f>
        <v>45317</v>
      </c>
      <c r="D45" s="174">
        <f>+D40</f>
        <v>12.852</v>
      </c>
      <c r="E45" s="175"/>
      <c r="F45" s="176">
        <f>+C40</f>
        <v>45292</v>
      </c>
      <c r="G45" s="177">
        <f>+D35</f>
        <v>31.739999999999938</v>
      </c>
      <c r="H45" s="178"/>
      <c r="I45" s="169"/>
      <c r="J45" s="179"/>
      <c r="K45" s="180"/>
      <c r="Q45" s="231"/>
      <c r="R45" s="226"/>
      <c r="S45" s="232"/>
      <c r="T45" s="227"/>
      <c r="U45" s="233"/>
      <c r="V45" s="178"/>
      <c r="W45" s="179"/>
      <c r="X45" s="228"/>
      <c r="Y45" s="229"/>
      <c r="AE45" s="229"/>
      <c r="AF45" s="231"/>
      <c r="AG45" s="226"/>
      <c r="AH45" s="232"/>
      <c r="AI45" s="227"/>
      <c r="AJ45" s="233"/>
      <c r="AK45" s="178"/>
      <c r="AL45" s="179"/>
      <c r="AM45" s="228"/>
    </row>
    <row r="46" spans="1:45" x14ac:dyDescent="0.3">
      <c r="A46" s="13">
        <v>2</v>
      </c>
      <c r="B46" s="181">
        <f>+H39</f>
        <v>13.138</v>
      </c>
      <c r="C46" s="182">
        <f>+G39</f>
        <v>45324</v>
      </c>
      <c r="D46" s="183">
        <f>+H40</f>
        <v>12.2</v>
      </c>
      <c r="E46" s="184"/>
      <c r="F46" s="185">
        <f>+G40</f>
        <v>45335</v>
      </c>
      <c r="G46" s="186">
        <f>+H35</f>
        <v>-54.647999999999989</v>
      </c>
      <c r="J46" s="187"/>
      <c r="K46" s="180"/>
      <c r="Q46" s="231"/>
      <c r="R46" s="226"/>
      <c r="S46" s="232"/>
      <c r="T46" s="227"/>
      <c r="U46" s="233"/>
      <c r="V46" s="115"/>
      <c r="W46" s="187"/>
      <c r="X46" s="228"/>
      <c r="Y46" s="229"/>
      <c r="AE46" s="229"/>
      <c r="AF46" s="231"/>
      <c r="AG46" s="226"/>
      <c r="AH46" s="232"/>
      <c r="AI46" s="227"/>
      <c r="AJ46" s="233"/>
      <c r="AK46" s="115"/>
      <c r="AL46" s="187"/>
      <c r="AM46" s="228"/>
    </row>
    <row r="47" spans="1:45" x14ac:dyDescent="0.3">
      <c r="A47" s="13">
        <v>3</v>
      </c>
      <c r="B47" s="181">
        <f>+L39</f>
        <v>13.816000000000001</v>
      </c>
      <c r="C47" s="182">
        <f>+K39</f>
        <v>45379</v>
      </c>
      <c r="D47" s="183">
        <f>+L40</f>
        <v>12.54</v>
      </c>
      <c r="E47" s="184"/>
      <c r="F47" s="185">
        <f>+K40</f>
        <v>45357</v>
      </c>
      <c r="G47" s="186">
        <f>+L35</f>
        <v>89.424000000000092</v>
      </c>
      <c r="H47" s="171"/>
      <c r="K47" s="188"/>
      <c r="Q47" s="231"/>
      <c r="R47" s="226"/>
      <c r="S47" s="232"/>
      <c r="T47" s="227"/>
      <c r="U47" s="233"/>
      <c r="V47" s="171"/>
      <c r="X47" s="230"/>
      <c r="Y47" s="229"/>
      <c r="AE47" s="229"/>
      <c r="AF47" s="231"/>
      <c r="AG47" s="226"/>
      <c r="AH47" s="232"/>
      <c r="AI47" s="227"/>
      <c r="AJ47" s="233"/>
      <c r="AK47" s="171"/>
      <c r="AM47" s="230"/>
    </row>
    <row r="48" spans="1:45" x14ac:dyDescent="0.3">
      <c r="A48" s="13">
        <v>4</v>
      </c>
      <c r="B48" s="181">
        <f>+P39</f>
        <v>14.555</v>
      </c>
      <c r="C48" s="182">
        <f>+O39</f>
        <v>45408</v>
      </c>
      <c r="D48" s="183">
        <f>+P40</f>
        <v>13.57</v>
      </c>
      <c r="E48" s="184"/>
      <c r="F48" s="185">
        <f>+O40</f>
        <v>45398</v>
      </c>
      <c r="G48" s="186">
        <f>+P35</f>
        <v>50.646000000000001</v>
      </c>
      <c r="J48" s="189" t="s">
        <v>28</v>
      </c>
      <c r="K48" s="190" t="s">
        <v>29</v>
      </c>
      <c r="Q48" s="231"/>
      <c r="R48" s="226"/>
      <c r="S48" s="232"/>
      <c r="T48" s="227"/>
      <c r="U48" s="233"/>
      <c r="V48" s="115"/>
      <c r="X48" s="229"/>
      <c r="Y48" s="229"/>
      <c r="AE48" s="229"/>
      <c r="AF48" s="231"/>
      <c r="AG48" s="226"/>
      <c r="AH48" s="232"/>
      <c r="AI48" s="227"/>
      <c r="AJ48" s="233"/>
      <c r="AK48" s="115"/>
      <c r="AM48" s="229"/>
    </row>
    <row r="49" spans="1:40" x14ac:dyDescent="0.3">
      <c r="A49" s="13">
        <v>5</v>
      </c>
      <c r="B49" s="181">
        <f>+S39</f>
        <v>17</v>
      </c>
      <c r="C49" s="182">
        <f>+R39</f>
        <v>45425</v>
      </c>
      <c r="D49" s="183">
        <f>+S40</f>
        <v>14.55</v>
      </c>
      <c r="E49" s="184"/>
      <c r="F49" s="185">
        <f>+R40</f>
        <v>45413</v>
      </c>
      <c r="G49" s="186">
        <f>+S35</f>
        <v>0</v>
      </c>
      <c r="J49" s="191">
        <f>+J50+J51</f>
        <v>1145.4000000000001</v>
      </c>
      <c r="K49" s="192" t="e">
        <f ca="1">+K50+K51</f>
        <v>#N/A</v>
      </c>
      <c r="Q49" s="231"/>
      <c r="R49" s="226"/>
      <c r="S49" s="232"/>
      <c r="T49" s="227"/>
      <c r="U49" s="233"/>
      <c r="V49" s="115"/>
      <c r="W49" s="234"/>
      <c r="X49" s="200"/>
      <c r="Y49" s="200"/>
      <c r="AE49" s="229"/>
      <c r="AF49" s="231"/>
      <c r="AG49" s="226"/>
      <c r="AH49" s="232"/>
      <c r="AI49" s="227"/>
      <c r="AJ49" s="233"/>
      <c r="AK49" s="115"/>
      <c r="AL49" s="234"/>
      <c r="AM49" s="200"/>
      <c r="AN49" s="200"/>
    </row>
    <row r="50" spans="1:40" x14ac:dyDescent="0.3">
      <c r="A50" s="13">
        <v>6</v>
      </c>
      <c r="B50" s="181">
        <f>+V39</f>
        <v>0</v>
      </c>
      <c r="C50" s="182" t="str">
        <f>+U39</f>
        <v/>
      </c>
      <c r="D50" s="183">
        <f>V40</f>
        <v>0</v>
      </c>
      <c r="E50" s="184"/>
      <c r="F50" s="185" t="str">
        <f>+U40</f>
        <v/>
      </c>
      <c r="G50" s="186">
        <f>+V35</f>
        <v>0</v>
      </c>
      <c r="H50" s="115">
        <v>16.600000000000001</v>
      </c>
      <c r="I50" s="193">
        <v>51</v>
      </c>
      <c r="J50" s="191">
        <f>+H50*I50</f>
        <v>846.6</v>
      </c>
      <c r="K50" s="194" t="e">
        <f ca="1">+I50*J55</f>
        <v>#N/A</v>
      </c>
      <c r="Q50" s="231"/>
      <c r="R50" s="226"/>
      <c r="S50" s="232"/>
      <c r="T50" s="227"/>
      <c r="U50" s="233"/>
      <c r="V50" s="115"/>
      <c r="W50" s="235"/>
      <c r="X50" s="13"/>
      <c r="Y50" s="13"/>
      <c r="AE50" s="229"/>
      <c r="AF50" s="231"/>
      <c r="AG50" s="226"/>
      <c r="AH50" s="232"/>
      <c r="AI50" s="227"/>
      <c r="AJ50" s="233"/>
      <c r="AK50" s="115"/>
      <c r="AL50" s="235"/>
    </row>
    <row r="51" spans="1:40" x14ac:dyDescent="0.3">
      <c r="A51" s="13">
        <v>7</v>
      </c>
      <c r="B51" s="181">
        <f>+Y39</f>
        <v>0</v>
      </c>
      <c r="C51" s="182" t="str">
        <f>+X39</f>
        <v/>
      </c>
      <c r="D51" s="183">
        <f>+Y40</f>
        <v>0</v>
      </c>
      <c r="E51" s="184"/>
      <c r="F51" s="185" t="str">
        <f>+X40</f>
        <v/>
      </c>
      <c r="G51" s="186">
        <f>+Y35</f>
        <v>0</v>
      </c>
      <c r="I51" s="193">
        <v>18</v>
      </c>
      <c r="J51" s="191">
        <f>+H50*I51</f>
        <v>298.8</v>
      </c>
      <c r="K51" s="195" t="e">
        <f ca="1">+I51*J55</f>
        <v>#N/A</v>
      </c>
      <c r="L51" s="171"/>
      <c r="M51" s="171"/>
      <c r="Q51" s="231"/>
      <c r="R51" s="226"/>
      <c r="S51" s="232"/>
      <c r="T51" s="227"/>
      <c r="U51" s="233"/>
      <c r="V51" s="115"/>
      <c r="W51" s="235"/>
      <c r="X51" s="13"/>
      <c r="Y51" s="236"/>
      <c r="AE51" s="229"/>
      <c r="AF51" s="231"/>
      <c r="AG51" s="226"/>
      <c r="AH51" s="232"/>
      <c r="AI51" s="227"/>
      <c r="AJ51" s="233"/>
      <c r="AK51" s="115"/>
      <c r="AL51" s="235"/>
      <c r="AN51" s="236"/>
    </row>
    <row r="52" spans="1:40" x14ac:dyDescent="0.3">
      <c r="A52" s="13">
        <v>8</v>
      </c>
      <c r="B52" s="181">
        <f>+AB39</f>
        <v>0</v>
      </c>
      <c r="C52" s="182" t="str">
        <f>+AA39</f>
        <v/>
      </c>
      <c r="D52" s="183">
        <f>+Y40</f>
        <v>0</v>
      </c>
      <c r="E52" s="184"/>
      <c r="F52" s="185" t="str">
        <f>+AA40</f>
        <v/>
      </c>
      <c r="G52" s="186">
        <f>+AB35</f>
        <v>0</v>
      </c>
      <c r="H52" s="196" t="s">
        <v>30</v>
      </c>
      <c r="I52" s="197"/>
      <c r="J52" s="198" t="e">
        <f ca="1">++K49-J49</f>
        <v>#N/A</v>
      </c>
      <c r="K52" s="199"/>
      <c r="L52" s="171"/>
      <c r="M52" s="171"/>
      <c r="Q52" s="231"/>
      <c r="R52" s="226"/>
      <c r="S52" s="232"/>
      <c r="T52" s="227"/>
      <c r="U52" s="233"/>
      <c r="V52" s="115"/>
      <c r="W52" s="237"/>
      <c r="X52" s="13"/>
      <c r="Y52" s="238"/>
      <c r="AE52" s="229"/>
      <c r="AF52" s="231"/>
      <c r="AG52" s="226"/>
      <c r="AH52" s="232"/>
      <c r="AI52" s="227"/>
      <c r="AJ52" s="233"/>
      <c r="AK52" s="115"/>
      <c r="AL52" s="237"/>
      <c r="AN52" s="238"/>
    </row>
    <row r="53" spans="1:40" x14ac:dyDescent="0.3">
      <c r="A53" s="13">
        <v>9</v>
      </c>
      <c r="B53" s="181">
        <f>+AE39</f>
        <v>0</v>
      </c>
      <c r="C53" s="182" t="str">
        <f>+AD39</f>
        <v/>
      </c>
      <c r="D53" s="183">
        <f>+AE40</f>
        <v>0</v>
      </c>
      <c r="E53" s="184"/>
      <c r="F53" s="185" t="str">
        <f>+AD40</f>
        <v/>
      </c>
      <c r="G53" s="186">
        <f>+AE35</f>
        <v>0</v>
      </c>
      <c r="I53" s="169"/>
      <c r="J53" s="167"/>
      <c r="K53" s="13"/>
      <c r="L53" s="171"/>
      <c r="M53" s="171"/>
      <c r="Q53" s="231"/>
      <c r="R53" s="226"/>
      <c r="S53" s="232"/>
      <c r="T53" s="227"/>
      <c r="U53" s="233"/>
      <c r="V53" s="115"/>
      <c r="W53" s="239"/>
      <c r="X53" s="167"/>
      <c r="Y53" s="236"/>
      <c r="AE53" s="229"/>
      <c r="AF53" s="231"/>
      <c r="AG53" s="226"/>
      <c r="AH53" s="232"/>
      <c r="AI53" s="227"/>
      <c r="AJ53" s="233"/>
      <c r="AK53" s="115"/>
      <c r="AL53" s="239"/>
      <c r="AM53" s="167"/>
      <c r="AN53" s="236"/>
    </row>
    <row r="54" spans="1:40" x14ac:dyDescent="0.3">
      <c r="A54" s="13">
        <v>10</v>
      </c>
      <c r="B54" s="181">
        <f>+AH39</f>
        <v>0</v>
      </c>
      <c r="C54" s="182" t="str">
        <f>+AG39</f>
        <v/>
      </c>
      <c r="D54" s="183">
        <f>+AH40</f>
        <v>0</v>
      </c>
      <c r="E54" s="184"/>
      <c r="F54" s="185" t="str">
        <f>+AG40</f>
        <v/>
      </c>
      <c r="G54" s="186">
        <f>+AH35</f>
        <v>0</v>
      </c>
      <c r="H54" s="200"/>
      <c r="I54" s="169"/>
      <c r="J54" s="167"/>
      <c r="K54" s="13"/>
      <c r="L54" s="171"/>
      <c r="M54" s="171"/>
      <c r="Q54" s="231"/>
      <c r="R54" s="226"/>
      <c r="S54" s="232"/>
      <c r="T54" s="227"/>
      <c r="U54" s="233"/>
      <c r="V54" s="200"/>
      <c r="W54" s="167"/>
      <c r="X54" s="13"/>
      <c r="Y54" s="229"/>
      <c r="AE54" s="229"/>
      <c r="AF54" s="231"/>
      <c r="AG54" s="226"/>
      <c r="AH54" s="232"/>
      <c r="AI54" s="227"/>
      <c r="AJ54" s="233"/>
      <c r="AK54" s="200"/>
      <c r="AL54" s="167"/>
    </row>
    <row r="55" spans="1:40" x14ac:dyDescent="0.3">
      <c r="A55" s="13">
        <v>11</v>
      </c>
      <c r="B55" s="181">
        <f>+AK39</f>
        <v>0</v>
      </c>
      <c r="C55" s="182" t="str">
        <f>+AJ39</f>
        <v/>
      </c>
      <c r="D55" s="183">
        <f>+AK40</f>
        <v>0</v>
      </c>
      <c r="E55" s="184"/>
      <c r="F55" s="185" t="str">
        <f>+AJ40</f>
        <v/>
      </c>
      <c r="G55" s="201">
        <f>+AK35</f>
        <v>0</v>
      </c>
      <c r="H55" s="202">
        <f ca="1">+TODAY()</f>
        <v>45425</v>
      </c>
      <c r="I55" s="203"/>
      <c r="J55" s="204" t="e">
        <f ca="1">+VLOOKUP(H55,B3:AN33,2,0)</f>
        <v>#N/A</v>
      </c>
      <c r="K55" s="205" t="s">
        <v>31</v>
      </c>
      <c r="L55" s="171"/>
      <c r="M55" s="171"/>
      <c r="Q55" s="231"/>
      <c r="R55" s="226"/>
      <c r="S55" s="232"/>
      <c r="T55" s="227"/>
      <c r="U55" s="233"/>
      <c r="V55" s="240"/>
      <c r="W55" s="241"/>
      <c r="X55" s="205"/>
      <c r="Y55" s="229"/>
      <c r="AE55" s="229"/>
      <c r="AF55" s="231"/>
      <c r="AG55" s="226"/>
      <c r="AH55" s="232"/>
      <c r="AI55" s="227"/>
      <c r="AJ55" s="233"/>
      <c r="AK55" s="240"/>
      <c r="AL55" s="242"/>
      <c r="AM55" s="205"/>
    </row>
    <row r="56" spans="1:40" ht="14.5" thickBot="1" x14ac:dyDescent="0.35">
      <c r="A56" s="13">
        <v>12</v>
      </c>
      <c r="B56" s="206">
        <f>+AN39</f>
        <v>0</v>
      </c>
      <c r="C56" s="207" t="str">
        <f>+AM39</f>
        <v/>
      </c>
      <c r="D56" s="208">
        <f>+AN40</f>
        <v>0</v>
      </c>
      <c r="E56" s="209"/>
      <c r="F56" s="210" t="str">
        <f>+AM40</f>
        <v/>
      </c>
      <c r="G56" s="211">
        <f>+AN35</f>
        <v>0</v>
      </c>
      <c r="H56" s="212">
        <f ca="1">+TODAY()-1</f>
        <v>45424</v>
      </c>
      <c r="I56" s="213"/>
      <c r="J56" s="204" cm="1">
        <f t="array" aca="1" ref="J56" ca="1">INDIRECT(ADDRESS(DAY(H56)+1,MATCH(EOMONTH(H56,-1)+1,$A$3:$AN$3,0)+1,4))</f>
        <v>15.45</v>
      </c>
      <c r="K56" s="214"/>
      <c r="L56" s="171"/>
      <c r="M56" s="171"/>
      <c r="Q56" s="231"/>
      <c r="R56" s="226"/>
      <c r="S56" s="232"/>
      <c r="T56" s="227"/>
      <c r="U56" s="233"/>
      <c r="V56" s="240"/>
      <c r="W56" s="242"/>
      <c r="X56" s="243"/>
      <c r="Y56" s="229"/>
      <c r="AE56" s="229"/>
      <c r="AF56" s="231"/>
      <c r="AG56" s="226"/>
      <c r="AH56" s="232"/>
      <c r="AI56" s="227"/>
      <c r="AJ56" s="233"/>
      <c r="AK56" s="240"/>
      <c r="AL56" s="242"/>
      <c r="AM56" s="243"/>
    </row>
    <row r="57" spans="1:40" ht="14.5" thickTop="1" x14ac:dyDescent="0.3">
      <c r="A57" s="13">
        <v>2024</v>
      </c>
      <c r="B57" s="181">
        <f>MAX(B45:B56)</f>
        <v>17</v>
      </c>
      <c r="C57" s="215">
        <f>IF(B57=0,"",_xlfn.XLOOKUP(B57,$B$45:$B$56,$C$45:$C$56))</f>
        <v>45425</v>
      </c>
      <c r="D57" s="216" cm="1">
        <f t="array" ref="D57">MIN(IF(D45:D56&lt;&gt;0,D45:D56))</f>
        <v>12.2</v>
      </c>
      <c r="E57" s="217"/>
      <c r="F57" s="215">
        <f>IF(D57=0,"",_xlfn.XLOOKUP(D57,$D$45:$D$56,$F$45:$F$56))</f>
        <v>45335</v>
      </c>
      <c r="G57" s="218">
        <f>SUM(G45:G56)</f>
        <v>117.16200000000005</v>
      </c>
      <c r="H57" s="64"/>
      <c r="I57" s="219"/>
      <c r="J57" s="220"/>
      <c r="K57" s="221"/>
      <c r="L57" s="171"/>
      <c r="M57" s="171"/>
      <c r="Q57" s="231"/>
      <c r="R57" s="226"/>
      <c r="S57" s="244"/>
      <c r="T57" s="226"/>
      <c r="U57" s="233"/>
      <c r="V57" s="64"/>
      <c r="W57" s="220"/>
      <c r="X57" s="221"/>
      <c r="Y57" s="229"/>
      <c r="AE57" s="229"/>
      <c r="AF57" s="231"/>
      <c r="AG57" s="226"/>
      <c r="AH57" s="244"/>
      <c r="AI57" s="226"/>
      <c r="AJ57" s="233"/>
      <c r="AK57" s="64"/>
      <c r="AL57" s="220"/>
      <c r="AM57" s="246"/>
    </row>
    <row r="58" spans="1:40" x14ac:dyDescent="0.3">
      <c r="A58" s="13">
        <v>2023</v>
      </c>
      <c r="B58" s="181">
        <v>12.932</v>
      </c>
      <c r="C58" s="215">
        <v>45275</v>
      </c>
      <c r="D58" s="216">
        <v>9.8309999999999995</v>
      </c>
      <c r="E58" s="217"/>
      <c r="F58" s="215">
        <v>44927</v>
      </c>
      <c r="Q58" s="231"/>
      <c r="R58" s="226"/>
      <c r="S58" s="244"/>
      <c r="T58" s="244"/>
      <c r="U58" s="226"/>
      <c r="X58" s="245"/>
      <c r="Y58" s="229"/>
      <c r="AE58" s="13"/>
      <c r="AF58" s="231"/>
      <c r="AG58" s="226"/>
      <c r="AH58" s="244"/>
      <c r="AI58" s="244"/>
      <c r="AJ58" s="226"/>
      <c r="AK58" s="229"/>
    </row>
    <row r="59" spans="1:40" x14ac:dyDescent="0.3">
      <c r="A59" s="13">
        <v>2022</v>
      </c>
      <c r="B59" s="181">
        <v>14.15</v>
      </c>
      <c r="C59" s="215">
        <v>44602</v>
      </c>
      <c r="D59" s="216">
        <v>8.1530000000000005</v>
      </c>
      <c r="E59" s="217"/>
      <c r="F59" s="215">
        <v>44752</v>
      </c>
      <c r="Q59" s="231"/>
      <c r="R59" s="226"/>
      <c r="S59" s="244"/>
      <c r="T59" s="244"/>
      <c r="U59" s="226"/>
      <c r="X59" s="245"/>
      <c r="Y59" s="229"/>
      <c r="AE59" s="13"/>
      <c r="AF59" s="231"/>
      <c r="AG59" s="226"/>
      <c r="AH59" s="244"/>
      <c r="AI59" s="244"/>
      <c r="AJ59" s="226"/>
      <c r="AK59" s="229"/>
    </row>
    <row r="60" spans="1:40" x14ac:dyDescent="0.3">
      <c r="B60" s="222">
        <f>MAX(B57:B59)</f>
        <v>17</v>
      </c>
      <c r="C60" s="223"/>
      <c r="D60" s="224">
        <f>MIN(D57:D59)</f>
        <v>8.1530000000000005</v>
      </c>
      <c r="Q60" s="231"/>
      <c r="R60" s="226"/>
      <c r="S60" s="244"/>
      <c r="T60" s="244"/>
      <c r="U60" s="226"/>
      <c r="X60" s="245"/>
      <c r="Y60" s="229"/>
      <c r="AE60" s="13"/>
      <c r="AF60" s="231"/>
      <c r="AG60" s="226"/>
      <c r="AH60" s="244"/>
      <c r="AI60" s="244"/>
      <c r="AJ60" s="226"/>
      <c r="AK60" s="229"/>
    </row>
    <row r="61" spans="1:40" x14ac:dyDescent="0.3">
      <c r="AE61" s="229"/>
      <c r="AK61" s="229"/>
    </row>
    <row r="62" spans="1:40" x14ac:dyDescent="0.3">
      <c r="B62" s="225"/>
      <c r="C62" s="13"/>
      <c r="D62" s="117"/>
      <c r="E62" s="117"/>
      <c r="F62" s="171"/>
      <c r="H62" s="13"/>
      <c r="AE62" s="229"/>
      <c r="AK62" s="229"/>
    </row>
    <row r="63" spans="1:40" x14ac:dyDescent="0.3">
      <c r="B63" s="225"/>
      <c r="C63" s="13"/>
      <c r="D63" s="117"/>
      <c r="E63" s="117"/>
      <c r="F63" s="171"/>
      <c r="H63" s="13"/>
      <c r="AE63" s="229"/>
      <c r="AK63" s="229"/>
    </row>
    <row r="64" spans="1:40" x14ac:dyDescent="0.3">
      <c r="B64" s="225"/>
      <c r="C64" s="13"/>
      <c r="D64" s="117"/>
      <c r="E64" s="117"/>
      <c r="F64" s="171"/>
      <c r="H64" s="13"/>
      <c r="AE64" s="229"/>
      <c r="AK64" s="229"/>
    </row>
    <row r="65" spans="2:6" x14ac:dyDescent="0.3">
      <c r="B65" s="200"/>
      <c r="C65" s="167"/>
      <c r="D65" s="13"/>
      <c r="E65" s="13"/>
      <c r="F65" s="171"/>
    </row>
    <row r="66" spans="2:6" x14ac:dyDescent="0.3">
      <c r="B66" s="200"/>
      <c r="C66" s="167"/>
      <c r="D66" s="13"/>
      <c r="E66" s="13"/>
      <c r="F66" s="171"/>
    </row>
    <row r="67" spans="2:6" x14ac:dyDescent="0.3">
      <c r="B67" s="200"/>
      <c r="C67" s="167"/>
      <c r="D67" s="13"/>
      <c r="E67" s="13"/>
      <c r="F67" s="171"/>
    </row>
  </sheetData>
  <conditionalFormatting sqref="B7 J7">
    <cfRule type="expression" dxfId="308" priority="280">
      <formula>WEEKDAY(B7,1)=7</formula>
    </cfRule>
    <cfRule type="expression" dxfId="307" priority="281">
      <formula>WEEKDAY(B7,1)=1</formula>
    </cfRule>
    <cfRule type="expression" dxfId="306" priority="279">
      <formula>COUNTIFS($AR$6:$AR$18,B7:B39)=1</formula>
    </cfRule>
  </conditionalFormatting>
  <conditionalFormatting sqref="B8:B25 B32:B33">
    <cfRule type="expression" dxfId="305" priority="276">
      <formula>COUNTIFS($AR$6:$AR$18,B8:B44)=1</formula>
    </cfRule>
  </conditionalFormatting>
  <conditionalFormatting sqref="B8:B26 B33 J8:J19 J23:J26 J33">
    <cfRule type="expression" dxfId="304" priority="297">
      <formula>COUNTIFS($AR$6:$AR$18,B8:B43)=1</formula>
    </cfRule>
  </conditionalFormatting>
  <conditionalFormatting sqref="B8:B33">
    <cfRule type="expression" dxfId="303" priority="278">
      <formula>WEEKDAY(B8,1)=1</formula>
    </cfRule>
    <cfRule type="expression" dxfId="302" priority="277">
      <formula>WEEKDAY(B8,1)=7</formula>
    </cfRule>
  </conditionalFormatting>
  <conditionalFormatting sqref="B26:B31">
    <cfRule type="expression" dxfId="301" priority="320">
      <formula>COUNTIFS($AR$6:$AR$18,B26:B61)=1</formula>
    </cfRule>
  </conditionalFormatting>
  <conditionalFormatting sqref="B27:B32 J20:J22 J27:J30">
    <cfRule type="expression" dxfId="300" priority="339">
      <formula>COUNTIFS($AR$6:$AR$18,B20:B54)=1</formula>
    </cfRule>
  </conditionalFormatting>
  <conditionalFormatting sqref="B57:B59">
    <cfRule type="cellIs" dxfId="299" priority="6" operator="equal">
      <formula>$B$60</formula>
    </cfRule>
  </conditionalFormatting>
  <conditionalFormatting sqref="B45:C56">
    <cfRule type="cellIs" dxfId="298" priority="207" operator="equal">
      <formula>$B$57</formula>
    </cfRule>
  </conditionalFormatting>
  <conditionalFormatting sqref="C2">
    <cfRule type="cellIs" dxfId="297" priority="77" operator="greaterThan">
      <formula>0</formula>
    </cfRule>
    <cfRule type="cellIs" dxfId="296" priority="78" operator="lessThan">
      <formula>0</formula>
    </cfRule>
    <cfRule type="cellIs" dxfId="295" priority="76" operator="equal">
      <formula>0</formula>
    </cfRule>
  </conditionalFormatting>
  <conditionalFormatting sqref="C3:C33">
    <cfRule type="expression" dxfId="294" priority="157">
      <formula>WEEKDAY(B3,1)=7</formula>
    </cfRule>
    <cfRule type="expression" dxfId="293" priority="156">
      <formula>NOT(ISERROR(MATCH(B3,Jours_fériés,0)))</formula>
    </cfRule>
    <cfRule type="expression" dxfId="292" priority="158">
      <formula>WEEKDAY(B3,1)=1</formula>
    </cfRule>
  </conditionalFormatting>
  <conditionalFormatting sqref="D57:D59">
    <cfRule type="cellIs" dxfId="291" priority="5" operator="equal">
      <formula>$D$60</formula>
    </cfRule>
  </conditionalFormatting>
  <conditionalFormatting sqref="D2:E2">
    <cfRule type="expression" dxfId="290" priority="41">
      <formula>+$K$52&lt;0</formula>
    </cfRule>
  </conditionalFormatting>
  <conditionalFormatting sqref="D3:E3 D4:D33">
    <cfRule type="expression" dxfId="289" priority="92">
      <formula>WEEKDAY(B3,1)=1</formula>
    </cfRule>
    <cfRule type="expression" dxfId="288" priority="93">
      <formula>WEEKDAY(B3,1)=7</formula>
    </cfRule>
    <cfRule type="expression" dxfId="287" priority="94">
      <formula>NOT(ISERROR(MATCH(B3,Jours_fériés,0)))</formula>
    </cfRule>
  </conditionalFormatting>
  <conditionalFormatting sqref="D45:F56">
    <cfRule type="cellIs" dxfId="286" priority="206" operator="equal">
      <formula>$D$57</formula>
    </cfRule>
  </conditionalFormatting>
  <conditionalFormatting sqref="E4:E33">
    <cfRule type="expression" dxfId="285" priority="29">
      <formula>WEEKDAY(C4,1)=7</formula>
    </cfRule>
    <cfRule type="expression" dxfId="284" priority="30">
      <formula>NOT(ISERROR(MATCH(C4,Jours_fériés,0)))</formula>
    </cfRule>
    <cfRule type="expression" dxfId="283" priority="28">
      <formula>WEEKDAY(C4,1)=1</formula>
    </cfRule>
  </conditionalFormatting>
  <conditionalFormatting sqref="F31">
    <cfRule type="expression" dxfId="282" priority="22">
      <formula>COUNTIFS($AR$6:$AR$18,F31:F67)=1</formula>
    </cfRule>
    <cfRule type="expression" dxfId="281" priority="26">
      <formula>WEEKDAY(F31,1)=7</formula>
    </cfRule>
    <cfRule type="expression" dxfId="280" priority="23">
      <formula>WEEKDAY(F31,1)=7</formula>
    </cfRule>
    <cfRule type="expression" dxfId="279" priority="24">
      <formula>WEEKDAY(F31,1)=1</formula>
    </cfRule>
    <cfRule type="expression" dxfId="278" priority="25">
      <formula>COUNTIFS($AR$6:$AR$18,F31:F66)=1</formula>
    </cfRule>
    <cfRule type="expression" dxfId="277" priority="27">
      <formula>WEEKDAY(F31,1)=1</formula>
    </cfRule>
  </conditionalFormatting>
  <conditionalFormatting sqref="G2">
    <cfRule type="cellIs" dxfId="276" priority="52" operator="equal">
      <formula>0</formula>
    </cfRule>
    <cfRule type="cellIs" dxfId="275" priority="53" operator="greaterThan">
      <formula>0</formula>
    </cfRule>
    <cfRule type="cellIs" dxfId="274" priority="54" operator="lessThan">
      <formula>0</formula>
    </cfRule>
  </conditionalFormatting>
  <conditionalFormatting sqref="G3:G30">
    <cfRule type="expression" dxfId="273" priority="152">
      <formula>NOT(ISERROR(MATCH(F1048576,Jours_fériés,0)))</formula>
    </cfRule>
    <cfRule type="expression" dxfId="272" priority="153">
      <formula>WEEKDAY(F3,1)=7</formula>
    </cfRule>
    <cfRule type="expression" dxfId="271" priority="154">
      <formula>WEEKDAY(F3,1)=1</formula>
    </cfRule>
  </conditionalFormatting>
  <conditionalFormatting sqref="G31">
    <cfRule type="expression" dxfId="270" priority="20">
      <formula>WEEKDAY(F31,1)=7</formula>
    </cfRule>
    <cfRule type="expression" dxfId="269" priority="19">
      <formula>NOT(ISERROR(MATCH(F31,Jours_fériés,0)))</formula>
    </cfRule>
    <cfRule type="expression" dxfId="268" priority="21">
      <formula>WEEKDAY(F31,1)=1</formula>
    </cfRule>
  </conditionalFormatting>
  <conditionalFormatting sqref="H31">
    <cfRule type="expression" dxfId="267" priority="18">
      <formula>NOT(ISERROR(MATCH(F31,Jours_fériés,0)))</formula>
    </cfRule>
    <cfRule type="expression" dxfId="266" priority="17">
      <formula>WEEKDAY(F31,1)=7</formula>
    </cfRule>
    <cfRule type="expression" dxfId="265" priority="16">
      <formula>WEEKDAY(F31,1)=1</formula>
    </cfRule>
  </conditionalFormatting>
  <conditionalFormatting sqref="H2:I2">
    <cfRule type="expression" dxfId="264" priority="42">
      <formula>+$K$52&lt;0</formula>
    </cfRule>
  </conditionalFormatting>
  <conditionalFormatting sqref="H3:I28 H29:H30 I29:I31">
    <cfRule type="expression" dxfId="263" priority="150">
      <formula>NOT(ISERROR(MATCH(F3,Jours_fériés,0)))</formula>
    </cfRule>
    <cfRule type="expression" dxfId="262" priority="149">
      <formula>WEEKDAY(F3,1)=7</formula>
    </cfRule>
    <cfRule type="expression" dxfId="261" priority="148">
      <formula>WEEKDAY(F3,1)=1</formula>
    </cfRule>
  </conditionalFormatting>
  <conditionalFormatting sqref="J3 B3:B6 J5:J6">
    <cfRule type="expression" dxfId="260" priority="151">
      <formula>COUNTIFS($AR$6:$AR$18,B3:B33)=1</formula>
    </cfRule>
    <cfRule type="expression" dxfId="259" priority="175">
      <formula>WEEKDAY(B3,1)=1</formula>
    </cfRule>
    <cfRule type="expression" dxfId="258" priority="174">
      <formula>WEEKDAY(B3,1)=7</formula>
    </cfRule>
  </conditionalFormatting>
  <conditionalFormatting sqref="J4">
    <cfRule type="expression" dxfId="257" priority="288">
      <formula>COUNTIFS($AR$6:$AR$18,J4:J35)=1</formula>
    </cfRule>
    <cfRule type="expression" dxfId="256" priority="290">
      <formula>WEEKDAY(J4,1)=1</formula>
    </cfRule>
    <cfRule type="expression" dxfId="255" priority="289">
      <formula>WEEKDAY(J4,1)=7</formula>
    </cfRule>
  </conditionalFormatting>
  <conditionalFormatting sqref="J8:J19 B8:B26 J23:J26 B33 J33">
    <cfRule type="expression" dxfId="254" priority="298">
      <formula>WEEKDAY(B8,1)=7</formula>
    </cfRule>
    <cfRule type="expression" dxfId="253" priority="299">
      <formula>WEEKDAY(B8,1)=1</formula>
    </cfRule>
  </conditionalFormatting>
  <conditionalFormatting sqref="J20:J22 J27:J30 B27:B32">
    <cfRule type="expression" dxfId="252" priority="341">
      <formula>WEEKDAY(B20,1)=1</formula>
    </cfRule>
    <cfRule type="expression" dxfId="251" priority="340">
      <formula>WEEKDAY(B20,1)=7</formula>
    </cfRule>
  </conditionalFormatting>
  <conditionalFormatting sqref="J31:J32">
    <cfRule type="expression" dxfId="250" priority="345">
      <formula>WEEKDAY(J31,1)=1</formula>
    </cfRule>
    <cfRule type="expression" dxfId="249" priority="343">
      <formula>COUNTIFS($AR$6:$AR$18,J31:J55)=1</formula>
    </cfRule>
    <cfRule type="expression" dxfId="248" priority="344">
      <formula>WEEKDAY(J31,1)=7</formula>
    </cfRule>
  </conditionalFormatting>
  <conditionalFormatting sqref="K2">
    <cfRule type="cellIs" dxfId="247" priority="74" operator="greaterThan">
      <formula>0</formula>
    </cfRule>
    <cfRule type="cellIs" dxfId="246" priority="75" operator="lessThan">
      <formula>0</formula>
    </cfRule>
    <cfRule type="cellIs" dxfId="245" priority="73" operator="equal">
      <formula>0</formula>
    </cfRule>
  </conditionalFormatting>
  <conditionalFormatting sqref="K3:K33">
    <cfRule type="expression" dxfId="244" priority="214">
      <formula>WEEKDAY(J3,1)=1</formula>
    </cfRule>
    <cfRule type="expression" dxfId="243" priority="216">
      <formula>NOT(ISERROR(MATCH(J3,Jours_fériés,0)))</formula>
    </cfRule>
    <cfRule type="expression" dxfId="242" priority="215">
      <formula>WEEKDAY(J3,1)=7</formula>
    </cfRule>
  </conditionalFormatting>
  <conditionalFormatting sqref="K57">
    <cfRule type="cellIs" priority="205" operator="equal">
      <formula>0</formula>
    </cfRule>
  </conditionalFormatting>
  <conditionalFormatting sqref="L3">
    <cfRule type="expression" dxfId="241" priority="13">
      <formula>WEEKDAY(J3,1)=7</formula>
    </cfRule>
    <cfRule type="expression" dxfId="240" priority="14">
      <formula>NOT(ISERROR(MATCH(J3,Jours_fériés,0)))</formula>
    </cfRule>
    <cfRule type="expression" dxfId="239" priority="12">
      <formula>WEEKDAY(J3,1)=1</formula>
    </cfRule>
  </conditionalFormatting>
  <conditionalFormatting sqref="L4:L33">
    <cfRule type="expression" dxfId="238" priority="145">
      <formula>WEEKDAY(J4,1)=1</formula>
    </cfRule>
    <cfRule type="expression" dxfId="237" priority="146">
      <formula>WEEKDAY(J4,1)=7</formula>
    </cfRule>
    <cfRule type="expression" dxfId="236" priority="147">
      <formula>NOT(ISERROR(MATCH(J4,Jours_fériés,0)))</formula>
    </cfRule>
  </conditionalFormatting>
  <conditionalFormatting sqref="L2:M2">
    <cfRule type="expression" dxfId="235" priority="10">
      <formula>+$K$52&lt;0</formula>
    </cfRule>
  </conditionalFormatting>
  <conditionalFormatting sqref="M3:M33">
    <cfRule type="expression" dxfId="234" priority="7">
      <formula>WEEKDAY(K3,1)=1</formula>
    </cfRule>
    <cfRule type="expression" dxfId="233" priority="8">
      <formula>WEEKDAY(K3,1)=7</formula>
    </cfRule>
    <cfRule type="expression" dxfId="232" priority="9">
      <formula>NOT(ISERROR(MATCH(K3,Jours_fériés,0)))</formula>
    </cfRule>
  </conditionalFormatting>
  <conditionalFormatting sqref="N3:N4">
    <cfRule type="expression" dxfId="231" priority="223">
      <formula>COUNTIFS($AR$6:$AR$18,N3:AT33)=1</formula>
    </cfRule>
  </conditionalFormatting>
  <conditionalFormatting sqref="N3:N32">
    <cfRule type="expression" dxfId="230" priority="173">
      <formula>WEEKDAY(N3,1)=1</formula>
    </cfRule>
    <cfRule type="expression" dxfId="229" priority="172">
      <formula>WEEKDAY(N3,1)=7</formula>
    </cfRule>
  </conditionalFormatting>
  <conditionalFormatting sqref="O2">
    <cfRule type="cellIs" dxfId="228" priority="72" operator="lessThan">
      <formula>0</formula>
    </cfRule>
    <cfRule type="cellIs" dxfId="227" priority="70" operator="equal">
      <formula>0</formula>
    </cfRule>
    <cfRule type="cellIs" dxfId="226" priority="71" operator="greaterThan">
      <formula>0</formula>
    </cfRule>
  </conditionalFormatting>
  <conditionalFormatting sqref="O3:O32">
    <cfRule type="expression" dxfId="225" priority="180">
      <formula>WEEKDAY(N3,1)=7</formula>
    </cfRule>
    <cfRule type="expression" dxfId="224" priority="179">
      <formula>NOT(ISERROR(MATCH(N3,Jours_fériés,0)))</formula>
    </cfRule>
    <cfRule type="expression" dxfId="223" priority="178">
      <formula>WEEKDAY(N3,1)=1</formula>
    </cfRule>
  </conditionalFormatting>
  <conditionalFormatting sqref="O5">
    <cfRule type="expression" dxfId="222" priority="256">
      <formula>COUNTIFS($AR$6:$AR$18,O5:AU34)=1</formula>
    </cfRule>
  </conditionalFormatting>
  <conditionalFormatting sqref="O6">
    <cfRule type="expression" dxfId="221" priority="257">
      <formula>COUNTIFS($AR$6:$AR$18,O6:AU34)=1</formula>
    </cfRule>
  </conditionalFormatting>
  <conditionalFormatting sqref="O7 O16:O32 O33:P33">
    <cfRule type="expression" dxfId="220" priority="258">
      <formula>COUNTIFS($AR$6:$AR$18,O7:AU34)=1</formula>
    </cfRule>
  </conditionalFormatting>
  <conditionalFormatting sqref="O8">
    <cfRule type="expression" dxfId="219" priority="259">
      <formula>COUNTIFS($AR$6:$AR$18,O8:AU34)=1</formula>
    </cfRule>
  </conditionalFormatting>
  <conditionalFormatting sqref="O13 O15">
    <cfRule type="expression" dxfId="218" priority="224">
      <formula>COUNTIFS($AR$6:$AR$18,O13:AU37)=1</formula>
    </cfRule>
  </conditionalFormatting>
  <conditionalFormatting sqref="O14">
    <cfRule type="expression" dxfId="217" priority="303">
      <formula>COUNTIFS($AR$6:$AR$18,O14:AU37)=1</formula>
    </cfRule>
  </conditionalFormatting>
  <conditionalFormatting sqref="P2">
    <cfRule type="expression" dxfId="216" priority="31">
      <formula>+$K$52&lt;0</formula>
    </cfRule>
  </conditionalFormatting>
  <conditionalFormatting sqref="P3:P32">
    <cfRule type="expression" dxfId="215" priority="144">
      <formula>NOT(ISERROR(MATCH(N3,Jours_fériés,0)))</formula>
    </cfRule>
    <cfRule type="expression" dxfId="214" priority="142">
      <formula>WEEKDAY(N3,1)=1</formula>
    </cfRule>
    <cfRule type="expression" dxfId="213" priority="143">
      <formula>WEEKDAY(N3,1)=7</formula>
    </cfRule>
  </conditionalFormatting>
  <conditionalFormatting sqref="Q3:Q33 W3:W33">
    <cfRule type="expression" dxfId="212" priority="166">
      <formula>WEEKDAY(Q3,1)=7</formula>
    </cfRule>
    <cfRule type="expression" dxfId="211" priority="167">
      <formula>WEEKDAY(Q3,1)=1</formula>
    </cfRule>
  </conditionalFormatting>
  <conditionalFormatting sqref="Q6:Q7 Q3:Q4">
    <cfRule type="expression" dxfId="210" priority="255">
      <formula>COUNTIFS($AR$6:$AR$18,Q3:Q32)=1</formula>
    </cfRule>
  </conditionalFormatting>
  <conditionalFormatting sqref="Q9:Q33">
    <cfRule type="expression" dxfId="209" priority="319">
      <formula>COUNTIFS($AR$6:$AR$18,Q9:Q43)=1</formula>
    </cfRule>
  </conditionalFormatting>
  <conditionalFormatting sqref="Q58:Q60">
    <cfRule type="cellIs" dxfId="208" priority="4" operator="equal">
      <formula>$B$60</formula>
    </cfRule>
  </conditionalFormatting>
  <conditionalFormatting sqref="Q5:R5">
    <cfRule type="expression" dxfId="207" priority="252">
      <formula>COUNTIFS($AR$6:$AR$18,Q5:AV34)=1</formula>
    </cfRule>
  </conditionalFormatting>
  <conditionalFormatting sqref="Q6:R6">
    <cfRule type="expression" dxfId="206" priority="253">
      <formula>COUNTIFS($AR$6:$AR$18,Q6:AV34)=1</formula>
    </cfRule>
  </conditionalFormatting>
  <conditionalFormatting sqref="Q7:R7">
    <cfRule type="expression" dxfId="205" priority="254">
      <formula>COUNTIFS($AR$6:$AR$18,Q7:AV34)=1</formula>
    </cfRule>
  </conditionalFormatting>
  <conditionalFormatting sqref="Q12:R13">
    <cfRule type="expression" dxfId="204" priority="342">
      <formula>COUNTIFS($AR$6:$AR$18,Q12:AV36)=1</formula>
    </cfRule>
  </conditionalFormatting>
  <conditionalFormatting sqref="Q45:R56">
    <cfRule type="cellIs" dxfId="203" priority="113" operator="equal">
      <formula>$B$57</formula>
    </cfRule>
  </conditionalFormatting>
  <conditionalFormatting sqref="R2">
    <cfRule type="cellIs" dxfId="202" priority="67" operator="equal">
      <formula>0</formula>
    </cfRule>
    <cfRule type="cellIs" dxfId="201" priority="68" operator="greaterThan">
      <formula>0</formula>
    </cfRule>
    <cfRule type="cellIs" dxfId="200" priority="69" operator="lessThan">
      <formula>0</formula>
    </cfRule>
  </conditionalFormatting>
  <conditionalFormatting sqref="R3:R9">
    <cfRule type="expression" dxfId="199" priority="124">
      <formula>NOT(ISERROR(MATCH(Q3,Jours_fériés,0)))</formula>
    </cfRule>
  </conditionalFormatting>
  <conditionalFormatting sqref="R3:R33">
    <cfRule type="expression" dxfId="198" priority="212">
      <formula>WEEKDAY(Q3,1)=1</formula>
    </cfRule>
    <cfRule type="expression" dxfId="197" priority="213">
      <formula>WEEKDAY(Q3,1)=7</formula>
    </cfRule>
  </conditionalFormatting>
  <conditionalFormatting sqref="S2">
    <cfRule type="expression" dxfId="196" priority="39">
      <formula>+$K$52&lt;0</formula>
    </cfRule>
  </conditionalFormatting>
  <conditionalFormatting sqref="S3:S9">
    <cfRule type="expression" dxfId="195" priority="123">
      <formula>NOT(ISERROR(MATCH(Q3,Jours_fériés,0)))</formula>
    </cfRule>
  </conditionalFormatting>
  <conditionalFormatting sqref="S3:S33">
    <cfRule type="expression" dxfId="194" priority="141">
      <formula>WEEKDAY(Q3,1)=7</formula>
    </cfRule>
    <cfRule type="expression" dxfId="193" priority="140">
      <formula>WEEKDAY(Q3,1)=1</formula>
    </cfRule>
  </conditionalFormatting>
  <conditionalFormatting sqref="S58:S60">
    <cfRule type="cellIs" dxfId="192" priority="3" operator="equal">
      <formula>$D$60</formula>
    </cfRule>
  </conditionalFormatting>
  <conditionalFormatting sqref="S45:T56">
    <cfRule type="cellIs" dxfId="191" priority="112" operator="equal">
      <formula>$D$57</formula>
    </cfRule>
  </conditionalFormatting>
  <conditionalFormatting sqref="T3:T4">
    <cfRule type="expression" dxfId="190" priority="169">
      <formula>WEEKDAY(T3,1)=1</formula>
    </cfRule>
    <cfRule type="expression" dxfId="189" priority="168">
      <formula>WEEKDAY(T3,1)=7</formula>
    </cfRule>
  </conditionalFormatting>
  <conditionalFormatting sqref="T3:T6">
    <cfRule type="expression" dxfId="188" priority="261">
      <formula>COUNTIFS($AR$6:$AR$18,T3:AX33)=1</formula>
    </cfRule>
  </conditionalFormatting>
  <conditionalFormatting sqref="T7">
    <cfRule type="expression" dxfId="187" priority="327">
      <formula>COUNTIFS($AR$6:$AR$18,T7:AX39)=1</formula>
    </cfRule>
  </conditionalFormatting>
  <conditionalFormatting sqref="U2">
    <cfRule type="cellIs" dxfId="186" priority="66" operator="lessThan">
      <formula>0</formula>
    </cfRule>
    <cfRule type="cellIs" dxfId="185" priority="65" operator="greaterThan">
      <formula>0</formula>
    </cfRule>
    <cfRule type="cellIs" dxfId="184" priority="64" operator="equal">
      <formula>0</formula>
    </cfRule>
  </conditionalFormatting>
  <conditionalFormatting sqref="U3">
    <cfRule type="expression" dxfId="183" priority="202">
      <formula>NOT(ISERROR(MATCH(T3,Jours_fériés,0)))</formula>
    </cfRule>
    <cfRule type="expression" dxfId="182" priority="203">
      <formula>COUNTIFS($AR$6:$AR$18,U3:AZ33)=1</formula>
    </cfRule>
  </conditionalFormatting>
  <conditionalFormatting sqref="U3:U32">
    <cfRule type="expression" dxfId="181" priority="199">
      <formula>WEEKDAY(T3,1)=1</formula>
    </cfRule>
    <cfRule type="expression" dxfId="180" priority="204">
      <formula>NOT(ISERROR(MATCH(T2,Jours_fériés,0)))</formula>
    </cfRule>
    <cfRule type="expression" dxfId="179" priority="200">
      <formula>WEEKDAY(T3,1)=7</formula>
    </cfRule>
  </conditionalFormatting>
  <conditionalFormatting sqref="U6 X6">
    <cfRule type="expression" dxfId="178" priority="225">
      <formula>COUNTIFS($AR$6:$AR$18,U6:AX34)=1</formula>
    </cfRule>
  </conditionalFormatting>
  <conditionalFormatting sqref="U7 X7 AG33 AA33">
    <cfRule type="expression" dxfId="177" priority="226">
      <formula>COUNTIFS($AR$6:$AR$18,U7:AX34)=1</formula>
    </cfRule>
  </conditionalFormatting>
  <conditionalFormatting sqref="U8 U10">
    <cfRule type="expression" dxfId="176" priority="249">
      <formula>COUNTIFS($AR$6:$AR$18,U8:AY34)=1</formula>
    </cfRule>
  </conditionalFormatting>
  <conditionalFormatting sqref="U8 X8">
    <cfRule type="expression" dxfId="175" priority="227">
      <formula>COUNTIFS($AR$6:$AR$18,U8:AX34)=1</formula>
    </cfRule>
  </conditionalFormatting>
  <conditionalFormatting sqref="U9 U11">
    <cfRule type="expression" dxfId="174" priority="250">
      <formula>COUNTIFS($AR$6:$AR$18,U9:AY34)=1</formula>
    </cfRule>
  </conditionalFormatting>
  <conditionalFormatting sqref="U11 X11">
    <cfRule type="expression" dxfId="173" priority="305">
      <formula>COUNTIFS($AR$6:$AR$18,U11:AX36)=1</formula>
    </cfRule>
  </conditionalFormatting>
  <conditionalFormatting sqref="U12:U13 U15">
    <cfRule type="expression" dxfId="172" priority="251">
      <formula>COUNTIFS($AR$6:$AR$18,U12:AY36)=1</formula>
    </cfRule>
  </conditionalFormatting>
  <conditionalFormatting sqref="U14">
    <cfRule type="expression" dxfId="171" priority="312">
      <formula>COUNTIFS($AR$6:$AR$18,U14:AY37)=1</formula>
    </cfRule>
  </conditionalFormatting>
  <conditionalFormatting sqref="U16:U33">
    <cfRule type="expression" dxfId="170" priority="263">
      <formula>COUNTIFS($AR$6:$AR$18,U16:AY43)=1</formula>
    </cfRule>
  </conditionalFormatting>
  <conditionalFormatting sqref="V2">
    <cfRule type="expression" dxfId="169" priority="32">
      <formula>+$K$52&lt;0</formula>
    </cfRule>
  </conditionalFormatting>
  <conditionalFormatting sqref="V3:V32">
    <cfRule type="expression" dxfId="168" priority="90">
      <formula>NOT(ISERROR(MATCH(T3,Jours_fériés,0)))</formula>
    </cfRule>
    <cfRule type="expression" dxfId="167" priority="89">
      <formula>WEEKDAY(T3,1)=7</formula>
    </cfRule>
    <cfRule type="expression" dxfId="166" priority="88">
      <formula>WEEKDAY(T3,1)=1</formula>
    </cfRule>
  </conditionalFormatting>
  <conditionalFormatting sqref="W3 Q5 W5:W6">
    <cfRule type="expression" dxfId="165" priority="201">
      <formula>COUNTIFS($AR$6:$AR$18,Q3:Q33)=1</formula>
    </cfRule>
  </conditionalFormatting>
  <conditionalFormatting sqref="W4 Q8">
    <cfRule type="expression" dxfId="164" priority="293">
      <formula>COUNTIFS($AR$6:$AR$18,Q4:Q35)=1</formula>
    </cfRule>
  </conditionalFormatting>
  <conditionalFormatting sqref="W7">
    <cfRule type="expression" dxfId="163" priority="269">
      <formula>COUNTIFS($AR$6:$AR$18,W7:W39)=1</formula>
    </cfRule>
  </conditionalFormatting>
  <conditionalFormatting sqref="W8:W33">
    <cfRule type="expression" dxfId="162" priority="275">
      <formula>COUNTIFS($AR$6:$AR$18,W8:W43)=1</formula>
    </cfRule>
  </conditionalFormatting>
  <conditionalFormatting sqref="X2">
    <cfRule type="cellIs" dxfId="161" priority="63" operator="lessThan">
      <formula>0</formula>
    </cfRule>
    <cfRule type="cellIs" dxfId="160" priority="61" operator="equal">
      <formula>0</formula>
    </cfRule>
    <cfRule type="cellIs" dxfId="159" priority="62" operator="greaterThan">
      <formula>0</formula>
    </cfRule>
  </conditionalFormatting>
  <conditionalFormatting sqref="X3:X15">
    <cfRule type="expression" dxfId="158" priority="122">
      <formula>NOT(ISERROR(MATCH(W3,Jours_fériés,0)))</formula>
    </cfRule>
  </conditionalFormatting>
  <conditionalFormatting sqref="X3:X33">
    <cfRule type="expression" dxfId="157" priority="196">
      <formula>WEEKDAY(W3,1)=1</formula>
    </cfRule>
    <cfRule type="expression" dxfId="156" priority="197">
      <formula>WEEKDAY(W3,1)=7</formula>
    </cfRule>
  </conditionalFormatting>
  <conditionalFormatting sqref="X17:X33">
    <cfRule type="expression" dxfId="155" priority="198">
      <formula>NOT(ISERROR(MATCH(W17,Jours_fériés,0)))</formula>
    </cfRule>
  </conditionalFormatting>
  <conditionalFormatting sqref="X57">
    <cfRule type="cellIs" priority="111" operator="equal">
      <formula>0</formula>
    </cfRule>
    <cfRule type="cellIs" dxfId="154" priority="115" operator="lessThan">
      <formula>0</formula>
    </cfRule>
    <cfRule type="cellIs" dxfId="153" priority="114" operator="greaterThan">
      <formula>0</formula>
    </cfRule>
  </conditionalFormatting>
  <conditionalFormatting sqref="Y2">
    <cfRule type="expression" dxfId="152" priority="38">
      <formula>+$K$52&lt;0</formula>
    </cfRule>
  </conditionalFormatting>
  <conditionalFormatting sqref="Y3:Y9">
    <cfRule type="expression" dxfId="151" priority="84">
      <formula>NOT(ISERROR(MATCH(W3,Jours_fériés,0)))</formula>
    </cfRule>
  </conditionalFormatting>
  <conditionalFormatting sqref="Y3:Y33">
    <cfRule type="expression" dxfId="150" priority="86">
      <formula>WEEKDAY(W3,1)=7</formula>
    </cfRule>
    <cfRule type="expression" dxfId="149" priority="85">
      <formula>WEEKDAY(W3,1)=1</formula>
    </cfRule>
  </conditionalFormatting>
  <conditionalFormatting sqref="Z3:Z4 Z6:Z7">
    <cfRule type="expression" dxfId="148" priority="195">
      <formula>COUNTIFS($AR$6:$AR$18,Z3:Z32)=1</formula>
    </cfRule>
  </conditionalFormatting>
  <conditionalFormatting sqref="Z3:Z7">
    <cfRule type="expression" dxfId="147" priority="164">
      <formula>WEEKDAY(Z3,1)=7</formula>
    </cfRule>
    <cfRule type="expression" dxfId="146" priority="165">
      <formula>WEEKDAY(Z3,1)=1</formula>
    </cfRule>
  </conditionalFormatting>
  <conditionalFormatting sqref="Z8 AL4">
    <cfRule type="expression" dxfId="145" priority="287">
      <formula>COUNTIFS($AR$6:$AR$18,Z4:Z35)=1</formula>
    </cfRule>
  </conditionalFormatting>
  <conditionalFormatting sqref="Z8:Z32">
    <cfRule type="expression" dxfId="144" priority="286">
      <formula>WEEKDAY(Z8,1)=1</formula>
    </cfRule>
    <cfRule type="expression" dxfId="143" priority="285">
      <formula>WEEKDAY(Z8,1)=7</formula>
    </cfRule>
  </conditionalFormatting>
  <conditionalFormatting sqref="Z33 T8:T32">
    <cfRule type="expression" dxfId="142" priority="304">
      <formula>COUNTIFS($AR$6:$AR$18,T8:AX43)=1</formula>
    </cfRule>
  </conditionalFormatting>
  <conditionalFormatting sqref="Z33">
    <cfRule type="expression" dxfId="141" priority="126">
      <formula>WEEKDAY(Z33,1)=1</formula>
    </cfRule>
    <cfRule type="expression" dxfId="140" priority="125">
      <formula>WEEKDAY(Z33,1)=7</formula>
    </cfRule>
  </conditionalFormatting>
  <conditionalFormatting sqref="Z5:AA5 AA4">
    <cfRule type="expression" dxfId="139" priority="246">
      <formula>COUNTIFS($AR$6:$AR$18,Z4:BB33)=1</formula>
    </cfRule>
  </conditionalFormatting>
  <conditionalFormatting sqref="Z6:AA6">
    <cfRule type="expression" dxfId="138" priority="247">
      <formula>COUNTIFS($AR$6:$AR$18,Z6:BB34)=1</formula>
    </cfRule>
  </conditionalFormatting>
  <conditionalFormatting sqref="Z8:AA8">
    <cfRule type="expression" dxfId="137" priority="248">
      <formula>COUNTIFS($AR$6:$AR$18,Z8:BB34)=1</formula>
    </cfRule>
  </conditionalFormatting>
  <conditionalFormatting sqref="Z11:AA11">
    <cfRule type="expression" dxfId="136" priority="284">
      <formula>COUNTIFS($AR$6:$AR$18,Z11:BB36)=1</formula>
    </cfRule>
  </conditionalFormatting>
  <conditionalFormatting sqref="Z12:AA13">
    <cfRule type="expression" dxfId="135" priority="328">
      <formula>COUNTIFS($AR$6:$AR$18,Z12:BB36)=1</formula>
    </cfRule>
  </conditionalFormatting>
  <conditionalFormatting sqref="AA2">
    <cfRule type="cellIs" dxfId="134" priority="44" operator="greaterThan">
      <formula>0</formula>
    </cfRule>
    <cfRule type="cellIs" dxfId="133" priority="43" operator="equal">
      <formula>0</formula>
    </cfRule>
    <cfRule type="cellIs" dxfId="132" priority="45" operator="lessThan">
      <formula>0</formula>
    </cfRule>
  </conditionalFormatting>
  <conditionalFormatting sqref="AA3:AA20">
    <cfRule type="expression" dxfId="131" priority="121">
      <formula>NOT(ISERROR(MATCH(Z3,Jours_fériés,0)))</formula>
    </cfRule>
  </conditionalFormatting>
  <conditionalFormatting sqref="AA3:AA32">
    <cfRule type="expression" dxfId="130" priority="193">
      <formula>WEEKDAY(Z3,1)=1</formula>
    </cfRule>
    <cfRule type="expression" dxfId="129" priority="194">
      <formula>WEEKDAY(Z3,1)=7</formula>
    </cfRule>
  </conditionalFormatting>
  <conditionalFormatting sqref="AA6">
    <cfRule type="expression" dxfId="128" priority="323">
      <formula>COUNTIFS($AR$6:$AR$18,AA6:BC36)=1</formula>
    </cfRule>
  </conditionalFormatting>
  <conditionalFormatting sqref="AA9:AA13 AA16:AA20 AA23:AA27 AA30:AA32">
    <cfRule type="expression" dxfId="127" priority="332">
      <formula>COUNTIFS($AR$6:$AR$18,AA9:BC43)=1</formula>
    </cfRule>
  </conditionalFormatting>
  <conditionalFormatting sqref="AA23:AA27">
    <cfRule type="expression" dxfId="126" priority="120">
      <formula>NOT(ISERROR(MATCH(Z23,Jours_fériés,0)))</formula>
    </cfRule>
  </conditionalFormatting>
  <conditionalFormatting sqref="AA30:AA32">
    <cfRule type="expression" dxfId="125" priority="117">
      <formula>NOT(ISERROR(MATCH(Z30,Jours_fériés,0)))</formula>
    </cfRule>
  </conditionalFormatting>
  <conditionalFormatting sqref="AA33 AG33">
    <cfRule type="expression" dxfId="124" priority="306">
      <formula>WEEKDAY(Z33,1)=1</formula>
    </cfRule>
    <cfRule type="expression" dxfId="123" priority="307">
      <formula>WEEKDAY(Z33,1)=7</formula>
    </cfRule>
    <cfRule type="expression" dxfId="122" priority="308">
      <formula>NOT(ISERROR(MATCH(Z33,Jours_fériés,0)))</formula>
    </cfRule>
    <cfRule type="expression" dxfId="121" priority="309">
      <formula>COUNTIFS($AR$6:$AR$18,AA33:BC68)=1</formula>
    </cfRule>
  </conditionalFormatting>
  <conditionalFormatting sqref="AA33">
    <cfRule type="expression" dxfId="120" priority="116">
      <formula>WEEKDAY($W$3,1)=1</formula>
    </cfRule>
  </conditionalFormatting>
  <conditionalFormatting sqref="AB2">
    <cfRule type="expression" dxfId="119" priority="37">
      <formula>+$K$52&lt;0</formula>
    </cfRule>
  </conditionalFormatting>
  <conditionalFormatting sqref="AB3:AB9">
    <cfRule type="expression" dxfId="118" priority="80">
      <formula>NOT(ISERROR(MATCH(Z3,Jours_fériés,0)))</formula>
    </cfRule>
  </conditionalFormatting>
  <conditionalFormatting sqref="AB3:AB33">
    <cfRule type="expression" dxfId="117" priority="82">
      <formula>WEEKDAY(Z3,1)=7</formula>
    </cfRule>
    <cfRule type="expression" dxfId="116" priority="81">
      <formula>WEEKDAY(Z3,1)=1</formula>
    </cfRule>
  </conditionalFormatting>
  <conditionalFormatting sqref="AC3">
    <cfRule type="expression" dxfId="115" priority="294">
      <formula>COUNTIFS($AR$6:$AR$18,AC3:AC35)=1</formula>
    </cfRule>
    <cfRule type="expression" dxfId="114" priority="295">
      <formula>WEEKDAY(AC3,1)=1</formula>
    </cfRule>
  </conditionalFormatting>
  <conditionalFormatting sqref="AC3:AC4">
    <cfRule type="expression" dxfId="113" priority="163">
      <formula>WEEKDAY(AC3,1)=7</formula>
    </cfRule>
  </conditionalFormatting>
  <conditionalFormatting sqref="AC4:AC5">
    <cfRule type="expression" dxfId="112" priority="330">
      <formula>WEEKDAY(AC4,1)=1</formula>
    </cfRule>
    <cfRule type="expression" dxfId="111" priority="329">
      <formula>COUNTIFS($AR$6:$AR$18,AC4:AC35)=1</formula>
    </cfRule>
  </conditionalFormatting>
  <conditionalFormatting sqref="AC6">
    <cfRule type="expression" dxfId="110" priority="282">
      <formula>COUNTIFS($AR$6:$AR$18,AC6:AC39)=1</formula>
    </cfRule>
    <cfRule type="expression" dxfId="109" priority="283">
      <formula>WEEKDAY(AC6,1)=1</formula>
    </cfRule>
  </conditionalFormatting>
  <conditionalFormatting sqref="AC7:AC32">
    <cfRule type="expression" dxfId="108" priority="338">
      <formula>WEEKDAY(AC7,1)=1</formula>
    </cfRule>
    <cfRule type="expression" dxfId="107" priority="337">
      <formula>COUNTIFS($AR$6:$AR$18,AC7:AC43)=1</formula>
    </cfRule>
  </conditionalFormatting>
  <conditionalFormatting sqref="AD2">
    <cfRule type="cellIs" dxfId="106" priority="50" operator="greaterThan">
      <formula>0</formula>
    </cfRule>
    <cfRule type="cellIs" dxfId="105" priority="49" operator="equal">
      <formula>0</formula>
    </cfRule>
    <cfRule type="cellIs" dxfId="104" priority="51" operator="lessThan">
      <formula>0</formula>
    </cfRule>
  </conditionalFormatting>
  <conditionalFormatting sqref="AD3:AD32">
    <cfRule type="expression" dxfId="103" priority="192">
      <formula>NOT(ISERROR(MATCH(AC3,Jours_fériés,0)))</formula>
    </cfRule>
    <cfRule type="expression" dxfId="102" priority="191">
      <formula>WEEKDAY(AC3,1)=7</formula>
    </cfRule>
    <cfRule type="expression" dxfId="101" priority="190">
      <formula>WEEKDAY(AC3,1)=1</formula>
    </cfRule>
  </conditionalFormatting>
  <conditionalFormatting sqref="AD5">
    <cfRule type="expression" dxfId="100" priority="240">
      <formula>COUNTIFS($AR$6:$AR$18,AD5:BE34)=1</formula>
    </cfRule>
  </conditionalFormatting>
  <conditionalFormatting sqref="AD6">
    <cfRule type="expression" dxfId="99" priority="241">
      <formula>COUNTIFS($AR$6:$AR$18,AD6:BE34)=1</formula>
    </cfRule>
  </conditionalFormatting>
  <conditionalFormatting sqref="AD7 AD16:AD33">
    <cfRule type="expression" dxfId="98" priority="242">
      <formula>COUNTIFS($AR$6:$AR$18,AD7:BE34)=1</formula>
    </cfRule>
  </conditionalFormatting>
  <conditionalFormatting sqref="AD8 AD10">
    <cfRule type="expression" dxfId="97" priority="243">
      <formula>COUNTIFS($AR$6:$AR$18,AD8:BE34)=1</formula>
    </cfRule>
  </conditionalFormatting>
  <conditionalFormatting sqref="AD9 AD11">
    <cfRule type="expression" dxfId="96" priority="244">
      <formula>COUNTIFS($AR$6:$AR$18,AD9:BE34)=1</formula>
    </cfRule>
  </conditionalFormatting>
  <conditionalFormatting sqref="AD12:AD13 AD15">
    <cfRule type="expression" dxfId="95" priority="245">
      <formula>COUNTIFS($AR$6:$AR$18,AD12:BE36)=1</formula>
    </cfRule>
  </conditionalFormatting>
  <conditionalFormatting sqref="AD14">
    <cfRule type="expression" dxfId="94" priority="311">
      <formula>COUNTIFS($AR$6:$AR$18,AD14:BE37)=1</formula>
    </cfRule>
  </conditionalFormatting>
  <conditionalFormatting sqref="AE2">
    <cfRule type="expression" dxfId="93" priority="33">
      <formula>+$K$52&lt;0</formula>
    </cfRule>
  </conditionalFormatting>
  <conditionalFormatting sqref="AE3:AE32">
    <cfRule type="expression" dxfId="92" priority="130">
      <formula>WEEKDAY(AC3,1)=1</formula>
    </cfRule>
    <cfRule type="expression" dxfId="91" priority="131">
      <formula>WEEKDAY(AC3,1)=7</formula>
    </cfRule>
    <cfRule type="expression" dxfId="90" priority="132">
      <formula>NOT(ISERROR(MATCH(AC3,Jours_fériés,0)))</formula>
    </cfRule>
  </conditionalFormatting>
  <conditionalFormatting sqref="AF3:AF33">
    <cfRule type="expression" dxfId="89" priority="162">
      <formula>WEEKDAY(AF3,1)=1</formula>
    </cfRule>
    <cfRule type="expression" dxfId="88" priority="161">
      <formula>WEEKDAY(AF3,1)=7</formula>
    </cfRule>
  </conditionalFormatting>
  <conditionalFormatting sqref="AF5:AF6">
    <cfRule type="expression" dxfId="87" priority="331">
      <formula>COUNTIFS($AR$6:$AR$18,AF5:BF36)=1</formula>
    </cfRule>
  </conditionalFormatting>
  <conditionalFormatting sqref="AF7">
    <cfRule type="expression" dxfId="86" priority="296">
      <formula>COUNTIFS($AR$6:$AR$18,AF7:BF39)=1</formula>
    </cfRule>
  </conditionalFormatting>
  <conditionalFormatting sqref="AF8:AF33">
    <cfRule type="expression" dxfId="85" priority="333">
      <formula>COUNTIFS($AR$6:$AR$18,AF8:BF43)=1</formula>
    </cfRule>
  </conditionalFormatting>
  <conditionalFormatting sqref="AF58:AF60">
    <cfRule type="cellIs" dxfId="84" priority="2" operator="equal">
      <formula>$B$60</formula>
    </cfRule>
  </conditionalFormatting>
  <conditionalFormatting sqref="AF4:AG4 AF3">
    <cfRule type="expression" dxfId="83" priority="260">
      <formula>COUNTIFS($AR$6:$AR$18,AF3:BF33)=1</formula>
    </cfRule>
  </conditionalFormatting>
  <conditionalFormatting sqref="AF5:AG5">
    <cfRule type="expression" dxfId="82" priority="234">
      <formula>COUNTIFS($AR$6:$AR$18,AF5:BF34)=1</formula>
    </cfRule>
  </conditionalFormatting>
  <conditionalFormatting sqref="AF6:AG6">
    <cfRule type="expression" dxfId="81" priority="235">
      <formula>COUNTIFS($AR$6:$AR$18,AF6:BF34)=1</formula>
    </cfRule>
  </conditionalFormatting>
  <conditionalFormatting sqref="AF7:AG7 AF16:AG32 AF33">
    <cfRule type="expression" dxfId="80" priority="236">
      <formula>COUNTIFS($AR$6:$AR$18,AF7:BF34)=1</formula>
    </cfRule>
  </conditionalFormatting>
  <conditionalFormatting sqref="AF8:AG8 AF10:AG10">
    <cfRule type="expression" dxfId="79" priority="237">
      <formula>COUNTIFS($AR$6:$AR$18,AF8:BF34)=1</formula>
    </cfRule>
  </conditionalFormatting>
  <conditionalFormatting sqref="AF9:AG9 AF11:AG11">
    <cfRule type="expression" dxfId="78" priority="238">
      <formula>COUNTIFS($AR$6:$AR$18,AF9:BF34)=1</formula>
    </cfRule>
  </conditionalFormatting>
  <conditionalFormatting sqref="AF12:AG13 AF15:AG15">
    <cfRule type="expression" dxfId="77" priority="239">
      <formula>COUNTIFS($AR$6:$AR$18,AF12:BF36)=1</formula>
    </cfRule>
  </conditionalFormatting>
  <conditionalFormatting sqref="AF14:AG14">
    <cfRule type="expression" dxfId="76" priority="310">
      <formula>COUNTIFS($AR$6:$AR$18,AF14:BF37)=1</formula>
    </cfRule>
  </conditionalFormatting>
  <conditionalFormatting sqref="AF45:AG56">
    <cfRule type="cellIs" dxfId="75" priority="107" operator="equal">
      <formula>$B$57</formula>
    </cfRule>
  </conditionalFormatting>
  <conditionalFormatting sqref="AG2">
    <cfRule type="cellIs" dxfId="74" priority="58" operator="equal">
      <formula>0</formula>
    </cfRule>
    <cfRule type="cellIs" dxfId="73" priority="59" operator="greaterThan">
      <formula>0</formula>
    </cfRule>
    <cfRule type="cellIs" dxfId="72" priority="60" operator="lessThan">
      <formula>0</formula>
    </cfRule>
  </conditionalFormatting>
  <conditionalFormatting sqref="AG3:AG32">
    <cfRule type="expression" dxfId="71" priority="188">
      <formula>WEEKDAY(AF3,1)=1</formula>
    </cfRule>
    <cfRule type="expression" dxfId="70" priority="189">
      <formula>WEEKDAY(AF3,1)=7</formula>
    </cfRule>
    <cfRule type="expression" dxfId="69" priority="155">
      <formula>NOT(ISERROR(MATCH(AF3,Jours_fériés,0)))</formula>
    </cfRule>
  </conditionalFormatting>
  <conditionalFormatting sqref="AG33">
    <cfRule type="expression" dxfId="68" priority="184">
      <formula>WEEKDAY($W$3,1)=1</formula>
    </cfRule>
  </conditionalFormatting>
  <conditionalFormatting sqref="AH2">
    <cfRule type="expression" dxfId="67" priority="36">
      <formula>+$K$52&lt;0</formula>
    </cfRule>
  </conditionalFormatting>
  <conditionalFormatting sqref="AH3:AH33">
    <cfRule type="expression" dxfId="66" priority="137">
      <formula>WEEKDAY(AF3,1)=1</formula>
    </cfRule>
    <cfRule type="expression" dxfId="65" priority="138">
      <formula>WEEKDAY(AF3,1)=7</formula>
    </cfRule>
    <cfRule type="expression" dxfId="64" priority="139">
      <formula>NOT(ISERROR(MATCH(AF3,Jours_fériés,0)))</formula>
    </cfRule>
  </conditionalFormatting>
  <conditionalFormatting sqref="AH58:AH60">
    <cfRule type="cellIs" dxfId="63" priority="1" operator="equal">
      <formula>$D$60</formula>
    </cfRule>
  </conditionalFormatting>
  <conditionalFormatting sqref="AH45:AI56">
    <cfRule type="cellIs" dxfId="62" priority="106" operator="equal">
      <formula>$D$57</formula>
    </cfRule>
  </conditionalFormatting>
  <conditionalFormatting sqref="AI3:AI13">
    <cfRule type="expression" dxfId="61" priority="228">
      <formula>COUNTIFS($AR$6:$AR$18,AI3:BH26)=1</formula>
    </cfRule>
  </conditionalFormatting>
  <conditionalFormatting sqref="AI3:AI32">
    <cfRule type="expression" dxfId="60" priority="159">
      <formula>WEEKDAY(AI3,1)=7</formula>
    </cfRule>
    <cfRule type="expression" dxfId="59" priority="160">
      <formula>WEEKDAY(AI3,1)=1</formula>
    </cfRule>
  </conditionalFormatting>
  <conditionalFormatting sqref="AI14">
    <cfRule type="expression" dxfId="58" priority="326">
      <formula>COUNTIFS($AR$6:$AR$18,AI14:BH39)=1</formula>
    </cfRule>
  </conditionalFormatting>
  <conditionalFormatting sqref="AI15:AI32">
    <cfRule type="expression" dxfId="57" priority="336">
      <formula>COUNTIFS($AR$6:$AR$18,AI15:BH43)=1</formula>
    </cfRule>
  </conditionalFormatting>
  <conditionalFormatting sqref="AJ2">
    <cfRule type="cellIs" dxfId="56" priority="47" operator="greaterThan">
      <formula>0</formula>
    </cfRule>
    <cfRule type="cellIs" dxfId="55" priority="48" operator="lessThan">
      <formula>0</formula>
    </cfRule>
    <cfRule type="cellIs" dxfId="54" priority="46" operator="equal">
      <formula>0</formula>
    </cfRule>
  </conditionalFormatting>
  <conditionalFormatting sqref="AJ3 AJ5:AJ32">
    <cfRule type="expression" dxfId="53" priority="186">
      <formula>WEEKDAY(AI3,1)=7</formula>
    </cfRule>
    <cfRule type="expression" dxfId="52" priority="185">
      <formula>WEEKDAY(AI3,1)=1</formula>
    </cfRule>
  </conditionalFormatting>
  <conditionalFormatting sqref="AJ4">
    <cfRule type="expression" dxfId="51" priority="105">
      <formula>COUNTIFS($AR$6:$AR$18,AJ4:BJ34)=1</formula>
    </cfRule>
    <cfRule type="expression" dxfId="50" priority="104">
      <formula>WEEKDAY(AI4,1)=7</formula>
    </cfRule>
    <cfRule type="expression" dxfId="49" priority="103">
      <formula>WEEKDAY(AI4,1)=1</formula>
    </cfRule>
    <cfRule type="expression" dxfId="48" priority="102">
      <formula>NOT(ISERROR(MATCH(AI4,Jours_fériés,0)))</formula>
    </cfRule>
  </conditionalFormatting>
  <conditionalFormatting sqref="AJ5">
    <cfRule type="expression" dxfId="47" priority="229">
      <formula>COUNTIFS($AR$6:$AR$18,AJ5:BI34)=1</formula>
    </cfRule>
  </conditionalFormatting>
  <conditionalFormatting sqref="AJ5:AJ32">
    <cfRule type="expression" dxfId="46" priority="187">
      <formula>NOT(ISERROR(MATCH(AI5,Jours_fériés,0)))</formula>
    </cfRule>
  </conditionalFormatting>
  <conditionalFormatting sqref="AJ6">
    <cfRule type="expression" dxfId="45" priority="230">
      <formula>COUNTIFS($AR$6:$AR$18,AJ6:BI34)=1</formula>
    </cfRule>
  </conditionalFormatting>
  <conditionalFormatting sqref="AJ7 AJ16:AJ33">
    <cfRule type="expression" dxfId="44" priority="231">
      <formula>COUNTIFS($AR$6:$AR$18,AJ7:BI34)=1</formula>
    </cfRule>
  </conditionalFormatting>
  <conditionalFormatting sqref="AJ8 AJ10">
    <cfRule type="expression" dxfId="43" priority="232">
      <formula>COUNTIFS($AR$6:$AR$18,AJ8:BI34)=1</formula>
    </cfRule>
  </conditionalFormatting>
  <conditionalFormatting sqref="AJ9 AJ11">
    <cfRule type="expression" dxfId="42" priority="233">
      <formula>COUNTIFS($AR$6:$AR$18,AJ9:BI34)=1</formula>
    </cfRule>
  </conditionalFormatting>
  <conditionalFormatting sqref="AJ14">
    <cfRule type="expression" dxfId="41" priority="313">
      <formula>COUNTIFS($AR$6:$AR$18,AJ14:BI37)=1</formula>
    </cfRule>
  </conditionalFormatting>
  <conditionalFormatting sqref="AJ15">
    <cfRule type="expression" dxfId="40" priority="262">
      <formula>COUNTIFS($AR$6:$AR$18,AJ15:BI39)=1</formula>
    </cfRule>
  </conditionalFormatting>
  <conditionalFormatting sqref="AK2">
    <cfRule type="expression" dxfId="39" priority="34">
      <formula>+$K$52&lt;0</formula>
    </cfRule>
  </conditionalFormatting>
  <conditionalFormatting sqref="AK3:AK4">
    <cfRule type="expression" dxfId="38" priority="129">
      <formula>NOT(ISERROR(MATCH(AI3,Jours_fériés,0)))</formula>
    </cfRule>
  </conditionalFormatting>
  <conditionalFormatting sqref="AK3:AK32">
    <cfRule type="expression" dxfId="37" priority="128">
      <formula>WEEKDAY(AI3,1)=7</formula>
    </cfRule>
    <cfRule type="expression" dxfId="36" priority="127">
      <formula>WEEKDAY(AI3,1)=1</formula>
    </cfRule>
  </conditionalFormatting>
  <conditionalFormatting sqref="AL3:AL6 F3:F30">
    <cfRule type="expression" dxfId="35" priority="176">
      <formula>WEEKDAY(F3,1)=7</formula>
    </cfRule>
    <cfRule type="expression" dxfId="34" priority="177">
      <formula>WEEKDAY(F3,1)=1</formula>
    </cfRule>
  </conditionalFormatting>
  <conditionalFormatting sqref="AL5:AL6 AL3 F3:F6 Z5">
    <cfRule type="expression" dxfId="33" priority="222">
      <formula>COUNTIFS($AR$6:$AR$18,F3:F33)=1</formula>
    </cfRule>
  </conditionalFormatting>
  <conditionalFormatting sqref="AL7 F7">
    <cfRule type="expression" dxfId="32" priority="266">
      <formula>COUNTIFS($AR$6:$AR$18,F7:F39)=1</formula>
    </cfRule>
  </conditionalFormatting>
  <conditionalFormatting sqref="AL7:AL9">
    <cfRule type="expression" dxfId="31" priority="264">
      <formula>WEEKDAY(AL7,1)=7</formula>
    </cfRule>
    <cfRule type="expression" dxfId="30" priority="265">
      <formula>WEEKDAY(AL7,1)=1</formula>
    </cfRule>
  </conditionalFormatting>
  <conditionalFormatting sqref="AL10:AL22 Z9:Z32 F27:F30">
    <cfRule type="expression" dxfId="29" priority="316">
      <formula>COUNTIFS($AR$6:$AR$18,F9:F43)=1</formula>
    </cfRule>
  </conditionalFormatting>
  <conditionalFormatting sqref="AL10:AL22">
    <cfRule type="expression" dxfId="28" priority="314">
      <formula>WEEKDAY(AL10,1)=7</formula>
    </cfRule>
    <cfRule type="expression" dxfId="27" priority="315">
      <formula>WEEKDAY(AL10,1)=1</formula>
    </cfRule>
  </conditionalFormatting>
  <conditionalFormatting sqref="AL23:AL33 AL8:AL9 F8:F26">
    <cfRule type="expression" dxfId="26" priority="272">
      <formula>COUNTIFS($AR$6:$AR$18,F8:F43)=1</formula>
    </cfRule>
  </conditionalFormatting>
  <conditionalFormatting sqref="AL23:AL33">
    <cfRule type="expression" dxfId="25" priority="271">
      <formula>WEEKDAY(AL23,1)=1</formula>
    </cfRule>
    <cfRule type="expression" dxfId="24" priority="270">
      <formula>WEEKDAY(AL23,1)=7</formula>
    </cfRule>
  </conditionalFormatting>
  <conditionalFormatting sqref="AL5:AM5">
    <cfRule type="expression" dxfId="23" priority="217">
      <formula>COUNTIFS($AR$6:$AR$18,AL5:BH34)=1</formula>
    </cfRule>
  </conditionalFormatting>
  <conditionalFormatting sqref="AL6:AM6">
    <cfRule type="expression" dxfId="22" priority="218">
      <formula>COUNTIFS($AR$6:$AR$18,AL6:BH34)=1</formula>
    </cfRule>
  </conditionalFormatting>
  <conditionalFormatting sqref="AL7:AM7">
    <cfRule type="expression" dxfId="21" priority="219">
      <formula>COUNTIFS($AR$6:$AR$18,AL7:BH34)=1</formula>
    </cfRule>
  </conditionalFormatting>
  <conditionalFormatting sqref="AL8:AM8 AL10:AM10">
    <cfRule type="expression" dxfId="20" priority="220">
      <formula>COUNTIFS($AR$6:$AR$18,AL8:BH34)=1</formula>
    </cfRule>
  </conditionalFormatting>
  <conditionalFormatting sqref="AL9:AM9 AL11:AM11">
    <cfRule type="expression" dxfId="19" priority="221">
      <formula>COUNTIFS($AR$6:$AR$18,AL9:BH34)=1</formula>
    </cfRule>
  </conditionalFormatting>
  <conditionalFormatting sqref="AL12:AM13">
    <cfRule type="expression" dxfId="18" priority="300">
      <formula>COUNTIFS($AR$6:$AR$18,AL12:BH36)=1</formula>
    </cfRule>
  </conditionalFormatting>
  <conditionalFormatting sqref="AL32:AM32">
    <cfRule type="expression" dxfId="17" priority="211">
      <formula>WEEKDAY($F32,1)=7</formula>
    </cfRule>
    <cfRule type="expression" dxfId="16" priority="210">
      <formula>WEEKDAY($F32,1)=1</formula>
    </cfRule>
    <cfRule type="expression" dxfId="15" priority="301">
      <formula>COUNTIFS($AR$6:$AR$18,AL32:BJ61)=1</formula>
    </cfRule>
  </conditionalFormatting>
  <conditionalFormatting sqref="AL33:AM33">
    <cfRule type="expression" dxfId="14" priority="302">
      <formula>COUNTIFS($AR$6:$AR$18,AL33:BJ60)=1</formula>
    </cfRule>
  </conditionalFormatting>
  <conditionalFormatting sqref="AM2">
    <cfRule type="cellIs" dxfId="13" priority="56" operator="greaterThan">
      <formula>0</formula>
    </cfRule>
    <cfRule type="cellIs" dxfId="12" priority="55" operator="equal">
      <formula>0</formula>
    </cfRule>
    <cfRule type="cellIs" dxfId="11" priority="57" operator="lessThan">
      <formula>0</formula>
    </cfRule>
  </conditionalFormatting>
  <conditionalFormatting sqref="AM3:AM33">
    <cfRule type="expression" dxfId="10" priority="181">
      <formula>NOT(ISERROR(MATCH(AL3,Jours_fériés,0)))</formula>
    </cfRule>
    <cfRule type="expression" dxfId="9" priority="183">
      <formula>WEEKDAY(AL3,1)=7</formula>
    </cfRule>
    <cfRule type="expression" dxfId="8" priority="182">
      <formula>WEEKDAY(AL3,1)=1</formula>
    </cfRule>
  </conditionalFormatting>
  <conditionalFormatting sqref="AM57">
    <cfRule type="cellIs" dxfId="7" priority="109" operator="greaterThan">
      <formula>0</formula>
    </cfRule>
    <cfRule type="cellIs" priority="108" operator="equal">
      <formula>0</formula>
    </cfRule>
    <cfRule type="cellIs" dxfId="6" priority="110" operator="lessThan">
      <formula>0</formula>
    </cfRule>
  </conditionalFormatting>
  <conditionalFormatting sqref="AN2">
    <cfRule type="expression" dxfId="5" priority="35">
      <formula>+$K$52&lt;0</formula>
    </cfRule>
  </conditionalFormatting>
  <conditionalFormatting sqref="AN3:AN33">
    <cfRule type="expression" dxfId="4" priority="134">
      <formula>WEEKDAY(AL3,1)=1</formula>
    </cfRule>
    <cfRule type="expression" dxfId="3" priority="136">
      <formula>NOT(ISERROR(MATCH(AL3,Jours_fériés,0)))</formula>
    </cfRule>
    <cfRule type="expression" dxfId="2" priority="135">
      <formula>WEEKDAY(AL3,1)=7</formula>
    </cfRule>
  </conditionalFormatting>
  <conditionalFormatting sqref="AO2 K57">
    <cfRule type="cellIs" dxfId="1" priority="208" operator="greaterThan">
      <formula>0</formula>
    </cfRule>
    <cfRule type="cellIs" dxfId="0" priority="209" operator="lessThan">
      <formula>0</formula>
    </cfRule>
  </conditionalFormatting>
  <pageMargins left="0.55000000000000004" right="0.5" top="0.39" bottom="0.2" header="0.36" footer="0.4921259845"/>
  <pageSetup paperSize="9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1" id="{3D31C728-3A8E-4630-B694-6C9F8FCA4A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D3:E3 D4:D33</xm:sqref>
        </x14:conditionalFormatting>
        <x14:conditionalFormatting xmlns:xm="http://schemas.microsoft.com/office/excel/2006/main">
          <x14:cfRule type="iconSet" priority="100" id="{8D9FF1B6-8F84-41E1-98B1-FC7231F267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H3:H30</xm:sqref>
        </x14:conditionalFormatting>
        <x14:conditionalFormatting xmlns:xm="http://schemas.microsoft.com/office/excel/2006/main">
          <x14:cfRule type="iconSet" priority="15" id="{F5E99933-C7F4-4BAB-BD09-C6F772F97D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H31</xm:sqref>
        </x14:conditionalFormatting>
        <x14:conditionalFormatting xmlns:xm="http://schemas.microsoft.com/office/excel/2006/main">
          <x14:cfRule type="iconSet" priority="11" id="{622A320C-A023-49CF-8BEC-6F6E046F236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L3</xm:sqref>
        </x14:conditionalFormatting>
        <x14:conditionalFormatting xmlns:xm="http://schemas.microsoft.com/office/excel/2006/main">
          <x14:cfRule type="iconSet" priority="99" id="{D5CA7816-FDB8-45C4-A111-5D56D880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L4:L33</xm:sqref>
        </x14:conditionalFormatting>
        <x14:conditionalFormatting xmlns:xm="http://schemas.microsoft.com/office/excel/2006/main">
          <x14:cfRule type="iconSet" priority="98" id="{9435E528-477E-46D0-9F21-3854D0CF96D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P3:P32</xm:sqref>
        </x14:conditionalFormatting>
        <x14:conditionalFormatting xmlns:xm="http://schemas.microsoft.com/office/excel/2006/main">
          <x14:cfRule type="iconSet" priority="97" id="{E1F1F9BF-8BB3-409D-9271-979CF4FE8D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S3:S33</xm:sqref>
        </x14:conditionalFormatting>
        <x14:conditionalFormatting xmlns:xm="http://schemas.microsoft.com/office/excel/2006/main">
          <x14:cfRule type="iconSet" priority="87" id="{FDE2F3EA-151C-4910-9AAE-62F846B685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V3:V32</xm:sqref>
        </x14:conditionalFormatting>
        <x14:conditionalFormatting xmlns:xm="http://schemas.microsoft.com/office/excel/2006/main">
          <x14:cfRule type="iconSet" priority="83" id="{36858652-5F91-4ABB-AD86-BA791240F2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Y3:Y33</xm:sqref>
        </x14:conditionalFormatting>
        <x14:conditionalFormatting xmlns:xm="http://schemas.microsoft.com/office/excel/2006/main">
          <x14:cfRule type="iconSet" priority="79" id="{3ABC7FAA-7CD0-4A41-A452-4968965D98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AB3:AB33</xm:sqref>
        </x14:conditionalFormatting>
        <x14:conditionalFormatting xmlns:xm="http://schemas.microsoft.com/office/excel/2006/main">
          <x14:cfRule type="iconSet" priority="95" id="{94770BB5-1FA1-4B98-8610-2DBE9C1328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AE3:AE32</xm:sqref>
        </x14:conditionalFormatting>
        <x14:conditionalFormatting xmlns:xm="http://schemas.microsoft.com/office/excel/2006/main">
          <x14:cfRule type="iconSet" priority="96" id="{5141125A-DD2B-4961-BE0F-3264F0666DA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AH3:AH33</xm:sqref>
        </x14:conditionalFormatting>
        <x14:conditionalFormatting xmlns:xm="http://schemas.microsoft.com/office/excel/2006/main">
          <x14:cfRule type="iconSet" priority="101" id="{9055BC4E-6894-41AE-847F-F22F2E718D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AK3:AK32</xm:sqref>
        </x14:conditionalFormatting>
        <x14:conditionalFormatting xmlns:xm="http://schemas.microsoft.com/office/excel/2006/main">
          <x14:cfRule type="iconSet" priority="133" id="{97523676-7D16-4092-BB1E-4A1AB417A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AN3:AN33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Détails</vt:lpstr>
      <vt:lpstr>Détails!Jours_fériés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CHOTARD</dc:creator>
  <cp:lastModifiedBy>Marcel CHOTARD</cp:lastModifiedBy>
  <dcterms:created xsi:type="dcterms:W3CDTF">2024-05-13T12:07:38Z</dcterms:created>
  <dcterms:modified xsi:type="dcterms:W3CDTF">2024-05-13T12:14:44Z</dcterms:modified>
</cp:coreProperties>
</file>