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aout2017\GROUPaout16\Autres Ex et PP\"/>
    </mc:Choice>
  </mc:AlternateContent>
  <xr:revisionPtr revIDLastSave="0" documentId="8_{07D95A63-EEDB-4656-82BF-293CEE2D11E0}" xr6:coauthVersionLast="47" xr6:coauthVersionMax="47" xr10:uidLastSave="{00000000-0000-0000-0000-000000000000}"/>
  <bookViews>
    <workbookView xWindow="-120" yWindow="-120" windowWidth="29040" windowHeight="15840" xr2:uid="{FB149BA2-5B16-4566-8332-AC1F25157D01}"/>
  </bookViews>
  <sheets>
    <sheet name="Feuil1" sheetId="2" r:id="rId1"/>
    <sheet name="info" sheetId="1" r:id="rId2"/>
  </sheets>
  <definedNames>
    <definedName name="_xlnm._FilterDatabase" localSheetId="0" hidden="1">Feuil1!$A$1:$BC$71</definedName>
    <definedName name="Agence">info!$H$1:$H$58</definedName>
    <definedName name="feries">info!$E$5:$E$15</definedName>
    <definedName name="Site">info!$I$1:$I$58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7" i="2" l="1"/>
  <c r="Y6" i="2" a="1"/>
  <c r="Y6" i="2" s="1"/>
  <c r="Y7" i="2" a="1"/>
  <c r="Y7" i="2"/>
  <c r="Y8" i="2" a="1"/>
  <c r="Y8" i="2" s="1"/>
  <c r="Y9" i="2" a="1"/>
  <c r="Y9" i="2" s="1"/>
  <c r="Y10" i="2" a="1"/>
  <c r="Y10" i="2" s="1"/>
  <c r="Y11" i="2" a="1"/>
  <c r="Y11" i="2" s="1"/>
  <c r="Y12" i="2" a="1"/>
  <c r="Y12" i="2" s="1"/>
  <c r="Y13" i="2" a="1"/>
  <c r="Y13" i="2" s="1"/>
  <c r="Y14" i="2" a="1"/>
  <c r="Y14" i="2" s="1"/>
  <c r="Y15" i="2" a="1"/>
  <c r="Y15" i="2" s="1"/>
  <c r="Y16" i="2" a="1"/>
  <c r="Y16" i="2" s="1"/>
  <c r="Y17" i="2" a="1"/>
  <c r="Y17" i="2" s="1"/>
  <c r="Y18" i="2" a="1"/>
  <c r="Y18" i="2" s="1"/>
  <c r="Y19" i="2" a="1"/>
  <c r="Y19" i="2" s="1"/>
  <c r="Y20" i="2" a="1"/>
  <c r="Y20" i="2" s="1"/>
  <c r="Y21" i="2" a="1"/>
  <c r="Y21" i="2" s="1"/>
  <c r="Y22" i="2" a="1"/>
  <c r="Y22" i="2" s="1"/>
  <c r="Y23" i="2" a="1"/>
  <c r="Y23" i="2" s="1"/>
  <c r="Y24" i="2" a="1"/>
  <c r="Y24" i="2" s="1"/>
  <c r="Y25" i="2" a="1"/>
  <c r="Y25" i="2" s="1"/>
  <c r="Y26" i="2" a="1"/>
  <c r="Y26" i="2" s="1"/>
  <c r="Y27" i="2" a="1"/>
  <c r="Y27" i="2" s="1"/>
  <c r="Y28" i="2" a="1"/>
  <c r="Y28" i="2" s="1"/>
  <c r="Y29" i="2" a="1"/>
  <c r="Y29" i="2" s="1"/>
  <c r="Y30" i="2" a="1"/>
  <c r="Y30" i="2" s="1"/>
  <c r="Y31" i="2" a="1"/>
  <c r="Y31" i="2" s="1"/>
  <c r="Y32" i="2" a="1"/>
  <c r="Y32" i="2" s="1"/>
  <c r="Y33" i="2" a="1"/>
  <c r="Y33" i="2" s="1"/>
  <c r="Y34" i="2" a="1"/>
  <c r="Y34" i="2" s="1"/>
  <c r="Y35" i="2" a="1"/>
  <c r="Y35" i="2" s="1"/>
  <c r="Y36" i="2" a="1"/>
  <c r="Y36" i="2" s="1"/>
  <c r="Y37" i="2" a="1"/>
  <c r="Y37" i="2" s="1"/>
  <c r="Y38" i="2" a="1"/>
  <c r="Y38" i="2" s="1"/>
  <c r="Y39" i="2" a="1"/>
  <c r="Y39" i="2" s="1"/>
  <c r="Y40" i="2" a="1"/>
  <c r="Y40" i="2" s="1"/>
  <c r="Y41" i="2" a="1"/>
  <c r="Y41" i="2" s="1"/>
  <c r="Y42" i="2" a="1"/>
  <c r="Y42" i="2" s="1"/>
  <c r="Y43" i="2" a="1"/>
  <c r="Y43" i="2" s="1"/>
  <c r="Y44" i="2" a="1"/>
  <c r="Y44" i="2" s="1"/>
  <c r="Y45" i="2" a="1"/>
  <c r="Y45" i="2" s="1"/>
  <c r="Y46" i="2" a="1"/>
  <c r="Y46" i="2" s="1"/>
  <c r="Y47" i="2" a="1"/>
  <c r="Y47" i="2" s="1"/>
  <c r="Y48" i="2" a="1"/>
  <c r="Y48" i="2" s="1"/>
  <c r="Y49" i="2" a="1"/>
  <c r="Y49" i="2" s="1"/>
  <c r="Y50" i="2" a="1"/>
  <c r="Y50" i="2" s="1"/>
  <c r="Y51" i="2" a="1"/>
  <c r="Y51" i="2" s="1"/>
  <c r="Y52" i="2" a="1"/>
  <c r="Y52" i="2" s="1"/>
  <c r="Y53" i="2" a="1"/>
  <c r="Y53" i="2" s="1"/>
  <c r="Y54" i="2" a="1"/>
  <c r="Y54" i="2" s="1"/>
  <c r="Y55" i="2" a="1"/>
  <c r="Y55" i="2" s="1"/>
  <c r="Y56" i="2" a="1"/>
  <c r="Y56" i="2" s="1"/>
  <c r="Y57" i="2" a="1"/>
  <c r="Y57" i="2" s="1"/>
  <c r="Y58" i="2" a="1"/>
  <c r="Y58" i="2" s="1"/>
  <c r="Y59" i="2" a="1"/>
  <c r="Y59" i="2" s="1"/>
  <c r="Y60" i="2" a="1"/>
  <c r="Y60" i="2" s="1"/>
  <c r="Y61" i="2" a="1"/>
  <c r="Y61" i="2"/>
  <c r="Y62" i="2" a="1"/>
  <c r="Y62" i="2" s="1"/>
  <c r="Y63" i="2" a="1"/>
  <c r="Y63" i="2" s="1"/>
  <c r="Y64" i="2" a="1"/>
  <c r="Y64" i="2" s="1"/>
  <c r="Y65" i="2" a="1"/>
  <c r="Y65" i="2" s="1"/>
  <c r="Y66" i="2" a="1"/>
  <c r="Y66" i="2" s="1"/>
  <c r="Y67" i="2" a="1"/>
  <c r="Y67" i="2" s="1"/>
  <c r="Y68" i="2" a="1"/>
  <c r="Y68" i="2" s="1"/>
  <c r="Y69" i="2" a="1"/>
  <c r="Y69" i="2" s="1"/>
  <c r="Y70" i="2" a="1"/>
  <c r="Y70" i="2" s="1"/>
  <c r="Y5" i="2" a="1"/>
  <c r="Y5" i="2" s="1"/>
  <c r="X6" i="2" a="1"/>
  <c r="X6" i="2" s="1"/>
  <c r="X7" i="2" a="1"/>
  <c r="X7" i="2" s="1"/>
  <c r="X8" i="2" a="1"/>
  <c r="X8" i="2" s="1"/>
  <c r="X9" i="2" a="1"/>
  <c r="X9" i="2" s="1"/>
  <c r="X10" i="2" a="1"/>
  <c r="X10" i="2" s="1"/>
  <c r="X11" i="2" a="1"/>
  <c r="X11" i="2" s="1"/>
  <c r="X12" i="2" a="1"/>
  <c r="X12" i="2" s="1"/>
  <c r="X13" i="2" a="1"/>
  <c r="X13" i="2" s="1"/>
  <c r="X14" i="2" a="1"/>
  <c r="X14" i="2" s="1"/>
  <c r="X15" i="2" a="1"/>
  <c r="X15" i="2" s="1"/>
  <c r="X16" i="2" a="1"/>
  <c r="X16" i="2" s="1"/>
  <c r="X17" i="2" a="1"/>
  <c r="X17" i="2" s="1"/>
  <c r="X18" i="2" a="1"/>
  <c r="X18" i="2" s="1"/>
  <c r="X19" i="2" a="1"/>
  <c r="X19" i="2" s="1"/>
  <c r="X20" i="2" a="1"/>
  <c r="X20" i="2" s="1"/>
  <c r="X21" i="2" a="1"/>
  <c r="X21" i="2" s="1"/>
  <c r="X22" i="2" a="1"/>
  <c r="X22" i="2" s="1"/>
  <c r="X23" i="2" a="1"/>
  <c r="X23" i="2" s="1"/>
  <c r="X24" i="2" a="1"/>
  <c r="X24" i="2" s="1"/>
  <c r="X25" i="2" a="1"/>
  <c r="X25" i="2" s="1"/>
  <c r="X26" i="2" a="1"/>
  <c r="X26" i="2" s="1"/>
  <c r="X27" i="2" a="1"/>
  <c r="X27" i="2" s="1"/>
  <c r="X28" i="2" a="1"/>
  <c r="X28" i="2" s="1"/>
  <c r="X29" i="2" a="1"/>
  <c r="X29" i="2" s="1"/>
  <c r="X30" i="2" a="1"/>
  <c r="X30" i="2" s="1"/>
  <c r="X31" i="2" a="1"/>
  <c r="X31" i="2" s="1"/>
  <c r="X32" i="2" a="1"/>
  <c r="X32" i="2" s="1"/>
  <c r="X33" i="2" a="1"/>
  <c r="X33" i="2" s="1"/>
  <c r="X34" i="2" a="1"/>
  <c r="X34" i="2" s="1"/>
  <c r="X35" i="2" a="1"/>
  <c r="X35" i="2" s="1"/>
  <c r="X36" i="2" a="1"/>
  <c r="X36" i="2" s="1"/>
  <c r="X37" i="2" a="1"/>
  <c r="X37" i="2" s="1"/>
  <c r="X38" i="2" a="1"/>
  <c r="X38" i="2" s="1"/>
  <c r="X39" i="2" a="1"/>
  <c r="X39" i="2" s="1"/>
  <c r="X40" i="2" a="1"/>
  <c r="X40" i="2" s="1"/>
  <c r="X41" i="2" a="1"/>
  <c r="X41" i="2" s="1"/>
  <c r="X42" i="2" a="1"/>
  <c r="X42" i="2" s="1"/>
  <c r="X43" i="2" a="1"/>
  <c r="X43" i="2"/>
  <c r="X44" i="2" a="1"/>
  <c r="X44" i="2" s="1"/>
  <c r="X45" i="2" a="1"/>
  <c r="X45" i="2" s="1"/>
  <c r="X46" i="2" a="1"/>
  <c r="X46" i="2" s="1"/>
  <c r="X47" i="2" a="1"/>
  <c r="X47" i="2" s="1"/>
  <c r="X48" i="2" a="1"/>
  <c r="X48" i="2" s="1"/>
  <c r="X49" i="2" a="1"/>
  <c r="X49" i="2" s="1"/>
  <c r="X50" i="2" a="1"/>
  <c r="X50" i="2" s="1"/>
  <c r="X51" i="2" a="1"/>
  <c r="X51" i="2" s="1"/>
  <c r="X52" i="2" a="1"/>
  <c r="X52" i="2" s="1"/>
  <c r="X53" i="2" a="1"/>
  <c r="X53" i="2" s="1"/>
  <c r="X54" i="2" a="1"/>
  <c r="X54" i="2" s="1"/>
  <c r="X55" i="2" a="1"/>
  <c r="X55" i="2" s="1"/>
  <c r="X56" i="2" a="1"/>
  <c r="X56" i="2" s="1"/>
  <c r="X57" i="2" a="1"/>
  <c r="X57" i="2" s="1"/>
  <c r="X58" i="2" a="1"/>
  <c r="X58" i="2" s="1"/>
  <c r="X59" i="2" a="1"/>
  <c r="X59" i="2" s="1"/>
  <c r="X60" i="2" a="1"/>
  <c r="X60" i="2" s="1"/>
  <c r="X61" i="2" a="1"/>
  <c r="X61" i="2" s="1"/>
  <c r="X62" i="2" a="1"/>
  <c r="X62" i="2" s="1"/>
  <c r="X63" i="2" a="1"/>
  <c r="X63" i="2" s="1"/>
  <c r="X64" i="2" a="1"/>
  <c r="X64" i="2" s="1"/>
  <c r="X65" i="2" a="1"/>
  <c r="X65" i="2" s="1"/>
  <c r="X66" i="2" a="1"/>
  <c r="X66" i="2" s="1"/>
  <c r="X67" i="2" a="1"/>
  <c r="X67" i="2" s="1"/>
  <c r="X68" i="2" a="1"/>
  <c r="X68" i="2" s="1"/>
  <c r="X69" i="2" a="1"/>
  <c r="X69" i="2" s="1"/>
  <c r="X70" i="2" a="1"/>
  <c r="X70" i="2" s="1"/>
  <c r="X5" i="2" a="1"/>
  <c r="X5" i="2" s="1"/>
  <c r="AR7" i="2"/>
  <c r="AR13" i="2"/>
  <c r="AS13" i="2"/>
  <c r="AR14" i="2"/>
  <c r="AS14" i="2"/>
  <c r="AR15" i="2"/>
  <c r="AS15" i="2"/>
  <c r="AR16" i="2"/>
  <c r="AS16" i="2"/>
  <c r="AR20" i="2"/>
  <c r="AS20" i="2"/>
  <c r="AR21" i="2"/>
  <c r="AS21" i="2"/>
  <c r="AR22" i="2"/>
  <c r="AS22" i="2"/>
  <c r="AR23" i="2"/>
  <c r="AS23" i="2"/>
  <c r="AR24" i="2"/>
  <c r="AS24" i="2"/>
  <c r="AR27" i="2"/>
  <c r="AS27" i="2"/>
  <c r="AR28" i="2"/>
  <c r="AS28" i="2"/>
  <c r="AR29" i="2"/>
  <c r="AS29" i="2"/>
  <c r="AR33" i="2"/>
  <c r="AS33" i="2"/>
  <c r="AR34" i="2"/>
  <c r="AS34" i="2"/>
  <c r="AR35" i="2"/>
  <c r="AS35" i="2"/>
  <c r="AR39" i="2"/>
  <c r="AS39" i="2"/>
  <c r="AR40" i="2"/>
  <c r="AS40" i="2"/>
  <c r="AR42" i="2"/>
  <c r="AS42" i="2"/>
  <c r="AR64" i="2"/>
  <c r="AS64" i="2"/>
  <c r="AR65" i="2"/>
  <c r="AS65" i="2"/>
  <c r="AR66" i="2"/>
  <c r="AS66" i="2"/>
  <c r="AR67" i="2"/>
  <c r="AS67" i="2"/>
  <c r="AR68" i="2"/>
  <c r="AS68" i="2"/>
  <c r="AR69" i="2"/>
  <c r="AS69" i="2"/>
  <c r="AR70" i="2"/>
  <c r="AS70" i="2"/>
  <c r="AM7" i="2"/>
  <c r="AN7" i="2"/>
  <c r="AM13" i="2"/>
  <c r="AN13" i="2"/>
  <c r="AM14" i="2"/>
  <c r="AN14" i="2"/>
  <c r="AM15" i="2"/>
  <c r="AN15" i="2"/>
  <c r="AM16" i="2"/>
  <c r="AN16" i="2"/>
  <c r="AM20" i="2"/>
  <c r="AN20" i="2"/>
  <c r="AM21" i="2"/>
  <c r="AN21" i="2"/>
  <c r="AM22" i="2"/>
  <c r="AN22" i="2"/>
  <c r="AM23" i="2"/>
  <c r="AN23" i="2"/>
  <c r="AM24" i="2"/>
  <c r="AN24" i="2"/>
  <c r="AM27" i="2"/>
  <c r="AN27" i="2"/>
  <c r="AM28" i="2"/>
  <c r="AN28" i="2"/>
  <c r="AM29" i="2"/>
  <c r="AN29" i="2"/>
  <c r="AM33" i="2"/>
  <c r="AN33" i="2"/>
  <c r="AM34" i="2"/>
  <c r="AN34" i="2"/>
  <c r="AM35" i="2"/>
  <c r="AN35" i="2"/>
  <c r="AM39" i="2"/>
  <c r="AN39" i="2"/>
  <c r="AM40" i="2"/>
  <c r="AN40" i="2"/>
  <c r="AM42" i="2"/>
  <c r="AN42" i="2"/>
  <c r="AM64" i="2"/>
  <c r="AN64" i="2"/>
  <c r="AM65" i="2"/>
  <c r="AN65" i="2"/>
  <c r="AM66" i="2"/>
  <c r="AN66" i="2"/>
  <c r="AM67" i="2"/>
  <c r="AN67" i="2"/>
  <c r="AM68" i="2"/>
  <c r="AN68" i="2"/>
  <c r="AM69" i="2"/>
  <c r="AN69" i="2"/>
  <c r="AM70" i="2"/>
  <c r="AN70" i="2"/>
  <c r="AH7" i="2"/>
  <c r="AI7" i="2"/>
  <c r="AH13" i="2"/>
  <c r="AI13" i="2"/>
  <c r="AH14" i="2"/>
  <c r="AI14" i="2"/>
  <c r="AH15" i="2"/>
  <c r="AI15" i="2"/>
  <c r="AH16" i="2"/>
  <c r="AI16" i="2"/>
  <c r="AH20" i="2"/>
  <c r="AI20" i="2"/>
  <c r="AH21" i="2"/>
  <c r="AI21" i="2"/>
  <c r="AH22" i="2"/>
  <c r="AI22" i="2"/>
  <c r="AH23" i="2"/>
  <c r="AI23" i="2"/>
  <c r="AH24" i="2"/>
  <c r="AI24" i="2"/>
  <c r="AH27" i="2"/>
  <c r="AI27" i="2"/>
  <c r="AH28" i="2"/>
  <c r="AI28" i="2"/>
  <c r="AH29" i="2"/>
  <c r="AI29" i="2"/>
  <c r="AH33" i="2"/>
  <c r="AI33" i="2"/>
  <c r="AH34" i="2"/>
  <c r="AI34" i="2"/>
  <c r="AH35" i="2"/>
  <c r="AI35" i="2"/>
  <c r="AH39" i="2"/>
  <c r="AI39" i="2"/>
  <c r="AH40" i="2"/>
  <c r="AI40" i="2"/>
  <c r="AH42" i="2"/>
  <c r="AI42" i="2"/>
  <c r="AH64" i="2"/>
  <c r="AI64" i="2"/>
  <c r="AH65" i="2"/>
  <c r="AI65" i="2"/>
  <c r="AH66" i="2"/>
  <c r="AI66" i="2"/>
  <c r="AH67" i="2"/>
  <c r="AI67" i="2"/>
  <c r="AH68" i="2"/>
  <c r="AI68" i="2"/>
  <c r="AH69" i="2"/>
  <c r="AI69" i="2"/>
  <c r="AH70" i="2"/>
  <c r="AI70" i="2"/>
  <c r="AC7" i="2"/>
  <c r="AD7" i="2"/>
  <c r="AC9" i="2"/>
  <c r="AC13" i="2"/>
  <c r="AD13" i="2"/>
  <c r="AC14" i="2"/>
  <c r="AD14" i="2"/>
  <c r="AC15" i="2"/>
  <c r="AD15" i="2"/>
  <c r="AC16" i="2"/>
  <c r="AD16" i="2"/>
  <c r="AC19" i="2"/>
  <c r="AC20" i="2"/>
  <c r="AD20" i="2"/>
  <c r="AC21" i="2"/>
  <c r="AD21" i="2"/>
  <c r="AC22" i="2"/>
  <c r="AD22" i="2"/>
  <c r="AC23" i="2"/>
  <c r="AD23" i="2"/>
  <c r="AC24" i="2"/>
  <c r="AD24" i="2"/>
  <c r="AC25" i="2"/>
  <c r="AC27" i="2"/>
  <c r="AD27" i="2"/>
  <c r="AC28" i="2"/>
  <c r="AD28" i="2"/>
  <c r="AC29" i="2"/>
  <c r="AD29" i="2"/>
  <c r="AC31" i="2"/>
  <c r="AC33" i="2"/>
  <c r="AD33" i="2"/>
  <c r="AC34" i="2"/>
  <c r="AD34" i="2"/>
  <c r="AC35" i="2"/>
  <c r="AD35" i="2"/>
  <c r="AC37" i="2"/>
  <c r="AC39" i="2"/>
  <c r="AD39" i="2"/>
  <c r="AC40" i="2"/>
  <c r="AD40" i="2"/>
  <c r="AC42" i="2"/>
  <c r="AD42" i="2"/>
  <c r="AC59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P4" i="1"/>
  <c r="AC8" i="2" s="1"/>
  <c r="B4" i="2"/>
  <c r="AC54" i="2" l="1"/>
  <c r="AC38" i="2"/>
  <c r="AC30" i="2"/>
  <c r="AC26" i="2"/>
  <c r="Q4" i="1"/>
  <c r="AD9" i="2" l="1"/>
  <c r="AD19" i="2"/>
  <c r="AD25" i="2"/>
  <c r="AD31" i="2"/>
  <c r="AD37" i="2"/>
  <c r="AD59" i="2"/>
  <c r="AD30" i="2"/>
  <c r="AD26" i="2"/>
  <c r="AD8" i="2"/>
  <c r="AD54" i="2"/>
  <c r="AD38" i="2"/>
  <c r="C56" i="2"/>
  <c r="C57" i="2"/>
  <c r="C58" i="2"/>
  <c r="C59" i="2"/>
  <c r="C60" i="2"/>
  <c r="C61" i="2"/>
  <c r="C62" i="2"/>
  <c r="C63" i="2"/>
  <c r="J20" i="2"/>
  <c r="J19" i="2"/>
  <c r="Z8" i="2" l="1"/>
  <c r="Z5" i="2"/>
  <c r="W4" i="2"/>
  <c r="Z2" i="2"/>
  <c r="X2" i="2"/>
  <c r="C5" i="2"/>
  <c r="C27" i="2"/>
  <c r="C7" i="2"/>
  <c r="C6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64" i="2"/>
  <c r="C65" i="2"/>
  <c r="C66" i="2"/>
  <c r="C67" i="2"/>
  <c r="C68" i="2"/>
  <c r="C69" i="2"/>
  <c r="C70" i="2"/>
  <c r="AU33" i="2" l="1"/>
  <c r="AA28" i="2"/>
  <c r="AJ13" i="2"/>
  <c r="AO15" i="2"/>
  <c r="AK68" i="2"/>
  <c r="Z64" i="2"/>
  <c r="Z48" i="2"/>
  <c r="Z32" i="2"/>
  <c r="Z16" i="2"/>
  <c r="AA65" i="2"/>
  <c r="AA33" i="2"/>
  <c r="AE70" i="2"/>
  <c r="AE22" i="2"/>
  <c r="AE14" i="2"/>
  <c r="AK39" i="2"/>
  <c r="AK23" i="2"/>
  <c r="AK15" i="2"/>
  <c r="AK7" i="2"/>
  <c r="AP65" i="2"/>
  <c r="AP33" i="2"/>
  <c r="AT33" i="2"/>
  <c r="AT65" i="2"/>
  <c r="Z46" i="2"/>
  <c r="Z14" i="2"/>
  <c r="AE21" i="2"/>
  <c r="AK70" i="2"/>
  <c r="AP64" i="2"/>
  <c r="AP40" i="2"/>
  <c r="AP24" i="2"/>
  <c r="AT34" i="2"/>
  <c r="Z61" i="2"/>
  <c r="Z45" i="2"/>
  <c r="Z29" i="2"/>
  <c r="Z13" i="2"/>
  <c r="AA14" i="2"/>
  <c r="AF68" i="2"/>
  <c r="AF28" i="2"/>
  <c r="AF20" i="2"/>
  <c r="AJ70" i="2"/>
  <c r="AJ22" i="2"/>
  <c r="AJ14" i="2"/>
  <c r="AO64" i="2"/>
  <c r="AO40" i="2"/>
  <c r="AO24" i="2"/>
  <c r="AO16" i="2"/>
  <c r="AU34" i="2"/>
  <c r="AU42" i="2"/>
  <c r="AU66" i="2"/>
  <c r="AO65" i="2"/>
  <c r="Z30" i="2"/>
  <c r="AA15" i="2"/>
  <c r="AE69" i="2"/>
  <c r="AE29" i="2"/>
  <c r="AE13" i="2"/>
  <c r="AK22" i="2"/>
  <c r="AK14" i="2"/>
  <c r="AP16" i="2"/>
  <c r="AT42" i="2"/>
  <c r="AT66" i="2"/>
  <c r="Z60" i="2"/>
  <c r="Z44" i="2"/>
  <c r="Z28" i="2"/>
  <c r="Z12" i="2"/>
  <c r="AA29" i="2"/>
  <c r="AA13" i="2"/>
  <c r="AE68" i="2"/>
  <c r="AE28" i="2"/>
  <c r="AE20" i="2"/>
  <c r="AK69" i="2"/>
  <c r="AK29" i="2"/>
  <c r="AK21" i="2"/>
  <c r="AK13" i="2"/>
  <c r="AP39" i="2"/>
  <c r="AP23" i="2"/>
  <c r="AP15" i="2"/>
  <c r="AP7" i="2"/>
  <c r="AT27" i="2"/>
  <c r="AT35" i="2"/>
  <c r="AT67" i="2"/>
  <c r="AU28" i="2"/>
  <c r="AU68" i="2"/>
  <c r="Z15" i="2"/>
  <c r="AF29" i="2"/>
  <c r="AJ39" i="2"/>
  <c r="Z62" i="2"/>
  <c r="Z10" i="2"/>
  <c r="AP70" i="2"/>
  <c r="AP14" i="2"/>
  <c r="AT28" i="2"/>
  <c r="Z24" i="2"/>
  <c r="AE66" i="2"/>
  <c r="AE42" i="2"/>
  <c r="AE34" i="2"/>
  <c r="AK67" i="2"/>
  <c r="AK35" i="2"/>
  <c r="AK27" i="2"/>
  <c r="AP69" i="2"/>
  <c r="AP29" i="2"/>
  <c r="AP21" i="2"/>
  <c r="AP13" i="2"/>
  <c r="AT13" i="2"/>
  <c r="AT21" i="2"/>
  <c r="AT29" i="2"/>
  <c r="AT69" i="2"/>
  <c r="Z47" i="2"/>
  <c r="Z27" i="2"/>
  <c r="AF67" i="2"/>
  <c r="AF27" i="2"/>
  <c r="AJ29" i="2"/>
  <c r="AU35" i="2"/>
  <c r="AP22" i="2"/>
  <c r="AT20" i="2"/>
  <c r="AJ20" i="2"/>
  <c r="AO22" i="2"/>
  <c r="Z39" i="2"/>
  <c r="Z6" i="2"/>
  <c r="AA40" i="2"/>
  <c r="AA24" i="2"/>
  <c r="AF65" i="2"/>
  <c r="AF33" i="2"/>
  <c r="AJ67" i="2"/>
  <c r="AJ35" i="2"/>
  <c r="AJ27" i="2"/>
  <c r="AO69" i="2"/>
  <c r="AO29" i="2"/>
  <c r="AO21" i="2"/>
  <c r="AO13" i="2"/>
  <c r="AU13" i="2"/>
  <c r="AU21" i="2"/>
  <c r="AU29" i="2"/>
  <c r="AU69" i="2"/>
  <c r="AA16" i="2"/>
  <c r="AF13" i="2"/>
  <c r="AJ7" i="2"/>
  <c r="Z43" i="2"/>
  <c r="AJ21" i="2"/>
  <c r="AK20" i="2"/>
  <c r="Z57" i="2"/>
  <c r="AA42" i="2"/>
  <c r="AF42" i="2"/>
  <c r="AJ68" i="2"/>
  <c r="Z56" i="2"/>
  <c r="Z23" i="2"/>
  <c r="Z70" i="2"/>
  <c r="Z54" i="2"/>
  <c r="Z38" i="2"/>
  <c r="Z22" i="2"/>
  <c r="AA39" i="2"/>
  <c r="AA23" i="2"/>
  <c r="AA7" i="2"/>
  <c r="AE65" i="2"/>
  <c r="AE33" i="2"/>
  <c r="AK66" i="2"/>
  <c r="AK42" i="2"/>
  <c r="AK34" i="2"/>
  <c r="AP68" i="2"/>
  <c r="AP28" i="2"/>
  <c r="AP20" i="2"/>
  <c r="AT14" i="2"/>
  <c r="AT22" i="2"/>
  <c r="AT70" i="2"/>
  <c r="AA64" i="2"/>
  <c r="AF69" i="2"/>
  <c r="AJ23" i="2"/>
  <c r="AO33" i="2"/>
  <c r="Z11" i="2"/>
  <c r="AF35" i="2"/>
  <c r="AO39" i="2"/>
  <c r="AO7" i="2"/>
  <c r="AU67" i="2"/>
  <c r="Z42" i="2"/>
  <c r="AE35" i="2"/>
  <c r="Z25" i="2"/>
  <c r="AF66" i="2"/>
  <c r="AF34" i="2"/>
  <c r="AO70" i="2"/>
  <c r="AO14" i="2"/>
  <c r="Z40" i="2"/>
  <c r="Z7" i="2"/>
  <c r="Z55" i="2"/>
  <c r="Z69" i="2"/>
  <c r="Z53" i="2"/>
  <c r="Z37" i="2"/>
  <c r="Z21" i="2"/>
  <c r="AA70" i="2"/>
  <c r="AA22" i="2"/>
  <c r="AF64" i="2"/>
  <c r="AF40" i="2"/>
  <c r="AF24" i="2"/>
  <c r="AF16" i="2"/>
  <c r="AJ66" i="2"/>
  <c r="AJ42" i="2"/>
  <c r="AJ34" i="2"/>
  <c r="AO68" i="2"/>
  <c r="AO28" i="2"/>
  <c r="AO20" i="2"/>
  <c r="AU14" i="2"/>
  <c r="AU22" i="2"/>
  <c r="AU70" i="2"/>
  <c r="Z31" i="2"/>
  <c r="Z59" i="2"/>
  <c r="AJ69" i="2"/>
  <c r="AU27" i="2"/>
  <c r="Z26" i="2"/>
  <c r="AE67" i="2"/>
  <c r="Z68" i="2"/>
  <c r="Z52" i="2"/>
  <c r="Z36" i="2"/>
  <c r="Z20" i="2"/>
  <c r="AA69" i="2"/>
  <c r="AA21" i="2"/>
  <c r="AE64" i="2"/>
  <c r="AE40" i="2"/>
  <c r="AE24" i="2"/>
  <c r="AE16" i="2"/>
  <c r="AF7" i="2"/>
  <c r="AK65" i="2"/>
  <c r="AK33" i="2"/>
  <c r="AP67" i="2"/>
  <c r="AP35" i="2"/>
  <c r="AP27" i="2"/>
  <c r="AT7" i="2"/>
  <c r="AT15" i="2"/>
  <c r="AT23" i="2"/>
  <c r="AT39" i="2"/>
  <c r="Z63" i="2"/>
  <c r="AO23" i="2"/>
  <c r="AK28" i="2"/>
  <c r="AT68" i="2"/>
  <c r="Z41" i="2"/>
  <c r="AJ28" i="2"/>
  <c r="Z67" i="2"/>
  <c r="Z51" i="2"/>
  <c r="Z35" i="2"/>
  <c r="Z19" i="2"/>
  <c r="AA68" i="2"/>
  <c r="AA20" i="2"/>
  <c r="AF39" i="2"/>
  <c r="AF23" i="2"/>
  <c r="AF15" i="2"/>
  <c r="AE7" i="2"/>
  <c r="AJ65" i="2"/>
  <c r="AJ33" i="2"/>
  <c r="AO67" i="2"/>
  <c r="AO35" i="2"/>
  <c r="AO27" i="2"/>
  <c r="AU7" i="2"/>
  <c r="AU15" i="2"/>
  <c r="AU23" i="2"/>
  <c r="AU39" i="2"/>
  <c r="AF21" i="2"/>
  <c r="AJ15" i="2"/>
  <c r="AU65" i="2"/>
  <c r="Z66" i="2"/>
  <c r="Z50" i="2"/>
  <c r="Z34" i="2"/>
  <c r="Z18" i="2"/>
  <c r="AA67" i="2"/>
  <c r="AA35" i="2"/>
  <c r="AE39" i="2"/>
  <c r="AE23" i="2"/>
  <c r="AE15" i="2"/>
  <c r="AK64" i="2"/>
  <c r="AK40" i="2"/>
  <c r="AK24" i="2"/>
  <c r="AK16" i="2"/>
  <c r="AP66" i="2"/>
  <c r="AP42" i="2"/>
  <c r="AP34" i="2"/>
  <c r="AT16" i="2"/>
  <c r="AT24" i="2"/>
  <c r="AT40" i="2"/>
  <c r="AT64" i="2"/>
  <c r="Z58" i="2"/>
  <c r="AA27" i="2"/>
  <c r="AE27" i="2"/>
  <c r="Z9" i="2"/>
  <c r="AU20" i="2"/>
  <c r="Z65" i="2"/>
  <c r="Z49" i="2"/>
  <c r="Z33" i="2"/>
  <c r="Z17" i="2"/>
  <c r="AA66" i="2"/>
  <c r="AA34" i="2"/>
  <c r="AF70" i="2"/>
  <c r="AF22" i="2"/>
  <c r="AF14" i="2"/>
  <c r="AJ64" i="2"/>
  <c r="AJ40" i="2"/>
  <c r="AJ24" i="2"/>
  <c r="AJ16" i="2"/>
  <c r="AO66" i="2"/>
  <c r="AO42" i="2"/>
  <c r="AO34" i="2"/>
  <c r="AU16" i="2"/>
  <c r="AU24" i="2"/>
  <c r="AU40" i="2"/>
  <c r="AU64" i="2"/>
  <c r="Q58" i="1"/>
  <c r="T58" i="1" s="1"/>
  <c r="P58" i="1"/>
  <c r="S58" i="1" s="1"/>
  <c r="W57" i="1"/>
  <c r="V57" i="1"/>
  <c r="R57" i="1"/>
  <c r="U57" i="1" s="1"/>
  <c r="X57" i="1" s="1"/>
  <c r="Q57" i="1"/>
  <c r="P57" i="1"/>
  <c r="Q55" i="1"/>
  <c r="T55" i="1" s="1"/>
  <c r="P55" i="1"/>
  <c r="S55" i="1" s="1"/>
  <c r="V54" i="1"/>
  <c r="Y54" i="1" s="1"/>
  <c r="W54" i="1"/>
  <c r="R54" i="1"/>
  <c r="U54" i="1" s="1"/>
  <c r="X54" i="1" s="1"/>
  <c r="Q54" i="1"/>
  <c r="P54" i="1"/>
  <c r="Q52" i="1"/>
  <c r="T52" i="1" s="1"/>
  <c r="P52" i="1"/>
  <c r="S52" i="1" s="1"/>
  <c r="W51" i="1"/>
  <c r="V51" i="1"/>
  <c r="R51" i="1"/>
  <c r="Q51" i="1"/>
  <c r="P51" i="1"/>
  <c r="AC47" i="2" s="1"/>
  <c r="AA47" i="2"/>
  <c r="AA32" i="2"/>
  <c r="Q49" i="1"/>
  <c r="T49" i="1" s="1"/>
  <c r="P49" i="1"/>
  <c r="S49" i="1" s="1"/>
  <c r="R48" i="1"/>
  <c r="U48" i="1" s="1"/>
  <c r="X48" i="1" s="1"/>
  <c r="Q48" i="1"/>
  <c r="AD32" i="2" s="1"/>
  <c r="P48" i="1"/>
  <c r="AC32" i="2" s="1"/>
  <c r="Q46" i="1"/>
  <c r="Q45" i="1"/>
  <c r="P46" i="1"/>
  <c r="P45" i="1"/>
  <c r="S45" i="1" s="1"/>
  <c r="R45" i="1"/>
  <c r="U45" i="1" s="1"/>
  <c r="X45" i="1" s="1"/>
  <c r="T43" i="1"/>
  <c r="Z43" i="1" s="1"/>
  <c r="T42" i="1"/>
  <c r="T41" i="1"/>
  <c r="AI48" i="2" s="1"/>
  <c r="S43" i="1"/>
  <c r="Y43" i="1" s="1"/>
  <c r="S42" i="1"/>
  <c r="S41" i="1"/>
  <c r="Q43" i="1"/>
  <c r="Q42" i="1"/>
  <c r="Q41" i="1"/>
  <c r="AD48" i="2" s="1"/>
  <c r="P43" i="1"/>
  <c r="P42" i="1"/>
  <c r="P41" i="1"/>
  <c r="AC48" i="2" s="1"/>
  <c r="AA48" i="2"/>
  <c r="U41" i="1"/>
  <c r="Z35" i="1"/>
  <c r="Y35" i="1"/>
  <c r="T35" i="1"/>
  <c r="S35" i="1"/>
  <c r="Q35" i="1"/>
  <c r="P35" i="1"/>
  <c r="R32" i="1"/>
  <c r="U32" i="1" s="1"/>
  <c r="Q32" i="1"/>
  <c r="AD46" i="2" s="1"/>
  <c r="P32" i="1"/>
  <c r="AC46" i="2" s="1"/>
  <c r="AA46" i="2"/>
  <c r="Y36" i="1"/>
  <c r="Z36" i="1"/>
  <c r="Y37" i="1"/>
  <c r="Z37" i="1"/>
  <c r="Y38" i="1"/>
  <c r="Z38" i="1"/>
  <c r="Y39" i="1"/>
  <c r="Z39" i="1"/>
  <c r="S36" i="1"/>
  <c r="T36" i="1"/>
  <c r="S37" i="1"/>
  <c r="T37" i="1"/>
  <c r="S38" i="1"/>
  <c r="T38" i="1"/>
  <c r="S39" i="1"/>
  <c r="T39" i="1"/>
  <c r="P36" i="1"/>
  <c r="P10" i="1"/>
  <c r="Q10" i="1"/>
  <c r="P11" i="1"/>
  <c r="Q11" i="1"/>
  <c r="Q9" i="1"/>
  <c r="P9" i="1"/>
  <c r="Q36" i="1"/>
  <c r="P37" i="1"/>
  <c r="Q37" i="1"/>
  <c r="P38" i="1"/>
  <c r="Q38" i="1"/>
  <c r="P39" i="1"/>
  <c r="Q39" i="1"/>
  <c r="U35" i="1"/>
  <c r="V38" i="1" s="1"/>
  <c r="R29" i="1"/>
  <c r="U29" i="1" s="1"/>
  <c r="X29" i="1" s="1"/>
  <c r="Q29" i="1"/>
  <c r="P29" i="1"/>
  <c r="P27" i="1"/>
  <c r="Q27" i="1"/>
  <c r="T27" i="1" s="1"/>
  <c r="R26" i="1"/>
  <c r="U26" i="1" s="1"/>
  <c r="X26" i="1" s="1"/>
  <c r="Q26" i="1"/>
  <c r="P26" i="1"/>
  <c r="R23" i="1"/>
  <c r="U23" i="1" s="1"/>
  <c r="X23" i="1" s="1"/>
  <c r="Q23" i="1"/>
  <c r="AD51" i="2" s="1"/>
  <c r="P23" i="1"/>
  <c r="AC51" i="2" s="1"/>
  <c r="AA51" i="2"/>
  <c r="R20" i="1"/>
  <c r="U20" i="1" s="1"/>
  <c r="X20" i="1" s="1"/>
  <c r="Q20" i="1"/>
  <c r="P20" i="1"/>
  <c r="R17" i="1"/>
  <c r="U17" i="1" s="1"/>
  <c r="X17" i="1" s="1"/>
  <c r="Q17" i="1"/>
  <c r="P17" i="1"/>
  <c r="Q15" i="1"/>
  <c r="T15" i="1" s="1"/>
  <c r="P15" i="1"/>
  <c r="S15" i="1" s="1"/>
  <c r="Q14" i="1"/>
  <c r="T14" i="1" s="1"/>
  <c r="P14" i="1"/>
  <c r="S14" i="1" s="1"/>
  <c r="Q13" i="1"/>
  <c r="P13" i="1"/>
  <c r="J7" i="2"/>
  <c r="V6" i="2"/>
  <c r="V7" i="2"/>
  <c r="V8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9" i="2"/>
  <c r="AH48" i="2" l="1"/>
  <c r="AH47" i="2"/>
  <c r="AI47" i="2"/>
  <c r="AK47" i="2" s="1"/>
  <c r="AN47" i="2"/>
  <c r="AD47" i="2"/>
  <c r="AD49" i="2"/>
  <c r="AD55" i="2"/>
  <c r="AD63" i="2"/>
  <c r="AD56" i="2"/>
  <c r="AC6" i="2"/>
  <c r="AC10" i="2"/>
  <c r="AC11" i="2"/>
  <c r="AC5" i="2"/>
  <c r="AC18" i="2"/>
  <c r="AC44" i="2"/>
  <c r="AC52" i="2"/>
  <c r="AC60" i="2"/>
  <c r="AC62" i="2"/>
  <c r="AC41" i="2"/>
  <c r="AC45" i="2"/>
  <c r="AC53" i="2"/>
  <c r="AC57" i="2"/>
  <c r="AC61" i="2"/>
  <c r="AC43" i="2"/>
  <c r="AC12" i="2"/>
  <c r="AC36" i="2"/>
  <c r="AC50" i="2"/>
  <c r="AC58" i="2"/>
  <c r="AC17" i="2"/>
  <c r="AD11" i="2"/>
  <c r="AD10" i="2"/>
  <c r="AD6" i="2"/>
  <c r="AC49" i="2"/>
  <c r="AC55" i="2"/>
  <c r="AD41" i="2"/>
  <c r="AD43" i="2"/>
  <c r="AD45" i="2"/>
  <c r="AD53" i="2"/>
  <c r="AD57" i="2"/>
  <c r="AD61" i="2"/>
  <c r="AD18" i="2"/>
  <c r="AD44" i="2"/>
  <c r="AD52" i="2"/>
  <c r="AD60" i="2"/>
  <c r="AD62" i="2"/>
  <c r="AD5" i="2"/>
  <c r="AC56" i="2"/>
  <c r="AC63" i="2"/>
  <c r="AD17" i="2"/>
  <c r="AD58" i="2"/>
  <c r="AD36" i="2"/>
  <c r="AD12" i="2"/>
  <c r="AD50" i="2"/>
  <c r="W41" i="1"/>
  <c r="AN48" i="2" s="1"/>
  <c r="U51" i="1"/>
  <c r="X51" i="1" s="1"/>
  <c r="V42" i="1"/>
  <c r="T23" i="1"/>
  <c r="Z41" i="1"/>
  <c r="AS48" i="2" s="1"/>
  <c r="V41" i="1"/>
  <c r="AM48" i="2" s="1"/>
  <c r="V43" i="1"/>
  <c r="Z42" i="1"/>
  <c r="S13" i="1"/>
  <c r="T13" i="1"/>
  <c r="T20" i="1"/>
  <c r="T29" i="1"/>
  <c r="T45" i="1"/>
  <c r="S46" i="1"/>
  <c r="V46" i="1" s="1"/>
  <c r="Y46" i="1" s="1"/>
  <c r="T46" i="1"/>
  <c r="Y41" i="1"/>
  <c r="AR48" i="2" s="1"/>
  <c r="Y57" i="1"/>
  <c r="Z57" i="1"/>
  <c r="V58" i="1"/>
  <c r="W58" i="1"/>
  <c r="Z54" i="1"/>
  <c r="V55" i="1"/>
  <c r="W55" i="1"/>
  <c r="Y51" i="1"/>
  <c r="AR47" i="2" s="1"/>
  <c r="Z51" i="1"/>
  <c r="V52" i="1"/>
  <c r="W52" i="1"/>
  <c r="V45" i="1"/>
  <c r="W42" i="1"/>
  <c r="W43" i="1"/>
  <c r="Y42" i="1"/>
  <c r="T48" i="1"/>
  <c r="AI32" i="2" s="1"/>
  <c r="S48" i="1"/>
  <c r="AH32" i="2" s="1"/>
  <c r="V49" i="1"/>
  <c r="W49" i="1"/>
  <c r="V37" i="1"/>
  <c r="W37" i="1"/>
  <c r="W36" i="1"/>
  <c r="V36" i="1"/>
  <c r="X32" i="1"/>
  <c r="V32" i="1"/>
  <c r="AM46" i="2" s="1"/>
  <c r="W32" i="1"/>
  <c r="S32" i="1"/>
  <c r="AH46" i="2" s="1"/>
  <c r="T32" i="1"/>
  <c r="AI46" i="2" s="1"/>
  <c r="W39" i="1"/>
  <c r="V35" i="1"/>
  <c r="V39" i="1"/>
  <c r="W35" i="1"/>
  <c r="W38" i="1"/>
  <c r="S26" i="1"/>
  <c r="T26" i="1"/>
  <c r="S20" i="1"/>
  <c r="W27" i="1"/>
  <c r="S27" i="1"/>
  <c r="S9" i="1"/>
  <c r="T9" i="1"/>
  <c r="S10" i="1"/>
  <c r="T17" i="1"/>
  <c r="T10" i="1"/>
  <c r="W10" i="1" s="1"/>
  <c r="Z10" i="1" s="1"/>
  <c r="S11" i="1"/>
  <c r="V11" i="1" s="1"/>
  <c r="Y11" i="1" s="1"/>
  <c r="T11" i="1"/>
  <c r="W11" i="1" s="1"/>
  <c r="Z11" i="1" s="1"/>
  <c r="S29" i="1"/>
  <c r="S23" i="1"/>
  <c r="AH51" i="2" s="1"/>
  <c r="S17" i="1"/>
  <c r="V14" i="1"/>
  <c r="W14" i="1"/>
  <c r="V15" i="1"/>
  <c r="W15" i="1"/>
  <c r="AS47" i="2" l="1"/>
  <c r="AN46" i="2"/>
  <c r="AI51" i="2"/>
  <c r="AM47" i="2"/>
  <c r="AO47" i="2" s="1"/>
  <c r="AH12" i="2"/>
  <c r="AH36" i="2"/>
  <c r="AH50" i="2"/>
  <c r="AH58" i="2"/>
  <c r="AH17" i="2"/>
  <c r="AI41" i="2"/>
  <c r="AI43" i="2"/>
  <c r="AI45" i="2"/>
  <c r="AI53" i="2"/>
  <c r="AI57" i="2"/>
  <c r="AI61" i="2"/>
  <c r="AI52" i="2"/>
  <c r="AI60" i="2"/>
  <c r="AI62" i="2"/>
  <c r="AI5" i="2"/>
  <c r="AI18" i="2"/>
  <c r="AI44" i="2"/>
  <c r="AH56" i="2"/>
  <c r="AH63" i="2"/>
  <c r="AH5" i="2"/>
  <c r="AH18" i="2"/>
  <c r="AH44" i="2"/>
  <c r="AH52" i="2"/>
  <c r="AH60" i="2"/>
  <c r="AH62" i="2"/>
  <c r="AH45" i="2"/>
  <c r="AH41" i="2"/>
  <c r="AH53" i="2"/>
  <c r="AH57" i="2"/>
  <c r="AH61" i="2"/>
  <c r="AH43" i="2"/>
  <c r="AI11" i="2"/>
  <c r="AI6" i="2"/>
  <c r="AI10" i="2"/>
  <c r="AI63" i="2"/>
  <c r="AI56" i="2"/>
  <c r="AI49" i="2"/>
  <c r="AI55" i="2"/>
  <c r="AI17" i="2"/>
  <c r="AI36" i="2"/>
  <c r="AI12" i="2"/>
  <c r="AI50" i="2"/>
  <c r="AI58" i="2"/>
  <c r="AH49" i="2"/>
  <c r="AH55" i="2"/>
  <c r="V13" i="1"/>
  <c r="AH6" i="2"/>
  <c r="AH10" i="2"/>
  <c r="AH11" i="2"/>
  <c r="AF57" i="2"/>
  <c r="AJ47" i="2"/>
  <c r="AE57" i="2"/>
  <c r="AE45" i="2"/>
  <c r="AP48" i="2"/>
  <c r="AE60" i="2"/>
  <c r="AF61" i="2"/>
  <c r="AE52" i="2"/>
  <c r="AF49" i="2"/>
  <c r="AF11" i="2"/>
  <c r="AF60" i="2"/>
  <c r="AE44" i="2"/>
  <c r="AF10" i="2"/>
  <c r="AF52" i="2"/>
  <c r="AE53" i="2"/>
  <c r="AF44" i="2"/>
  <c r="AE43" i="2"/>
  <c r="AE18" i="2"/>
  <c r="AP47" i="2"/>
  <c r="AA63" i="2"/>
  <c r="AA49" i="2"/>
  <c r="AE48" i="2"/>
  <c r="AE62" i="2"/>
  <c r="AE46" i="2"/>
  <c r="AA8" i="2"/>
  <c r="AF55" i="2"/>
  <c r="AE32" i="2"/>
  <c r="AA9" i="2"/>
  <c r="AF63" i="2"/>
  <c r="AA30" i="2"/>
  <c r="AF6" i="2"/>
  <c r="AK48" i="2"/>
  <c r="AA5" i="2"/>
  <c r="AJ48" i="2"/>
  <c r="AF12" i="2"/>
  <c r="AF48" i="2"/>
  <c r="AF43" i="2"/>
  <c r="AA44" i="2"/>
  <c r="AA45" i="2"/>
  <c r="AF58" i="2"/>
  <c r="AF18" i="2"/>
  <c r="AF51" i="2"/>
  <c r="AA43" i="2"/>
  <c r="AF50" i="2"/>
  <c r="AE49" i="2"/>
  <c r="AE11" i="2"/>
  <c r="AF53" i="2"/>
  <c r="AE61" i="2"/>
  <c r="W23" i="1"/>
  <c r="AA55" i="2"/>
  <c r="AA54" i="2"/>
  <c r="AE56" i="2"/>
  <c r="AF17" i="2"/>
  <c r="AE55" i="2"/>
  <c r="AE10" i="2"/>
  <c r="AA36" i="2"/>
  <c r="AF56" i="2"/>
  <c r="AF36" i="2"/>
  <c r="AE63" i="2"/>
  <c r="AE6" i="2"/>
  <c r="AF41" i="2"/>
  <c r="AE41" i="2"/>
  <c r="AA50" i="2"/>
  <c r="AE51" i="2"/>
  <c r="AA18" i="2"/>
  <c r="AA61" i="2"/>
  <c r="AE36" i="2"/>
  <c r="AF45" i="2"/>
  <c r="AE5" i="2"/>
  <c r="AA12" i="2"/>
  <c r="AA59" i="2"/>
  <c r="AA62" i="2"/>
  <c r="AE47" i="2"/>
  <c r="W13" i="1"/>
  <c r="AA60" i="2"/>
  <c r="AF47" i="2"/>
  <c r="AE12" i="2"/>
  <c r="AF5" i="2"/>
  <c r="AA17" i="2"/>
  <c r="W20" i="1"/>
  <c r="AA11" i="2"/>
  <c r="AA52" i="2"/>
  <c r="AA10" i="2"/>
  <c r="AE58" i="2"/>
  <c r="AF62" i="2"/>
  <c r="AF46" i="2"/>
  <c r="AA58" i="2"/>
  <c r="AA57" i="2"/>
  <c r="AA6" i="2"/>
  <c r="AE50" i="2"/>
  <c r="V29" i="1"/>
  <c r="V20" i="1"/>
  <c r="V48" i="1"/>
  <c r="W29" i="1"/>
  <c r="AA53" i="2"/>
  <c r="W9" i="1"/>
  <c r="AA41" i="2"/>
  <c r="AA37" i="2"/>
  <c r="AA56" i="2"/>
  <c r="AE17" i="2"/>
  <c r="AF32" i="2"/>
  <c r="W46" i="1"/>
  <c r="W45" i="1"/>
  <c r="Z58" i="1"/>
  <c r="Y58" i="1"/>
  <c r="Z55" i="1"/>
  <c r="Y55" i="1"/>
  <c r="Z52" i="1"/>
  <c r="Y52" i="1"/>
  <c r="W48" i="1"/>
  <c r="AN32" i="2" s="1"/>
  <c r="Y45" i="1"/>
  <c r="Z49" i="1"/>
  <c r="Y49" i="1"/>
  <c r="V26" i="1"/>
  <c r="W26" i="1"/>
  <c r="Z32" i="1"/>
  <c r="AS46" i="2" s="1"/>
  <c r="Y32" i="1"/>
  <c r="AR46" i="2" s="1"/>
  <c r="W17" i="1"/>
  <c r="V10" i="1"/>
  <c r="V9" i="1"/>
  <c r="V27" i="1"/>
  <c r="V23" i="1"/>
  <c r="AM51" i="2" s="1"/>
  <c r="Z27" i="1"/>
  <c r="V17" i="1"/>
  <c r="Z15" i="1"/>
  <c r="Y15" i="1"/>
  <c r="Z14" i="1"/>
  <c r="Y14" i="1"/>
  <c r="Y13" i="1"/>
  <c r="AM5" i="2" l="1"/>
  <c r="AM18" i="2"/>
  <c r="AM44" i="2"/>
  <c r="AM52" i="2"/>
  <c r="AM60" i="2"/>
  <c r="AM62" i="2"/>
  <c r="AM45" i="2"/>
  <c r="AM53" i="2"/>
  <c r="AM57" i="2"/>
  <c r="AM61" i="2"/>
  <c r="AM41" i="2"/>
  <c r="AM43" i="2"/>
  <c r="AN63" i="2"/>
  <c r="AN56" i="2"/>
  <c r="AR6" i="2"/>
  <c r="AR10" i="2"/>
  <c r="AR11" i="2"/>
  <c r="Y48" i="1"/>
  <c r="AR32" i="2" s="1"/>
  <c r="AM32" i="2"/>
  <c r="AJ51" i="2"/>
  <c r="AN51" i="2"/>
  <c r="AM12" i="2"/>
  <c r="AM36" i="2"/>
  <c r="AM50" i="2"/>
  <c r="AM58" i="2"/>
  <c r="AM17" i="2"/>
  <c r="AN17" i="2"/>
  <c r="AN36" i="2"/>
  <c r="AN12" i="2"/>
  <c r="AN50" i="2"/>
  <c r="AN58" i="2"/>
  <c r="AM49" i="2"/>
  <c r="AM55" i="2"/>
  <c r="AN49" i="2"/>
  <c r="AN55" i="2"/>
  <c r="AM6" i="2"/>
  <c r="AO6" i="2" s="1"/>
  <c r="AM10" i="2"/>
  <c r="AM11" i="2"/>
  <c r="AO11" i="2" s="1"/>
  <c r="AN11" i="2"/>
  <c r="AN6" i="2"/>
  <c r="AN10" i="2"/>
  <c r="AN41" i="2"/>
  <c r="AN43" i="2"/>
  <c r="AN45" i="2"/>
  <c r="AN53" i="2"/>
  <c r="AN57" i="2"/>
  <c r="AN61" i="2"/>
  <c r="AN18" i="2"/>
  <c r="AN60" i="2"/>
  <c r="AN62" i="2"/>
  <c r="AN5" i="2"/>
  <c r="AN44" i="2"/>
  <c r="AN52" i="2"/>
  <c r="AM56" i="2"/>
  <c r="AM63" i="2"/>
  <c r="Z26" i="1"/>
  <c r="AK62" i="2"/>
  <c r="AK61" i="2"/>
  <c r="AK32" i="2"/>
  <c r="AK12" i="2"/>
  <c r="AK53" i="2"/>
  <c r="AJ57" i="2"/>
  <c r="AJ62" i="2"/>
  <c r="AJ61" i="2"/>
  <c r="AK55" i="2"/>
  <c r="AJ5" i="2"/>
  <c r="AJ45" i="2"/>
  <c r="AJ60" i="2"/>
  <c r="AJ36" i="2"/>
  <c r="AJ53" i="2"/>
  <c r="AJ52" i="2"/>
  <c r="AJ44" i="2"/>
  <c r="AJ58" i="2"/>
  <c r="AJ43" i="2"/>
  <c r="AJ50" i="2"/>
  <c r="AJ17" i="2"/>
  <c r="AK36" i="2"/>
  <c r="AP46" i="2"/>
  <c r="AK11" i="2"/>
  <c r="AU47" i="2"/>
  <c r="AK10" i="2"/>
  <c r="AK46" i="2"/>
  <c r="AO46" i="2"/>
  <c r="AK17" i="2"/>
  <c r="AK45" i="2"/>
  <c r="AU48" i="2"/>
  <c r="AJ6" i="2"/>
  <c r="AK60" i="2"/>
  <c r="AO48" i="2"/>
  <c r="AK52" i="2"/>
  <c r="AJ10" i="2"/>
  <c r="AK44" i="2"/>
  <c r="AK51" i="2"/>
  <c r="AJ56" i="2"/>
  <c r="AJ11" i="2"/>
  <c r="AK5" i="2"/>
  <c r="Z23" i="1"/>
  <c r="Y26" i="1"/>
  <c r="AK43" i="2"/>
  <c r="AJ63" i="2"/>
  <c r="AK63" i="2"/>
  <c r="AK49" i="2"/>
  <c r="AK18" i="2"/>
  <c r="AJ18" i="2"/>
  <c r="Y9" i="1"/>
  <c r="Y29" i="1"/>
  <c r="AJ32" i="2"/>
  <c r="Z20" i="1"/>
  <c r="AJ46" i="2"/>
  <c r="AK57" i="2"/>
  <c r="Y20" i="1"/>
  <c r="AK50" i="2"/>
  <c r="AK41" i="2"/>
  <c r="AJ41" i="2"/>
  <c r="Z9" i="1"/>
  <c r="AK56" i="2"/>
  <c r="Z13" i="1"/>
  <c r="Z29" i="1"/>
  <c r="AT48" i="2"/>
  <c r="AJ55" i="2"/>
  <c r="AJ12" i="2"/>
  <c r="AK58" i="2"/>
  <c r="AJ49" i="2"/>
  <c r="AT47" i="2"/>
  <c r="AK6" i="2"/>
  <c r="Z45" i="1"/>
  <c r="Z46" i="1"/>
  <c r="Z48" i="1"/>
  <c r="AS32" i="2" s="1"/>
  <c r="AP32" i="2"/>
  <c r="Y10" i="1"/>
  <c r="AO51" i="2"/>
  <c r="Y23" i="1"/>
  <c r="AR51" i="2" s="1"/>
  <c r="Y27" i="1"/>
  <c r="Z17" i="1"/>
  <c r="Y17" i="1"/>
  <c r="AS51" i="2" l="1"/>
  <c r="AR5" i="2"/>
  <c r="AR18" i="2"/>
  <c r="AR44" i="2"/>
  <c r="AR52" i="2"/>
  <c r="AR60" i="2"/>
  <c r="AR62" i="2"/>
  <c r="AR41" i="2"/>
  <c r="AR45" i="2"/>
  <c r="AR53" i="2"/>
  <c r="AR57" i="2"/>
  <c r="AR61" i="2"/>
  <c r="AR43" i="2"/>
  <c r="AR12" i="2"/>
  <c r="AR36" i="2"/>
  <c r="AR50" i="2"/>
  <c r="AR58" i="2"/>
  <c r="AR17" i="2"/>
  <c r="AS63" i="2"/>
  <c r="AS56" i="2"/>
  <c r="AR56" i="2"/>
  <c r="AR63" i="2"/>
  <c r="AS41" i="2"/>
  <c r="AU41" i="2" s="1"/>
  <c r="AS43" i="2"/>
  <c r="AU43" i="2" s="1"/>
  <c r="AS45" i="2"/>
  <c r="AU45" i="2" s="1"/>
  <c r="AS53" i="2"/>
  <c r="AU53" i="2" s="1"/>
  <c r="AS57" i="2"/>
  <c r="AU57" i="2" s="1"/>
  <c r="AS61" i="2"/>
  <c r="AU61" i="2" s="1"/>
  <c r="AS18" i="2"/>
  <c r="AU18" i="2" s="1"/>
  <c r="AS44" i="2"/>
  <c r="AS60" i="2"/>
  <c r="AU60" i="2" s="1"/>
  <c r="AS62" i="2"/>
  <c r="AU62" i="2" s="1"/>
  <c r="AS5" i="2"/>
  <c r="AU5" i="2" s="1"/>
  <c r="AS52" i="2"/>
  <c r="AU52" i="2" s="1"/>
  <c r="AO10" i="2"/>
  <c r="AS11" i="2"/>
  <c r="AS6" i="2"/>
  <c r="AS10" i="2"/>
  <c r="AS49" i="2"/>
  <c r="AS55" i="2"/>
  <c r="AS17" i="2"/>
  <c r="AS12" i="2"/>
  <c r="AS36" i="2"/>
  <c r="AS50" i="2"/>
  <c r="AS58" i="2"/>
  <c r="AR49" i="2"/>
  <c r="AR55" i="2"/>
  <c r="AP57" i="2"/>
  <c r="AO44" i="2"/>
  <c r="AO41" i="2"/>
  <c r="AP61" i="2"/>
  <c r="AO43" i="2"/>
  <c r="AP60" i="2"/>
  <c r="AO18" i="2"/>
  <c r="AP41" i="2"/>
  <c r="AO45" i="2"/>
  <c r="AP63" i="2"/>
  <c r="AP52" i="2"/>
  <c r="AO60" i="2"/>
  <c r="AO55" i="2"/>
  <c r="AT10" i="2"/>
  <c r="AP62" i="2"/>
  <c r="AP17" i="2"/>
  <c r="AP53" i="2"/>
  <c r="AP44" i="2"/>
  <c r="AT11" i="2"/>
  <c r="AP43" i="2"/>
  <c r="AO57" i="2"/>
  <c r="AO62" i="2"/>
  <c r="AO61" i="2"/>
  <c r="AO32" i="2"/>
  <c r="AO53" i="2"/>
  <c r="AP51" i="2"/>
  <c r="AP56" i="2"/>
  <c r="AP45" i="2"/>
  <c r="AO52" i="2"/>
  <c r="AP6" i="2"/>
  <c r="AP55" i="2"/>
  <c r="AP11" i="2"/>
  <c r="AO63" i="2"/>
  <c r="AP10" i="2"/>
  <c r="AP12" i="2"/>
  <c r="AO49" i="2"/>
  <c r="AO36" i="2"/>
  <c r="AP5" i="2"/>
  <c r="AP49" i="2"/>
  <c r="AO56" i="2"/>
  <c r="AP58" i="2"/>
  <c r="AP50" i="2"/>
  <c r="AO12" i="2"/>
  <c r="AT46" i="2"/>
  <c r="AT32" i="2"/>
  <c r="AP36" i="2"/>
  <c r="AU44" i="2"/>
  <c r="AO17" i="2"/>
  <c r="AO58" i="2"/>
  <c r="AT6" i="2"/>
  <c r="AU46" i="2"/>
  <c r="AP18" i="2"/>
  <c r="AO50" i="2"/>
  <c r="AO5" i="2"/>
  <c r="J42" i="2"/>
  <c r="J11" i="2"/>
  <c r="J12" i="2"/>
  <c r="J13" i="2"/>
  <c r="M13" i="2" s="1"/>
  <c r="J14" i="2"/>
  <c r="J15" i="2"/>
  <c r="J16" i="2"/>
  <c r="J17" i="2"/>
  <c r="J18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6" i="2"/>
  <c r="J8" i="2"/>
  <c r="J9" i="2"/>
  <c r="J10" i="2"/>
  <c r="R4" i="1"/>
  <c r="Q7" i="1"/>
  <c r="Q6" i="1"/>
  <c r="Q5" i="1"/>
  <c r="P7" i="1"/>
  <c r="P6" i="1"/>
  <c r="P5" i="1"/>
  <c r="E7" i="1"/>
  <c r="E8" i="1" s="1"/>
  <c r="E5" i="1"/>
  <c r="E15" i="1"/>
  <c r="E13" i="1"/>
  <c r="E14" i="1" s="1"/>
  <c r="E12" i="1"/>
  <c r="E11" i="1"/>
  <c r="B6" i="1"/>
  <c r="B10" i="1" s="1"/>
  <c r="AE8" i="2" l="1"/>
  <c r="AE37" i="2"/>
  <c r="AE30" i="2"/>
  <c r="AE9" i="2"/>
  <c r="AE54" i="2"/>
  <c r="AE59" i="2"/>
  <c r="AU58" i="2"/>
  <c r="AU12" i="2"/>
  <c r="AT50" i="2"/>
  <c r="AT61" i="2"/>
  <c r="AT62" i="2"/>
  <c r="AT12" i="2"/>
  <c r="AU10" i="2"/>
  <c r="AU49" i="2"/>
  <c r="AT58" i="2"/>
  <c r="AU11" i="2"/>
  <c r="AU55" i="2"/>
  <c r="AU50" i="2"/>
  <c r="AU6" i="2"/>
  <c r="AU36" i="2"/>
  <c r="AT41" i="2"/>
  <c r="AT57" i="2"/>
  <c r="AT49" i="2"/>
  <c r="AT55" i="2"/>
  <c r="AU51" i="2"/>
  <c r="U4" i="1"/>
  <c r="S4" i="1"/>
  <c r="T6" i="1"/>
  <c r="T7" i="1"/>
  <c r="S5" i="1"/>
  <c r="S6" i="1"/>
  <c r="T5" i="1"/>
  <c r="T4" i="1"/>
  <c r="S7" i="1"/>
  <c r="AT43" i="2"/>
  <c r="AU32" i="2"/>
  <c r="AT44" i="2"/>
  <c r="AU17" i="2"/>
  <c r="AT52" i="2"/>
  <c r="AT36" i="2"/>
  <c r="AT51" i="2"/>
  <c r="AT18" i="2"/>
  <c r="AU63" i="2"/>
  <c r="AU56" i="2"/>
  <c r="AT60" i="2"/>
  <c r="AT5" i="2"/>
  <c r="AT45" i="2"/>
  <c r="AT63" i="2"/>
  <c r="AT17" i="2"/>
  <c r="AT53" i="2"/>
  <c r="AT56" i="2"/>
  <c r="E6" i="1"/>
  <c r="E10" i="1"/>
  <c r="E9" i="1"/>
  <c r="AH8" i="2" l="1"/>
  <c r="AH26" i="2"/>
  <c r="AH30" i="2"/>
  <c r="AH38" i="2"/>
  <c r="AH54" i="2"/>
  <c r="AH19" i="2"/>
  <c r="AH31" i="2"/>
  <c r="AH9" i="2"/>
  <c r="AH59" i="2"/>
  <c r="AH37" i="2"/>
  <c r="AH25" i="2"/>
  <c r="AI9" i="2"/>
  <c r="AI19" i="2"/>
  <c r="AI25" i="2"/>
  <c r="AI31" i="2"/>
  <c r="AI37" i="2"/>
  <c r="AI59" i="2"/>
  <c r="AI26" i="2"/>
  <c r="AI30" i="2"/>
  <c r="AI8" i="2"/>
  <c r="AI38" i="2"/>
  <c r="AI54" i="2"/>
  <c r="AF59" i="2"/>
  <c r="AF8" i="2"/>
  <c r="AF9" i="2"/>
  <c r="AF37" i="2"/>
  <c r="AF54" i="2"/>
  <c r="AF30" i="2"/>
  <c r="AF31" i="2"/>
  <c r="AF26" i="2"/>
  <c r="AF19" i="2"/>
  <c r="AF25" i="2"/>
  <c r="AF38" i="2"/>
  <c r="AE25" i="2"/>
  <c r="AA26" i="2"/>
  <c r="AA31" i="2"/>
  <c r="AE31" i="2"/>
  <c r="AE26" i="2"/>
  <c r="X4" i="1"/>
  <c r="V7" i="1"/>
  <c r="W7" i="1"/>
  <c r="V5" i="1"/>
  <c r="W5" i="1"/>
  <c r="V6" i="1"/>
  <c r="W6" i="1"/>
  <c r="V4" i="1"/>
  <c r="W4" i="1"/>
  <c r="AA38" i="2"/>
  <c r="AE38" i="2"/>
  <c r="AA19" i="2"/>
  <c r="AA25" i="2"/>
  <c r="AE19" i="2"/>
  <c r="AM8" i="2" l="1"/>
  <c r="AM26" i="2"/>
  <c r="AM30" i="2"/>
  <c r="AM38" i="2"/>
  <c r="AM54" i="2"/>
  <c r="AM19" i="2"/>
  <c r="AM31" i="2"/>
  <c r="AM59" i="2"/>
  <c r="AM37" i="2"/>
  <c r="AM9" i="2"/>
  <c r="AM25" i="2"/>
  <c r="AN9" i="2"/>
  <c r="AN19" i="2"/>
  <c r="AN25" i="2"/>
  <c r="AN31" i="2"/>
  <c r="AN37" i="2"/>
  <c r="AN59" i="2"/>
  <c r="AN26" i="2"/>
  <c r="AN30" i="2"/>
  <c r="AN8" i="2"/>
  <c r="AN54" i="2"/>
  <c r="AN38" i="2"/>
  <c r="AK54" i="2"/>
  <c r="AK30" i="2"/>
  <c r="AK25" i="2"/>
  <c r="AK31" i="2"/>
  <c r="AK59" i="2"/>
  <c r="AK19" i="2"/>
  <c r="AJ54" i="2"/>
  <c r="AK26" i="2"/>
  <c r="AJ59" i="2"/>
  <c r="AJ38" i="2"/>
  <c r="AK38" i="2"/>
  <c r="AJ30" i="2"/>
  <c r="AJ31" i="2"/>
  <c r="Y4" i="1"/>
  <c r="Z5" i="1"/>
  <c r="Y7" i="1"/>
  <c r="Y5" i="1"/>
  <c r="Z4" i="1"/>
  <c r="Z6" i="1"/>
  <c r="Z7" i="1"/>
  <c r="Y6" i="1"/>
  <c r="AK37" i="2"/>
  <c r="AJ19" i="2"/>
  <c r="AJ26" i="2"/>
  <c r="AJ37" i="2"/>
  <c r="AK9" i="2"/>
  <c r="AJ25" i="2"/>
  <c r="AJ9" i="2"/>
  <c r="AK8" i="2"/>
  <c r="AJ8" i="2"/>
  <c r="T70" i="2"/>
  <c r="O70" i="2"/>
  <c r="M70" i="2"/>
  <c r="K70" i="2"/>
  <c r="R70" i="2" s="1"/>
  <c r="S70" i="2" s="1"/>
  <c r="T69" i="2"/>
  <c r="O69" i="2"/>
  <c r="M69" i="2"/>
  <c r="K69" i="2"/>
  <c r="R69" i="2" s="1"/>
  <c r="S69" i="2" s="1"/>
  <c r="T68" i="2"/>
  <c r="O68" i="2"/>
  <c r="M68" i="2"/>
  <c r="K68" i="2"/>
  <c r="R68" i="2" s="1"/>
  <c r="S68" i="2" s="1"/>
  <c r="T67" i="2"/>
  <c r="O67" i="2"/>
  <c r="M67" i="2"/>
  <c r="K67" i="2"/>
  <c r="R67" i="2" s="1"/>
  <c r="S67" i="2" s="1"/>
  <c r="T66" i="2"/>
  <c r="O66" i="2"/>
  <c r="M66" i="2"/>
  <c r="K66" i="2"/>
  <c r="R66" i="2" s="1"/>
  <c r="S66" i="2" s="1"/>
  <c r="T65" i="2"/>
  <c r="O65" i="2"/>
  <c r="M65" i="2"/>
  <c r="K65" i="2"/>
  <c r="T64" i="2"/>
  <c r="O64" i="2"/>
  <c r="M64" i="2"/>
  <c r="K64" i="2"/>
  <c r="R64" i="2" s="1"/>
  <c r="S64" i="2" s="1"/>
  <c r="T63" i="2"/>
  <c r="O63" i="2"/>
  <c r="M63" i="2"/>
  <c r="K63" i="2"/>
  <c r="R63" i="2" s="1"/>
  <c r="S63" i="2" s="1"/>
  <c r="T62" i="2"/>
  <c r="O62" i="2"/>
  <c r="M62" i="2"/>
  <c r="K62" i="2"/>
  <c r="R62" i="2" s="1"/>
  <c r="S62" i="2" s="1"/>
  <c r="T61" i="2"/>
  <c r="R61" i="2"/>
  <c r="S61" i="2" s="1"/>
  <c r="O61" i="2"/>
  <c r="M61" i="2"/>
  <c r="K61" i="2"/>
  <c r="T60" i="2"/>
  <c r="R60" i="2"/>
  <c r="S60" i="2" s="1"/>
  <c r="O60" i="2"/>
  <c r="M60" i="2"/>
  <c r="K60" i="2"/>
  <c r="T59" i="2"/>
  <c r="R59" i="2"/>
  <c r="S59" i="2" s="1"/>
  <c r="O59" i="2"/>
  <c r="M59" i="2"/>
  <c r="K59" i="2"/>
  <c r="T58" i="2"/>
  <c r="R58" i="2"/>
  <c r="S58" i="2" s="1"/>
  <c r="O58" i="2"/>
  <c r="M58" i="2"/>
  <c r="K58" i="2"/>
  <c r="T57" i="2"/>
  <c r="O57" i="2"/>
  <c r="M57" i="2"/>
  <c r="K57" i="2"/>
  <c r="R57" i="2" s="1"/>
  <c r="S57" i="2" s="1"/>
  <c r="T56" i="2"/>
  <c r="R56" i="2"/>
  <c r="S56" i="2" s="1"/>
  <c r="O56" i="2"/>
  <c r="M56" i="2"/>
  <c r="K56" i="2"/>
  <c r="T55" i="2"/>
  <c r="R55" i="2"/>
  <c r="S55" i="2" s="1"/>
  <c r="O55" i="2"/>
  <c r="M55" i="2"/>
  <c r="K55" i="2"/>
  <c r="T54" i="2"/>
  <c r="R54" i="2"/>
  <c r="S54" i="2" s="1"/>
  <c r="O54" i="2"/>
  <c r="M54" i="2"/>
  <c r="K54" i="2"/>
  <c r="T53" i="2"/>
  <c r="R53" i="2"/>
  <c r="S53" i="2" s="1"/>
  <c r="O53" i="2"/>
  <c r="M53" i="2"/>
  <c r="K53" i="2"/>
  <c r="T52" i="2"/>
  <c r="R52" i="2"/>
  <c r="S52" i="2" s="1"/>
  <c r="O52" i="2"/>
  <c r="M52" i="2"/>
  <c r="K52" i="2"/>
  <c r="T51" i="2"/>
  <c r="R51" i="2"/>
  <c r="S51" i="2" s="1"/>
  <c r="O51" i="2"/>
  <c r="M51" i="2"/>
  <c r="K51" i="2"/>
  <c r="T50" i="2"/>
  <c r="R50" i="2"/>
  <c r="S50" i="2" s="1"/>
  <c r="O50" i="2"/>
  <c r="M50" i="2"/>
  <c r="K50" i="2"/>
  <c r="T49" i="2"/>
  <c r="R49" i="2"/>
  <c r="S49" i="2" s="1"/>
  <c r="O49" i="2"/>
  <c r="M49" i="2"/>
  <c r="K49" i="2"/>
  <c r="T48" i="2"/>
  <c r="R48" i="2"/>
  <c r="S48" i="2" s="1"/>
  <c r="O48" i="2"/>
  <c r="M48" i="2"/>
  <c r="K48" i="2"/>
  <c r="T47" i="2"/>
  <c r="O47" i="2"/>
  <c r="M47" i="2"/>
  <c r="K47" i="2"/>
  <c r="R47" i="2" s="1"/>
  <c r="S47" i="2" s="1"/>
  <c r="T46" i="2"/>
  <c r="R46" i="2"/>
  <c r="S46" i="2" s="1"/>
  <c r="O46" i="2"/>
  <c r="M46" i="2"/>
  <c r="K46" i="2"/>
  <c r="T45" i="2"/>
  <c r="R45" i="2"/>
  <c r="S45" i="2" s="1"/>
  <c r="O45" i="2"/>
  <c r="M45" i="2"/>
  <c r="K45" i="2"/>
  <c r="T44" i="2"/>
  <c r="R44" i="2"/>
  <c r="S44" i="2" s="1"/>
  <c r="O44" i="2"/>
  <c r="M44" i="2"/>
  <c r="K44" i="2"/>
  <c r="T43" i="2"/>
  <c r="O43" i="2"/>
  <c r="M43" i="2"/>
  <c r="K43" i="2"/>
  <c r="R43" i="2" s="1"/>
  <c r="S43" i="2" s="1"/>
  <c r="T42" i="2"/>
  <c r="R42" i="2"/>
  <c r="S42" i="2" s="1"/>
  <c r="O42" i="2"/>
  <c r="M42" i="2"/>
  <c r="K42" i="2"/>
  <c r="T41" i="2"/>
  <c r="R41" i="2"/>
  <c r="S41" i="2" s="1"/>
  <c r="O41" i="2"/>
  <c r="AX9" i="2" s="1"/>
  <c r="M41" i="2"/>
  <c r="K41" i="2"/>
  <c r="T40" i="2"/>
  <c r="O40" i="2"/>
  <c r="M40" i="2"/>
  <c r="K40" i="2"/>
  <c r="R40" i="2" s="1"/>
  <c r="S40" i="2" s="1"/>
  <c r="T39" i="2"/>
  <c r="O39" i="2"/>
  <c r="M39" i="2"/>
  <c r="K39" i="2"/>
  <c r="R39" i="2" s="1"/>
  <c r="S39" i="2" s="1"/>
  <c r="T38" i="2"/>
  <c r="R38" i="2"/>
  <c r="S38" i="2" s="1"/>
  <c r="O38" i="2"/>
  <c r="M38" i="2"/>
  <c r="K38" i="2"/>
  <c r="T37" i="2"/>
  <c r="R37" i="2"/>
  <c r="S37" i="2" s="1"/>
  <c r="O37" i="2"/>
  <c r="M37" i="2"/>
  <c r="K37" i="2"/>
  <c r="T36" i="2"/>
  <c r="O36" i="2"/>
  <c r="M36" i="2"/>
  <c r="K36" i="2"/>
  <c r="R36" i="2" s="1"/>
  <c r="S36" i="2" s="1"/>
  <c r="T35" i="2"/>
  <c r="O35" i="2"/>
  <c r="M35" i="2"/>
  <c r="K35" i="2"/>
  <c r="R35" i="2" s="1"/>
  <c r="S35" i="2" s="1"/>
  <c r="T34" i="2"/>
  <c r="O34" i="2"/>
  <c r="M34" i="2"/>
  <c r="K34" i="2"/>
  <c r="R34" i="2" s="1"/>
  <c r="S34" i="2" s="1"/>
  <c r="T33" i="2"/>
  <c r="O33" i="2"/>
  <c r="M33" i="2"/>
  <c r="K33" i="2"/>
  <c r="R33" i="2" s="1"/>
  <c r="S33" i="2" s="1"/>
  <c r="T32" i="2"/>
  <c r="R32" i="2"/>
  <c r="S32" i="2" s="1"/>
  <c r="O32" i="2"/>
  <c r="M32" i="2"/>
  <c r="K32" i="2"/>
  <c r="T31" i="2"/>
  <c r="O31" i="2"/>
  <c r="M31" i="2"/>
  <c r="K31" i="2"/>
  <c r="R31" i="2" s="1"/>
  <c r="S31" i="2" s="1"/>
  <c r="T30" i="2"/>
  <c r="O30" i="2"/>
  <c r="M30" i="2"/>
  <c r="K30" i="2"/>
  <c r="R30" i="2" s="1"/>
  <c r="S30" i="2" s="1"/>
  <c r="T29" i="2"/>
  <c r="R29" i="2"/>
  <c r="S29" i="2" s="1"/>
  <c r="O29" i="2"/>
  <c r="AX13" i="2" s="1"/>
  <c r="M29" i="2"/>
  <c r="K29" i="2"/>
  <c r="T28" i="2"/>
  <c r="O28" i="2"/>
  <c r="M28" i="2"/>
  <c r="K28" i="2"/>
  <c r="R28" i="2" s="1"/>
  <c r="S28" i="2" s="1"/>
  <c r="T27" i="2"/>
  <c r="O27" i="2"/>
  <c r="M27" i="2"/>
  <c r="K27" i="2"/>
  <c r="R27" i="2" s="1"/>
  <c r="S27" i="2" s="1"/>
  <c r="T26" i="2"/>
  <c r="R26" i="2"/>
  <c r="S26" i="2" s="1"/>
  <c r="O26" i="2"/>
  <c r="M26" i="2"/>
  <c r="K26" i="2"/>
  <c r="T25" i="2"/>
  <c r="R25" i="2"/>
  <c r="S25" i="2" s="1"/>
  <c r="O25" i="2"/>
  <c r="M25" i="2"/>
  <c r="K25" i="2"/>
  <c r="T24" i="2"/>
  <c r="R24" i="2"/>
  <c r="S24" i="2" s="1"/>
  <c r="O24" i="2"/>
  <c r="M24" i="2"/>
  <c r="K24" i="2"/>
  <c r="T23" i="2"/>
  <c r="O23" i="2"/>
  <c r="M23" i="2"/>
  <c r="K23" i="2"/>
  <c r="R23" i="2" s="1"/>
  <c r="S23" i="2" s="1"/>
  <c r="BA22" i="2"/>
  <c r="AZ22" i="2"/>
  <c r="AY22" i="2"/>
  <c r="AX22" i="2"/>
  <c r="T22" i="2"/>
  <c r="O22" i="2"/>
  <c r="M22" i="2"/>
  <c r="K22" i="2"/>
  <c r="R22" i="2" s="1"/>
  <c r="S22" i="2" s="1"/>
  <c r="BA21" i="2"/>
  <c r="AZ21" i="2"/>
  <c r="AY21" i="2"/>
  <c r="AX21" i="2"/>
  <c r="T21" i="2"/>
  <c r="O21" i="2"/>
  <c r="M21" i="2"/>
  <c r="K21" i="2"/>
  <c r="R21" i="2" s="1"/>
  <c r="S21" i="2" s="1"/>
  <c r="BA20" i="2"/>
  <c r="AZ20" i="2"/>
  <c r="AY20" i="2"/>
  <c r="AX20" i="2"/>
  <c r="T20" i="2"/>
  <c r="O20" i="2"/>
  <c r="M20" i="2"/>
  <c r="K20" i="2"/>
  <c r="R20" i="2" s="1"/>
  <c r="S20" i="2" s="1"/>
  <c r="BA19" i="2"/>
  <c r="AZ19" i="2"/>
  <c r="AY19" i="2"/>
  <c r="AX19" i="2"/>
  <c r="T19" i="2"/>
  <c r="R19" i="2"/>
  <c r="S19" i="2" s="1"/>
  <c r="O19" i="2"/>
  <c r="M19" i="2"/>
  <c r="K19" i="2"/>
  <c r="BA18" i="2"/>
  <c r="AZ18" i="2"/>
  <c r="AY18" i="2"/>
  <c r="AX18" i="2"/>
  <c r="T18" i="2"/>
  <c r="R18" i="2"/>
  <c r="S18" i="2" s="1"/>
  <c r="O18" i="2"/>
  <c r="M18" i="2"/>
  <c r="K18" i="2"/>
  <c r="BA17" i="2"/>
  <c r="AZ17" i="2"/>
  <c r="AY17" i="2"/>
  <c r="AX17" i="2"/>
  <c r="T17" i="2"/>
  <c r="R17" i="2"/>
  <c r="S17" i="2" s="1"/>
  <c r="O17" i="2"/>
  <c r="M17" i="2"/>
  <c r="K17" i="2"/>
  <c r="T16" i="2"/>
  <c r="O16" i="2"/>
  <c r="M16" i="2"/>
  <c r="K16" i="2"/>
  <c r="R16" i="2" s="1"/>
  <c r="S16" i="2" s="1"/>
  <c r="T15" i="2"/>
  <c r="O15" i="2"/>
  <c r="M15" i="2"/>
  <c r="K15" i="2"/>
  <c r="R15" i="2" s="1"/>
  <c r="S15" i="2" s="1"/>
  <c r="T14" i="2"/>
  <c r="O14" i="2"/>
  <c r="M14" i="2"/>
  <c r="K14" i="2"/>
  <c r="R14" i="2" s="1"/>
  <c r="S14" i="2" s="1"/>
  <c r="T13" i="2"/>
  <c r="O13" i="2"/>
  <c r="K13" i="2"/>
  <c r="R13" i="2" s="1"/>
  <c r="S13" i="2" s="1"/>
  <c r="T12" i="2"/>
  <c r="O12" i="2"/>
  <c r="M12" i="2"/>
  <c r="K12" i="2"/>
  <c r="R12" i="2" s="1"/>
  <c r="S12" i="2" s="1"/>
  <c r="AX11" i="2"/>
  <c r="T11" i="2"/>
  <c r="R11" i="2"/>
  <c r="S11" i="2" s="1"/>
  <c r="O11" i="2"/>
  <c r="M11" i="2"/>
  <c r="K11" i="2"/>
  <c r="BA10" i="2"/>
  <c r="AZ10" i="2"/>
  <c r="AY10" i="2"/>
  <c r="AX10" i="2"/>
  <c r="T10" i="2"/>
  <c r="R10" i="2"/>
  <c r="S10" i="2" s="1"/>
  <c r="O10" i="2"/>
  <c r="M10" i="2"/>
  <c r="K10" i="2"/>
  <c r="T9" i="2"/>
  <c r="R9" i="2"/>
  <c r="S9" i="2" s="1"/>
  <c r="O9" i="2"/>
  <c r="M9" i="2"/>
  <c r="K9" i="2"/>
  <c r="T8" i="2"/>
  <c r="R8" i="2"/>
  <c r="S8" i="2" s="1"/>
  <c r="O8" i="2"/>
  <c r="M8" i="2"/>
  <c r="K8" i="2"/>
  <c r="BA7" i="2"/>
  <c r="AZ7" i="2"/>
  <c r="AY7" i="2"/>
  <c r="AX7" i="2"/>
  <c r="T7" i="2"/>
  <c r="O7" i="2"/>
  <c r="M7" i="2"/>
  <c r="K7" i="2"/>
  <c r="R7" i="2" s="1"/>
  <c r="S7" i="2" s="1"/>
  <c r="T6" i="2"/>
  <c r="R6" i="2"/>
  <c r="S6" i="2" s="1"/>
  <c r="O6" i="2"/>
  <c r="M6" i="2"/>
  <c r="K6" i="2"/>
  <c r="T5" i="2"/>
  <c r="O5" i="2"/>
  <c r="M5" i="2"/>
  <c r="K5" i="2"/>
  <c r="R5" i="2" s="1"/>
  <c r="S5" i="2" s="1"/>
  <c r="D5" i="2"/>
  <c r="V4" i="2"/>
  <c r="U4" i="2"/>
  <c r="T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4" i="2"/>
  <c r="A3" i="2"/>
  <c r="B2" i="2"/>
  <c r="AS9" i="2" l="1"/>
  <c r="AS19" i="2"/>
  <c r="AS25" i="2"/>
  <c r="AS31" i="2"/>
  <c r="AS37" i="2"/>
  <c r="AS59" i="2"/>
  <c r="AS30" i="2"/>
  <c r="AS8" i="2"/>
  <c r="AS26" i="2"/>
  <c r="AS38" i="2"/>
  <c r="AS54" i="2"/>
  <c r="AR8" i="2"/>
  <c r="AR26" i="2"/>
  <c r="AR30" i="2"/>
  <c r="AR38" i="2"/>
  <c r="AR54" i="2"/>
  <c r="AR31" i="2"/>
  <c r="AR37" i="2"/>
  <c r="AR25" i="2"/>
  <c r="AR19" i="2"/>
  <c r="AR59" i="2"/>
  <c r="AR9" i="2"/>
  <c r="AO30" i="2"/>
  <c r="AP25" i="2"/>
  <c r="AP54" i="2"/>
  <c r="AP30" i="2"/>
  <c r="AP26" i="2"/>
  <c r="AO8" i="2"/>
  <c r="AP9" i="2"/>
  <c r="AO54" i="2"/>
  <c r="AP8" i="2"/>
  <c r="AO37" i="2"/>
  <c r="AO31" i="2"/>
  <c r="AO59" i="2"/>
  <c r="AP37" i="2"/>
  <c r="AO25" i="2"/>
  <c r="AO9" i="2"/>
  <c r="AP59" i="2"/>
  <c r="AO38" i="2"/>
  <c r="AO19" i="2"/>
  <c r="AO26" i="2"/>
  <c r="AP31" i="2"/>
  <c r="AP38" i="2"/>
  <c r="AP19" i="2"/>
  <c r="AX12" i="2"/>
  <c r="BA9" i="2"/>
  <c r="D63" i="2"/>
  <c r="D56" i="2"/>
  <c r="D57" i="2"/>
  <c r="D58" i="2"/>
  <c r="D59" i="2"/>
  <c r="D60" i="2"/>
  <c r="D61" i="2"/>
  <c r="D62" i="2"/>
  <c r="AX8" i="2"/>
  <c r="N38" i="2"/>
  <c r="P38" i="2" s="1"/>
  <c r="Q38" i="2" s="1"/>
  <c r="N29" i="2"/>
  <c r="P29" i="2" s="1"/>
  <c r="Q29" i="2" s="1"/>
  <c r="N36" i="2"/>
  <c r="P36" i="2" s="1"/>
  <c r="Q36" i="2" s="1"/>
  <c r="N21" i="2"/>
  <c r="P21" i="2" s="1"/>
  <c r="Q21" i="2" s="1"/>
  <c r="N50" i="2"/>
  <c r="P50" i="2" s="1"/>
  <c r="Q50" i="2" s="1"/>
  <c r="N19" i="2"/>
  <c r="P19" i="2" s="1"/>
  <c r="Q19" i="2" s="1"/>
  <c r="N18" i="2"/>
  <c r="P18" i="2" s="1"/>
  <c r="Q18" i="2" s="1"/>
  <c r="N11" i="2"/>
  <c r="P11" i="2" s="1"/>
  <c r="Q11" i="2" s="1"/>
  <c r="N25" i="2"/>
  <c r="P25" i="2" s="1"/>
  <c r="Q25" i="2" s="1"/>
  <c r="AX6" i="2"/>
  <c r="N17" i="2"/>
  <c r="P17" i="2" s="1"/>
  <c r="Q17" i="2" s="1"/>
  <c r="N54" i="2"/>
  <c r="P54" i="2" s="1"/>
  <c r="Q54" i="2" s="1"/>
  <c r="N56" i="2"/>
  <c r="P56" i="2" s="1"/>
  <c r="Q56" i="2" s="1"/>
  <c r="N41" i="2"/>
  <c r="P41" i="2" s="1"/>
  <c r="Q41" i="2" s="1"/>
  <c r="N45" i="2"/>
  <c r="P45" i="2" s="1"/>
  <c r="Q45" i="2" s="1"/>
  <c r="N47" i="2"/>
  <c r="P47" i="2" s="1"/>
  <c r="Q47" i="2" s="1"/>
  <c r="N8" i="2"/>
  <c r="P8" i="2" s="1"/>
  <c r="Q8" i="2" s="1"/>
  <c r="N10" i="2"/>
  <c r="P10" i="2" s="1"/>
  <c r="Q10" i="2" s="1"/>
  <c r="N6" i="2"/>
  <c r="P6" i="2" s="1"/>
  <c r="Q6" i="2" s="1"/>
  <c r="N63" i="2"/>
  <c r="P63" i="2" s="1"/>
  <c r="Q63" i="2" s="1"/>
  <c r="N70" i="2"/>
  <c r="P70" i="2" s="1"/>
  <c r="Q70" i="2" s="1"/>
  <c r="N68" i="2"/>
  <c r="P68" i="2" s="1"/>
  <c r="Q68" i="2" s="1"/>
  <c r="N33" i="2"/>
  <c r="P33" i="2" s="1"/>
  <c r="Q33" i="2" s="1"/>
  <c r="N35" i="2"/>
  <c r="P35" i="2" s="1"/>
  <c r="Q35" i="2" s="1"/>
  <c r="N24" i="2"/>
  <c r="P24" i="2" s="1"/>
  <c r="Q24" i="2" s="1"/>
  <c r="N26" i="2"/>
  <c r="P26" i="2" s="1"/>
  <c r="N32" i="2"/>
  <c r="P32" i="2" s="1"/>
  <c r="Q32" i="2" s="1"/>
  <c r="N62" i="2"/>
  <c r="P62" i="2" s="1"/>
  <c r="Q62" i="2" s="1"/>
  <c r="N39" i="2"/>
  <c r="P39" i="2" s="1"/>
  <c r="Q39" i="2" s="1"/>
  <c r="N49" i="2"/>
  <c r="P49" i="2" s="1"/>
  <c r="Q49" i="2" s="1"/>
  <c r="N53" i="2"/>
  <c r="P53" i="2" s="1"/>
  <c r="Q53" i="2" s="1"/>
  <c r="N61" i="2"/>
  <c r="P61" i="2" s="1"/>
  <c r="Q61" i="2" s="1"/>
  <c r="N22" i="2"/>
  <c r="P22" i="2" s="1"/>
  <c r="Q22" i="2" s="1"/>
  <c r="N34" i="2"/>
  <c r="P34" i="2" s="1"/>
  <c r="Q34" i="2" s="1"/>
  <c r="N28" i="2"/>
  <c r="P28" i="2" s="1"/>
  <c r="Q28" i="2" s="1"/>
  <c r="N46" i="2"/>
  <c r="P46" i="2" s="1"/>
  <c r="Q46" i="2" s="1"/>
  <c r="N66" i="2"/>
  <c r="P66" i="2" s="1"/>
  <c r="Q66" i="2" s="1"/>
  <c r="N52" i="2"/>
  <c r="P52" i="2" s="1"/>
  <c r="N58" i="2"/>
  <c r="P58" i="2" s="1"/>
  <c r="Q58" i="2" s="1"/>
  <c r="N64" i="2"/>
  <c r="P64" i="2" s="1"/>
  <c r="Q64" i="2" s="1"/>
  <c r="N15" i="2"/>
  <c r="P15" i="2" s="1"/>
  <c r="Q15" i="2" s="1"/>
  <c r="N14" i="2"/>
  <c r="P14" i="2" s="1"/>
  <c r="Q14" i="2" s="1"/>
  <c r="N16" i="2"/>
  <c r="P16" i="2" s="1"/>
  <c r="N20" i="2"/>
  <c r="P20" i="2" s="1"/>
  <c r="N30" i="2"/>
  <c r="P30" i="2" s="1"/>
  <c r="Q30" i="2" s="1"/>
  <c r="N57" i="2"/>
  <c r="P57" i="2" s="1"/>
  <c r="Q57" i="2" s="1"/>
  <c r="N59" i="2"/>
  <c r="P59" i="2" s="1"/>
  <c r="Q59" i="2" s="1"/>
  <c r="N13" i="2"/>
  <c r="P13" i="2" s="1"/>
  <c r="Q13" i="2" s="1"/>
  <c r="N40" i="2"/>
  <c r="P40" i="2" s="1"/>
  <c r="Q40" i="2" s="1"/>
  <c r="AX16" i="2"/>
  <c r="N27" i="2"/>
  <c r="P27" i="2" s="1"/>
  <c r="Q27" i="2" s="1"/>
  <c r="N42" i="2"/>
  <c r="P42" i="2" s="1"/>
  <c r="Q42" i="2" s="1"/>
  <c r="N44" i="2"/>
  <c r="P44" i="2" s="1"/>
  <c r="Q44" i="2" s="1"/>
  <c r="N5" i="2"/>
  <c r="P5" i="2" s="1"/>
  <c r="N7" i="2"/>
  <c r="P7" i="2" s="1"/>
  <c r="AX4" i="2"/>
  <c r="N51" i="2"/>
  <c r="P51" i="2" s="1"/>
  <c r="Q51" i="2" s="1"/>
  <c r="N37" i="2"/>
  <c r="P37" i="2" s="1"/>
  <c r="Q37" i="2" s="1"/>
  <c r="AX5" i="2"/>
  <c r="N9" i="2"/>
  <c r="P9" i="2" s="1"/>
  <c r="Q9" i="2" s="1"/>
  <c r="N12" i="2"/>
  <c r="P12" i="2" s="1"/>
  <c r="N48" i="2"/>
  <c r="P48" i="2" s="1"/>
  <c r="Q48" i="2" s="1"/>
  <c r="N55" i="2"/>
  <c r="P55" i="2" s="1"/>
  <c r="Q55" i="2" s="1"/>
  <c r="B3" i="2"/>
  <c r="BA6" i="2"/>
  <c r="BA11" i="2"/>
  <c r="AY11" i="2"/>
  <c r="BA16" i="2"/>
  <c r="BA5" i="2"/>
  <c r="BA8" i="2"/>
  <c r="BA4" i="2"/>
  <c r="BA13" i="2"/>
  <c r="BA12" i="2"/>
  <c r="D26" i="2"/>
  <c r="D27" i="2"/>
  <c r="D35" i="2"/>
  <c r="D70" i="2"/>
  <c r="D12" i="2"/>
  <c r="D31" i="2"/>
  <c r="N43" i="2"/>
  <c r="P43" i="2" s="1"/>
  <c r="D67" i="2"/>
  <c r="D47" i="2"/>
  <c r="D42" i="2"/>
  <c r="D16" i="2"/>
  <c r="D17" i="2"/>
  <c r="N31" i="2"/>
  <c r="P31" i="2" s="1"/>
  <c r="D38" i="2"/>
  <c r="D54" i="2"/>
  <c r="N67" i="2"/>
  <c r="P67" i="2" s="1"/>
  <c r="D18" i="2"/>
  <c r="D19" i="2"/>
  <c r="D20" i="2"/>
  <c r="D25" i="2"/>
  <c r="D13" i="2"/>
  <c r="D69" i="2"/>
  <c r="D49" i="2"/>
  <c r="D7" i="2"/>
  <c r="D8" i="2"/>
  <c r="D15" i="2"/>
  <c r="D14" i="2"/>
  <c r="D33" i="2"/>
  <c r="D37" i="2"/>
  <c r="D41" i="2"/>
  <c r="D45" i="2"/>
  <c r="D53" i="2"/>
  <c r="N69" i="2"/>
  <c r="P69" i="2" s="1"/>
  <c r="D6" i="2"/>
  <c r="D21" i="2"/>
  <c r="D24" i="2"/>
  <c r="D9" i="2"/>
  <c r="D22" i="2"/>
  <c r="D29" i="2"/>
  <c r="D44" i="2"/>
  <c r="D48" i="2"/>
  <c r="D10" i="2"/>
  <c r="D23" i="2"/>
  <c r="D32" i="2"/>
  <c r="D40" i="2"/>
  <c r="D52" i="2"/>
  <c r="N60" i="2"/>
  <c r="P60" i="2" s="1"/>
  <c r="D28" i="2"/>
  <c r="D36" i="2"/>
  <c r="D51" i="2"/>
  <c r="N23" i="2"/>
  <c r="P23" i="2" s="1"/>
  <c r="D64" i="2"/>
  <c r="D65" i="2"/>
  <c r="D55" i="2"/>
  <c r="D39" i="2"/>
  <c r="D66" i="2"/>
  <c r="D50" i="2"/>
  <c r="D34" i="2"/>
  <c r="D46" i="2"/>
  <c r="D30" i="2"/>
  <c r="D68" i="2"/>
  <c r="N65" i="2"/>
  <c r="P65" i="2" s="1"/>
  <c r="R65" i="2"/>
  <c r="S65" i="2" s="1"/>
  <c r="D11" i="2"/>
  <c r="D43" i="2"/>
  <c r="AU19" i="2" l="1"/>
  <c r="AU9" i="2"/>
  <c r="AU26" i="2"/>
  <c r="AU31" i="2"/>
  <c r="AU59" i="2"/>
  <c r="AU37" i="2"/>
  <c r="AT9" i="2"/>
  <c r="AT25" i="2"/>
  <c r="AT59" i="2"/>
  <c r="AT26" i="2"/>
  <c r="AT37" i="2"/>
  <c r="AU25" i="2"/>
  <c r="AT19" i="2"/>
  <c r="AT30" i="2"/>
  <c r="AT38" i="2"/>
  <c r="AT54" i="2"/>
  <c r="AT31" i="2"/>
  <c r="AT8" i="2"/>
  <c r="AU38" i="2"/>
  <c r="AU30" i="2"/>
  <c r="AU54" i="2"/>
  <c r="AU8" i="2"/>
  <c r="AY12" i="2"/>
  <c r="AY9" i="2"/>
  <c r="AY4" i="2"/>
  <c r="AY6" i="2"/>
  <c r="Q26" i="2"/>
  <c r="AZ12" i="2" s="1"/>
  <c r="AZ9" i="2"/>
  <c r="AY16" i="2"/>
  <c r="Q52" i="2"/>
  <c r="AY8" i="2"/>
  <c r="AY5" i="2"/>
  <c r="AZ11" i="2"/>
  <c r="AY13" i="2"/>
  <c r="AZ13" i="2"/>
  <c r="Q20" i="2"/>
  <c r="AZ6" i="2" s="1"/>
  <c r="Q12" i="2"/>
  <c r="AZ5" i="2" s="1"/>
  <c r="Q16" i="2"/>
  <c r="Q7" i="2"/>
  <c r="Q5" i="2"/>
  <c r="AZ4" i="2" s="1"/>
  <c r="Q23" i="2"/>
  <c r="Q65" i="2"/>
  <c r="Q67" i="2"/>
  <c r="Q69" i="2"/>
  <c r="Q43" i="2"/>
  <c r="Q31" i="2"/>
  <c r="AZ8" i="2" s="1"/>
  <c r="Q60" i="2"/>
  <c r="AZ1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<sst xmlns="http://schemas.openxmlformats.org/spreadsheetml/2006/main" count="889" uniqueCount="161">
  <si>
    <t xml:space="preserve">N° Facture </t>
  </si>
  <si>
    <t>Site</t>
  </si>
  <si>
    <t>DATE</t>
  </si>
  <si>
    <t>Agence</t>
  </si>
  <si>
    <t>Poste</t>
  </si>
  <si>
    <t>Horaires</t>
  </si>
  <si>
    <t>Nom</t>
  </si>
  <si>
    <t>Prénom</t>
  </si>
  <si>
    <t>Heure prise de poste</t>
  </si>
  <si>
    <t xml:space="preserve">Pauses </t>
  </si>
  <si>
    <t>Heure de Fin de Poste</t>
  </si>
  <si>
    <t>.</t>
  </si>
  <si>
    <t>Total des heures</t>
  </si>
  <si>
    <t>Total Présent</t>
  </si>
  <si>
    <t>Heures au centièmes</t>
  </si>
  <si>
    <t>Total des heures SUP</t>
  </si>
  <si>
    <t xml:space="preserve">Jour Férier </t>
  </si>
  <si>
    <t>Contrat</t>
  </si>
  <si>
    <t>Semaine</t>
  </si>
  <si>
    <t>Centralisateur</t>
  </si>
  <si>
    <t>Taux</t>
  </si>
  <si>
    <t>coefficients</t>
  </si>
  <si>
    <t>TAUX salaire de base</t>
  </si>
  <si>
    <t>+ pourcentage</t>
  </si>
  <si>
    <t>Heure Sup 25%</t>
  </si>
  <si>
    <t>Dimanche 50%</t>
  </si>
  <si>
    <t>Jour Fériés 125%</t>
  </si>
  <si>
    <t>Nuit 20%</t>
  </si>
  <si>
    <t>Cumule</t>
  </si>
  <si>
    <t>Total présent</t>
  </si>
  <si>
    <t>Heures centièmes</t>
  </si>
  <si>
    <t>Heures SUP</t>
  </si>
  <si>
    <t>Nuit</t>
  </si>
  <si>
    <t>Délégation</t>
  </si>
  <si>
    <t>Gestion</t>
  </si>
  <si>
    <t>Accueil</t>
  </si>
  <si>
    <t>-</t>
  </si>
  <si>
    <t>Agréeur</t>
  </si>
  <si>
    <t>04:30 - 13:00</t>
  </si>
  <si>
    <t>Tireur matin</t>
  </si>
  <si>
    <t>Manpower</t>
  </si>
  <si>
    <t>Tireur nuit</t>
  </si>
  <si>
    <t>Prép pm/ nuit</t>
  </si>
  <si>
    <t>Contrôle pm</t>
  </si>
  <si>
    <t>10:30 - 18:00</t>
  </si>
  <si>
    <t xml:space="preserve">Chef de quai </t>
  </si>
  <si>
    <t>Label interim</t>
  </si>
  <si>
    <t>11:30 - 19:00</t>
  </si>
  <si>
    <t>GUERITE</t>
  </si>
  <si>
    <t>Manutentionnaire</t>
  </si>
  <si>
    <t>5:00 - 12:30</t>
  </si>
  <si>
    <t>Mûrisserie</t>
  </si>
  <si>
    <t>DR 16</t>
  </si>
  <si>
    <t>5:00 - 11:30</t>
  </si>
  <si>
    <t>Prép DR16</t>
  </si>
  <si>
    <t>Label Interim</t>
  </si>
  <si>
    <t>12:00 - 19:30</t>
  </si>
  <si>
    <t>Nettoyeur DR</t>
  </si>
  <si>
    <t>Controleur DR</t>
  </si>
  <si>
    <t>4:00 - 12:00</t>
  </si>
  <si>
    <t>Tireur nuit DR</t>
  </si>
  <si>
    <t>Tireur matin DR</t>
  </si>
  <si>
    <t>Agréeur DR</t>
  </si>
  <si>
    <t>Chef de quai DR</t>
  </si>
  <si>
    <t>Ferguss</t>
  </si>
  <si>
    <t>contrôle pm</t>
  </si>
  <si>
    <t>13:30 - 21:00</t>
  </si>
  <si>
    <t>Préparateur PM</t>
  </si>
  <si>
    <t>Préparateur nuit</t>
  </si>
  <si>
    <t>20:30 - 4:00</t>
  </si>
  <si>
    <t>19:30 - 4:00</t>
  </si>
  <si>
    <t>Variable</t>
  </si>
  <si>
    <t>11:45 - 20:00</t>
  </si>
  <si>
    <t>Domino rh</t>
  </si>
  <si>
    <t>Jubil Interim</t>
  </si>
  <si>
    <t>Jour Férié (France)</t>
  </si>
  <si>
    <t>Date</t>
  </si>
  <si>
    <t>Explication</t>
  </si>
  <si>
    <t>Jour de l'an</t>
  </si>
  <si>
    <t>1er Janvier</t>
  </si>
  <si>
    <t>Pâques</t>
  </si>
  <si>
    <t>Cf Wikipédia</t>
  </si>
  <si>
    <t>Lundi de Pâques</t>
  </si>
  <si>
    <t>Lendemain de pâques</t>
  </si>
  <si>
    <t>Fête du Travail</t>
  </si>
  <si>
    <t>1er Mai</t>
  </si>
  <si>
    <t>Armistice 1945</t>
  </si>
  <si>
    <t>le 8 Mai</t>
  </si>
  <si>
    <t>Jeudi de l'Ascension</t>
  </si>
  <si>
    <t>39 jours après pâques</t>
  </si>
  <si>
    <t>Pentecôte</t>
  </si>
  <si>
    <t>49 jours après Pâques</t>
  </si>
  <si>
    <t>Lundi de Pentecôte</t>
  </si>
  <si>
    <t>50 jours après pâques</t>
  </si>
  <si>
    <t>Fête Nationale</t>
  </si>
  <si>
    <t>le 14 Julliet</t>
  </si>
  <si>
    <t>Assomption</t>
  </si>
  <si>
    <t>le 15 Août</t>
  </si>
  <si>
    <t>La Toussaint</t>
  </si>
  <si>
    <t>le 1er Novembre</t>
  </si>
  <si>
    <t>Armistice 1918</t>
  </si>
  <si>
    <t>le 11 Novembre</t>
  </si>
  <si>
    <t>Noël</t>
  </si>
  <si>
    <t>le 25 Décembre</t>
  </si>
  <si>
    <t>Jour férié</t>
  </si>
  <si>
    <t>Instant</t>
  </si>
  <si>
    <t>+%</t>
  </si>
  <si>
    <t>+</t>
  </si>
  <si>
    <t>/</t>
  </si>
  <si>
    <t>Randstad</t>
  </si>
  <si>
    <t>Total effectué</t>
  </si>
  <si>
    <t>TOTAL Nuit</t>
  </si>
  <si>
    <t xml:space="preserve">Panier </t>
  </si>
  <si>
    <t xml:space="preserve">Interaction </t>
  </si>
  <si>
    <t>PIXID</t>
  </si>
  <si>
    <t>12,31 à 13,99</t>
  </si>
  <si>
    <t>Smic à 12,30</t>
  </si>
  <si>
    <t>+ de 14</t>
  </si>
  <si>
    <t>Adecco</t>
  </si>
  <si>
    <t>pas d'info</t>
  </si>
  <si>
    <t>Jubil interim</t>
  </si>
  <si>
    <t>Label interim -10 profils</t>
  </si>
  <si>
    <t>Label interim + 10 profils</t>
  </si>
  <si>
    <t>Armado</t>
  </si>
  <si>
    <t>Domino Rh</t>
  </si>
  <si>
    <t>Triangle</t>
  </si>
  <si>
    <t>mail</t>
  </si>
  <si>
    <t xml:space="preserve">Smic </t>
  </si>
  <si>
    <t>11,53 à 12,57</t>
  </si>
  <si>
    <t>12,58 à 13,51</t>
  </si>
  <si>
    <t>13,52 à 15,71</t>
  </si>
  <si>
    <t>+ de 15,72</t>
  </si>
  <si>
    <t>Smic à 12</t>
  </si>
  <si>
    <t>12,01 à 13</t>
  </si>
  <si>
    <t xml:space="preserve"> +  de 13,01</t>
  </si>
  <si>
    <t>Adéquat</t>
  </si>
  <si>
    <t>Crit</t>
  </si>
  <si>
    <t>+ de 12,01</t>
  </si>
  <si>
    <t>Temporis</t>
  </si>
  <si>
    <t>Sttaffmatch</t>
  </si>
  <si>
    <t>Start people</t>
  </si>
  <si>
    <t>Rh en ligne</t>
  </si>
  <si>
    <t>?</t>
  </si>
  <si>
    <t>Taux salaire</t>
  </si>
  <si>
    <t>00-00-00</t>
  </si>
  <si>
    <t>11,53 à 12,50</t>
  </si>
  <si>
    <t>+ de 12,51</t>
  </si>
  <si>
    <t>+ de 13,78</t>
  </si>
  <si>
    <t>12,77 à 13,77</t>
  </si>
  <si>
    <t>11,76 à 12,76</t>
  </si>
  <si>
    <t>11,52 à 11,75</t>
  </si>
  <si>
    <t xml:space="preserve">DR </t>
  </si>
  <si>
    <t xml:space="preserve">Cent - DR </t>
  </si>
  <si>
    <t>Cent</t>
  </si>
  <si>
    <t>Samsic A</t>
  </si>
  <si>
    <t>Samsic N</t>
  </si>
  <si>
    <t>TAF C</t>
  </si>
  <si>
    <t>TAF N</t>
  </si>
  <si>
    <t xml:space="preserve">Préparateur DR </t>
  </si>
  <si>
    <t>Taux inf</t>
  </si>
  <si>
    <t>Taux sup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</si>
</sst>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"/>
    <numFmt numFmtId="165" formatCode="[$-F800]dddd\,\ mmmm\ dd\,\ yyyy"/>
    <numFmt numFmtId="166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0">
    <xf numFmtId="0" fontId="0" fillId="0" borderId="0" xfId="0"/>
    <xf numFmtId="16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left" vertical="center"/>
    </xf>
    <xf numFmtId="1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" fontId="2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" fontId="2" fillId="0" borderId="21" xfId="0" applyNumberFormat="1" applyFont="1" applyBorder="1" applyAlignment="1">
      <alignment horizontal="center" vertical="center"/>
    </xf>
    <xf numFmtId="2" fontId="2" fillId="0" borderId="21" xfId="0" applyNumberFormat="1" applyFont="1" applyBorder="1" applyAlignment="1">
      <alignment horizontal="center" vertical="center"/>
    </xf>
    <xf numFmtId="2" fontId="2" fillId="0" borderId="22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65" fontId="9" fillId="0" borderId="31" xfId="0" applyNumberFormat="1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2" fontId="1" fillId="0" borderId="27" xfId="0" applyNumberFormat="1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1" xfId="0" quotePrefix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20" fontId="0" fillId="0" borderId="5" xfId="0" applyNumberFormat="1" applyBorder="1" applyAlignment="1">
      <alignment horizontal="center" vertical="center"/>
    </xf>
    <xf numFmtId="20" fontId="0" fillId="0" borderId="12" xfId="0" applyNumberForma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left" vertical="center" wrapText="1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/>
    </xf>
    <xf numFmtId="2" fontId="2" fillId="0" borderId="3" xfId="0" applyNumberFormat="1" applyFont="1" applyBorder="1" applyAlignment="1">
      <alignment horizontal="center" vertical="center"/>
    </xf>
    <xf numFmtId="166" fontId="2" fillId="0" borderId="0" xfId="0" applyNumberFormat="1" applyFont="1" applyAlignment="1">
      <alignment horizontal="left" vertical="center"/>
    </xf>
    <xf numFmtId="166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6" fontId="2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center" wrapText="1"/>
    </xf>
    <xf numFmtId="20" fontId="2" fillId="0" borderId="1" xfId="0" applyNumberFormat="1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64" fontId="11" fillId="0" borderId="1" xfId="0" applyNumberFormat="1" applyFont="1" applyBorder="1" applyAlignment="1">
      <alignment horizontal="center" vertical="center" wrapText="1"/>
    </xf>
    <xf numFmtId="0" fontId="0" fillId="0" borderId="0" xfId="0" quotePrefix="1" applyAlignment="1">
      <alignment horizontal="center" vertical="center"/>
    </xf>
    <xf numFmtId="0" fontId="0" fillId="0" borderId="8" xfId="0" applyBorder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9" xfId="0" applyBorder="1" applyAlignment="1">
      <alignment vertical="center"/>
    </xf>
    <xf numFmtId="2" fontId="2" fillId="0" borderId="2" xfId="0" applyNumberFormat="1" applyFont="1" applyBorder="1" applyAlignment="1">
      <alignment horizontal="center" vertical="center" wrapText="1"/>
    </xf>
    <xf numFmtId="166" fontId="2" fillId="4" borderId="1" xfId="0" applyNumberFormat="1" applyFont="1" applyFill="1" applyBorder="1" applyAlignment="1">
      <alignment horizontal="left" vertical="center"/>
    </xf>
    <xf numFmtId="166" fontId="2" fillId="4" borderId="1" xfId="0" applyNumberFormat="1" applyFont="1" applyFill="1" applyBorder="1" applyAlignment="1">
      <alignment horizontal="center" vertical="center"/>
    </xf>
    <xf numFmtId="2" fontId="0" fillId="5" borderId="0" xfId="0" applyNumberFormat="1" applyFill="1" applyAlignment="1">
      <alignment horizontal="center" vertical="center"/>
    </xf>
    <xf numFmtId="166" fontId="2" fillId="5" borderId="1" xfId="0" applyNumberFormat="1" applyFont="1" applyFill="1" applyBorder="1" applyAlignment="1">
      <alignment horizontal="left" vertical="center"/>
    </xf>
    <xf numFmtId="166" fontId="2" fillId="5" borderId="1" xfId="0" applyNumberFormat="1" applyFont="1" applyFill="1" applyBorder="1" applyAlignment="1">
      <alignment horizontal="center" vertical="center"/>
    </xf>
    <xf numFmtId="166" fontId="2" fillId="6" borderId="1" xfId="0" applyNumberFormat="1" applyFont="1" applyFill="1" applyBorder="1" applyAlignment="1">
      <alignment horizontal="left" vertical="center"/>
    </xf>
    <xf numFmtId="166" fontId="2" fillId="6" borderId="1" xfId="0" applyNumberFormat="1" applyFont="1" applyFill="1" applyBorder="1" applyAlignment="1">
      <alignment horizontal="center" vertical="center"/>
    </xf>
    <xf numFmtId="166" fontId="2" fillId="2" borderId="1" xfId="0" applyNumberFormat="1" applyFont="1" applyFill="1" applyBorder="1" applyAlignment="1">
      <alignment horizontal="center" vertical="center"/>
    </xf>
    <xf numFmtId="2" fontId="2" fillId="7" borderId="1" xfId="0" applyNumberFormat="1" applyFont="1" applyFill="1" applyBorder="1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66" fontId="0" fillId="4" borderId="5" xfId="0" quotePrefix="1" applyNumberFormat="1" applyFill="1" applyBorder="1" applyAlignment="1">
      <alignment horizontal="center" vertical="center"/>
    </xf>
    <xf numFmtId="166" fontId="0" fillId="4" borderId="5" xfId="0" applyNumberFormat="1" applyFill="1" applyBorder="1" applyAlignment="1">
      <alignment horizontal="center" vertical="center"/>
    </xf>
    <xf numFmtId="166" fontId="0" fillId="0" borderId="5" xfId="0" quotePrefix="1" applyNumberFormat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6" fontId="0" fillId="6" borderId="5" xfId="0" quotePrefix="1" applyNumberFormat="1" applyFill="1" applyBorder="1" applyAlignment="1">
      <alignment horizontal="center" vertical="center"/>
    </xf>
    <xf numFmtId="166" fontId="0" fillId="6" borderId="5" xfId="0" applyNumberFormat="1" applyFill="1" applyBorder="1" applyAlignment="1">
      <alignment horizontal="center" vertical="center"/>
    </xf>
    <xf numFmtId="166" fontId="0" fillId="5" borderId="5" xfId="0" quotePrefix="1" applyNumberFormat="1" applyFill="1" applyBorder="1" applyAlignment="1">
      <alignment horizontal="center" vertical="center"/>
    </xf>
    <xf numFmtId="166" fontId="0" fillId="5" borderId="5" xfId="0" applyNumberForma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166" fontId="0" fillId="4" borderId="1" xfId="0" applyNumberFormat="1" applyFill="1" applyBorder="1" applyAlignment="1">
      <alignment horizontal="center" vertical="center" wrapText="1"/>
    </xf>
    <xf numFmtId="166" fontId="0" fillId="4" borderId="1" xfId="0" applyNumberFormat="1" applyFill="1" applyBorder="1" applyAlignment="1">
      <alignment vertical="center"/>
    </xf>
    <xf numFmtId="166" fontId="0" fillId="0" borderId="1" xfId="0" applyNumberFormat="1" applyBorder="1" applyAlignment="1">
      <alignment horizontal="center" vertical="center" wrapText="1"/>
    </xf>
    <xf numFmtId="166" fontId="0" fillId="0" borderId="1" xfId="0" applyNumberFormat="1" applyBorder="1" applyAlignment="1">
      <alignment vertical="center"/>
    </xf>
    <xf numFmtId="166" fontId="0" fillId="6" borderId="1" xfId="0" applyNumberFormat="1" applyFill="1" applyBorder="1" applyAlignment="1">
      <alignment horizontal="center" vertical="center" wrapText="1"/>
    </xf>
    <xf numFmtId="166" fontId="0" fillId="6" borderId="1" xfId="0" applyNumberFormat="1" applyFill="1" applyBorder="1" applyAlignment="1">
      <alignment vertical="center"/>
    </xf>
    <xf numFmtId="166" fontId="0" fillId="5" borderId="1" xfId="0" applyNumberFormat="1" applyFill="1" applyBorder="1" applyAlignment="1">
      <alignment horizontal="center" vertical="center" wrapText="1"/>
    </xf>
    <xf numFmtId="166" fontId="0" fillId="5" borderId="1" xfId="0" applyNumberFormat="1" applyFill="1" applyBorder="1" applyAlignment="1">
      <alignment vertical="center"/>
    </xf>
    <xf numFmtId="166" fontId="0" fillId="2" borderId="0" xfId="0" applyNumberFormat="1" applyFill="1" applyAlignment="1">
      <alignment horizontal="center" vertical="center"/>
    </xf>
    <xf numFmtId="166" fontId="0" fillId="4" borderId="0" xfId="0" applyNumberFormat="1" applyFill="1"/>
    <xf numFmtId="166" fontId="0" fillId="0" borderId="0" xfId="0" applyNumberFormat="1"/>
    <xf numFmtId="166" fontId="0" fillId="6" borderId="0" xfId="0" applyNumberFormat="1" applyFill="1"/>
    <xf numFmtId="166" fontId="0" fillId="5" borderId="0" xfId="0" applyNumberFormat="1" applyFill="1"/>
    <xf numFmtId="2" fontId="0" fillId="0" borderId="21" xfId="0" quotePrefix="1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2" fontId="0" fillId="2" borderId="21" xfId="0" applyNumberForma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1" fillId="4" borderId="27" xfId="0" applyFont="1" applyFill="1" applyBorder="1" applyAlignment="1">
      <alignment vertical="center"/>
    </xf>
    <xf numFmtId="0" fontId="1" fillId="4" borderId="27" xfId="0" applyFont="1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21" xfId="0" applyNumberForma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1" fillId="6" borderId="36" xfId="0" applyFont="1" applyFill="1" applyBorder="1" applyAlignment="1">
      <alignment vertical="center"/>
    </xf>
    <xf numFmtId="0" fontId="1" fillId="6" borderId="37" xfId="0" applyFont="1" applyFill="1" applyBorder="1" applyAlignment="1">
      <alignment vertical="center"/>
    </xf>
    <xf numFmtId="0" fontId="0" fillId="6" borderId="31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2" fontId="0" fillId="6" borderId="9" xfId="0" applyNumberFormat="1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2" fontId="0" fillId="6" borderId="21" xfId="0" applyNumberFormat="1" applyFill="1" applyBorder="1" applyAlignment="1">
      <alignment horizontal="center" vertical="center"/>
    </xf>
    <xf numFmtId="0" fontId="1" fillId="5" borderId="27" xfId="0" applyFont="1" applyFill="1" applyBorder="1" applyAlignment="1">
      <alignment vertical="center"/>
    </xf>
    <xf numFmtId="0" fontId="0" fillId="5" borderId="31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2" fontId="0" fillId="5" borderId="9" xfId="0" applyNumberFormat="1" applyFill="1" applyBorder="1" applyAlignment="1">
      <alignment horizontal="center" vertical="center"/>
    </xf>
    <xf numFmtId="2" fontId="0" fillId="5" borderId="10" xfId="0" applyNumberFormat="1" applyFill="1" applyBorder="1" applyAlignment="1">
      <alignment horizontal="center" vertical="center"/>
    </xf>
    <xf numFmtId="2" fontId="0" fillId="5" borderId="17" xfId="0" applyNumberFormat="1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2" fontId="0" fillId="5" borderId="21" xfId="0" applyNumberFormat="1" applyFill="1" applyBorder="1" applyAlignment="1">
      <alignment horizontal="center" vertical="center"/>
    </xf>
    <xf numFmtId="2" fontId="0" fillId="5" borderId="22" xfId="0" applyNumberForma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2" fontId="0" fillId="6" borderId="13" xfId="0" applyNumberFormat="1" applyFill="1" applyBorder="1" applyAlignment="1">
      <alignment horizontal="center" vertical="center"/>
    </xf>
    <xf numFmtId="2" fontId="0" fillId="5" borderId="13" xfId="0" applyNumberFormat="1" applyFill="1" applyBorder="1" applyAlignment="1">
      <alignment horizontal="center" vertical="center"/>
    </xf>
    <xf numFmtId="166" fontId="2" fillId="2" borderId="2" xfId="0" applyNumberFormat="1" applyFont="1" applyFill="1" applyBorder="1" applyAlignment="1">
      <alignment horizontal="center" vertical="center" wrapText="1"/>
    </xf>
    <xf numFmtId="166" fontId="2" fillId="2" borderId="35" xfId="0" applyNumberFormat="1" applyFont="1" applyFill="1" applyBorder="1" applyAlignment="1">
      <alignment horizontal="center" vertical="center" wrapText="1"/>
    </xf>
    <xf numFmtId="166" fontId="2" fillId="2" borderId="3" xfId="0" applyNumberFormat="1" applyFont="1" applyFill="1" applyBorder="1" applyAlignment="1">
      <alignment horizontal="center" vertical="center" wrapText="1"/>
    </xf>
    <xf numFmtId="166" fontId="0" fillId="2" borderId="7" xfId="0" applyNumberFormat="1" applyFill="1" applyBorder="1" applyAlignment="1">
      <alignment horizontal="center" vertical="center"/>
    </xf>
    <xf numFmtId="166" fontId="0" fillId="2" borderId="6" xfId="0" applyNumberFormat="1" applyFill="1" applyBorder="1" applyAlignment="1">
      <alignment horizontal="center" vertical="center"/>
    </xf>
    <xf numFmtId="166" fontId="0" fillId="2" borderId="11" xfId="0" applyNumberFormat="1" applyFill="1" applyBorder="1" applyAlignment="1">
      <alignment horizontal="center" vertical="center"/>
    </xf>
    <xf numFmtId="166" fontId="0" fillId="2" borderId="14" xfId="0" applyNumberFormat="1" applyFill="1" applyBorder="1" applyAlignment="1">
      <alignment horizontal="center" vertical="center"/>
    </xf>
    <xf numFmtId="166" fontId="0" fillId="4" borderId="13" xfId="0" applyNumberFormat="1" applyFill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164" fontId="6" fillId="0" borderId="23" xfId="0" applyNumberFormat="1" applyFont="1" applyBorder="1" applyAlignment="1">
      <alignment horizontal="center" vertical="center"/>
    </xf>
    <xf numFmtId="164" fontId="6" fillId="0" borderId="24" xfId="0" applyNumberFormat="1" applyFont="1" applyBorder="1" applyAlignment="1">
      <alignment horizontal="center" vertical="center"/>
    </xf>
    <xf numFmtId="164" fontId="6" fillId="0" borderId="25" xfId="0" applyNumberFormat="1" applyFont="1" applyBorder="1" applyAlignment="1">
      <alignment horizontal="center" vertical="center"/>
    </xf>
    <xf numFmtId="20" fontId="0" fillId="0" borderId="11" xfId="0" applyNumberFormat="1" applyBorder="1" applyAlignment="1">
      <alignment horizontal="center" vertical="center"/>
    </xf>
    <xf numFmtId="20" fontId="0" fillId="0" borderId="14" xfId="0" applyNumberForma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165" fontId="5" fillId="0" borderId="4" xfId="0" applyNumberFormat="1" applyFont="1" applyBorder="1" applyAlignment="1">
      <alignment horizontal="center" vertical="center"/>
    </xf>
    <xf numFmtId="165" fontId="5" fillId="0" borderId="13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20" fontId="0" fillId="0" borderId="7" xfId="0" applyNumberFormat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2" fontId="0" fillId="5" borderId="9" xfId="0" applyNumberFormat="1" applyFill="1" applyBorder="1" applyAlignment="1">
      <alignment horizontal="center" vertical="center"/>
    </xf>
    <xf numFmtId="2" fontId="0" fillId="5" borderId="21" xfId="0" applyNumberForma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21" xfId="0" applyNumberFormat="1" applyFill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6" borderId="9" xfId="0" applyNumberFormat="1" applyFill="1" applyBorder="1" applyAlignment="1">
      <alignment horizontal="center" vertical="center"/>
    </xf>
    <xf numFmtId="2" fontId="0" fillId="6" borderId="21" xfId="0" applyNumberForma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2" fontId="0" fillId="5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4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5" borderId="27" xfId="0" quotePrefix="1" applyFill="1" applyBorder="1" applyAlignment="1">
      <alignment horizontal="center" vertical="center"/>
    </xf>
    <xf numFmtId="0" fontId="0" fillId="5" borderId="31" xfId="0" quotePrefix="1" applyFill="1" applyBorder="1" applyAlignment="1">
      <alignment horizontal="center" vertical="center"/>
    </xf>
    <xf numFmtId="0" fontId="0" fillId="6" borderId="27" xfId="0" quotePrefix="1" applyFill="1" applyBorder="1" applyAlignment="1">
      <alignment horizontal="center" vertical="center"/>
    </xf>
    <xf numFmtId="0" fontId="0" fillId="6" borderId="31" xfId="0" quotePrefix="1" applyFill="1" applyBorder="1" applyAlignment="1">
      <alignment horizontal="center" vertical="center"/>
    </xf>
    <xf numFmtId="0" fontId="0" fillId="0" borderId="27" xfId="0" quotePrefix="1" applyBorder="1" applyAlignment="1">
      <alignment horizontal="center" vertical="center"/>
    </xf>
    <xf numFmtId="0" fontId="0" fillId="0" borderId="31" xfId="0" quotePrefix="1" applyBorder="1" applyAlignment="1">
      <alignment horizontal="center" vertical="center"/>
    </xf>
    <xf numFmtId="0" fontId="0" fillId="4" borderId="27" xfId="0" quotePrefix="1" applyFill="1" applyBorder="1" applyAlignment="1">
      <alignment horizontal="center" vertical="center"/>
    </xf>
    <xf numFmtId="0" fontId="0" fillId="4" borderId="31" xfId="0" quotePrefix="1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8" borderId="9" xfId="0" applyFill="1" applyBorder="1" applyAlignment="1">
      <alignment horizontal="center" vertical="center"/>
    </xf>
    <xf numFmtId="49" fontId="2" fillId="8" borderId="9" xfId="0" applyNumberFormat="1" applyFont="1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49" fontId="2" fillId="8" borderId="21" xfId="0" applyNumberFormat="1" applyFont="1" applyFill="1" applyBorder="1" applyAlignment="1">
      <alignment horizontal="center" vertical="center"/>
    </xf>
    <xf numFmtId="166" fontId="2" fillId="9" borderId="1" xfId="0" applyNumberFormat="1" applyFont="1" applyFill="1" applyBorder="1" applyAlignment="1">
      <alignment horizontal="center" vertical="center"/>
    </xf>
    <xf numFmtId="0" fontId="0" fillId="8" borderId="20" xfId="0" applyFill="1" applyBorder="1" applyAlignment="1">
      <alignment vertical="center"/>
    </xf>
    <xf numFmtId="0" fontId="0" fillId="8" borderId="21" xfId="0" applyFill="1" applyBorder="1" applyAlignment="1">
      <alignment vertical="center"/>
    </xf>
    <xf numFmtId="0" fontId="0" fillId="8" borderId="21" xfId="0" applyFill="1" applyBorder="1" applyAlignment="1">
      <alignment horizontal="center" vertical="center"/>
    </xf>
  </cellXfs>
  <cellStyles count="1">
    <cellStyle name="Normal" xfId="0" builtinId="0"/>
  </cellStyles>
  <dxfs count="88">
    <dxf>
      <fill>
        <patternFill>
          <bgColor rgb="FFFF0000"/>
        </patternFill>
      </fill>
    </dxf>
    <dxf>
      <font>
        <b/>
        <i val="0"/>
        <color rgb="FFC00000"/>
      </font>
    </dxf>
    <dxf>
      <fill>
        <patternFill>
          <bgColor rgb="FFFFCCFF"/>
        </patternFill>
      </fill>
    </dxf>
    <dxf>
      <font>
        <b/>
        <i val="0"/>
        <color rgb="FFFF0000"/>
      </font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rgb="FFCC66FF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CC66"/>
        </patternFill>
      </fill>
    </dxf>
    <dxf>
      <fill>
        <patternFill>
          <bgColor rgb="FF99FFCC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00B050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rgb="FFCC66FF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CC66"/>
        </patternFill>
      </fill>
    </dxf>
    <dxf>
      <fill>
        <patternFill>
          <bgColor rgb="FF99FFCC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C00000"/>
      </font>
    </dxf>
    <dxf>
      <fill>
        <patternFill>
          <bgColor rgb="FFFFCCFF"/>
        </patternFill>
      </fill>
    </dxf>
    <dxf>
      <font>
        <b/>
        <i val="0"/>
        <color rgb="FFFF0000"/>
      </font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rgb="FFCC66FF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CC66"/>
        </patternFill>
      </fill>
    </dxf>
    <dxf>
      <fill>
        <patternFill>
          <bgColor rgb="FF99FFCC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00B050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rgb="FFCC66FF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CC66"/>
        </patternFill>
      </fill>
    </dxf>
    <dxf>
      <fill>
        <patternFill>
          <bgColor rgb="FF99FFCC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0000"/>
        </patternFill>
      </fill>
    </dxf>
    <dxf>
      <font>
        <b/>
        <i val="0"/>
        <color rgb="FFC00000"/>
      </font>
    </dxf>
    <dxf>
      <fill>
        <patternFill>
          <bgColor rgb="FFFFCCFF"/>
        </patternFill>
      </fill>
    </dxf>
    <dxf>
      <font>
        <b/>
        <i val="0"/>
        <color rgb="FFFF0000"/>
      </font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rgb="FFCC66FF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CC66"/>
        </patternFill>
      </fill>
    </dxf>
    <dxf>
      <fill>
        <patternFill>
          <bgColor rgb="FF99FFCC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00B050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rgb="FFCC66FF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CC66"/>
        </patternFill>
      </fill>
    </dxf>
    <dxf>
      <fill>
        <patternFill>
          <bgColor rgb="FF99FFCC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89806-2240-4E89-B768-D48FA6A67653}">
  <dimension ref="A1:BB71"/>
  <sheetViews>
    <sheetView tabSelected="1" topLeftCell="A13" zoomScale="90" zoomScaleNormal="90" workbookViewId="0">
      <pane xSplit="9" topLeftCell="T1" activePane="topRight" state="frozen"/>
      <selection pane="topRight" activeCell="U11" sqref="U11"/>
    </sheetView>
  </sheetViews>
  <sheetFormatPr baseColWidth="10" defaultColWidth="11.5703125" defaultRowHeight="15" x14ac:dyDescent="0.25"/>
  <cols>
    <col min="1" max="1" width="14.5703125" customWidth="1"/>
    <col min="2" max="2" width="14.7109375" customWidth="1"/>
    <col min="3" max="3" width="10.5703125" bestFit="1" customWidth="1"/>
    <col min="5" max="5" width="15.7109375" style="73" bestFit="1" customWidth="1"/>
    <col min="6" max="6" width="18.7109375" style="45" bestFit="1" customWidth="1"/>
    <col min="7" max="7" width="12.28515625" style="45" bestFit="1" customWidth="1"/>
    <col min="8" max="8" width="19.5703125" style="45" bestFit="1" customWidth="1"/>
    <col min="9" max="9" width="19.28515625" style="45" bestFit="1" customWidth="1"/>
    <col min="10" max="10" width="16" style="45" bestFit="1" customWidth="1"/>
    <col min="11" max="11" width="8.28515625" style="44" customWidth="1"/>
    <col min="12" max="12" width="13.7109375" style="44" customWidth="1"/>
    <col min="13" max="13" width="11.28515625" customWidth="1"/>
    <col min="15" max="15" width="9" customWidth="1"/>
    <col min="17" max="17" width="12.5703125" customWidth="1"/>
    <col min="18" max="18" width="4.5703125" hidden="1" customWidth="1"/>
    <col min="19" max="19" width="10.42578125" customWidth="1"/>
    <col min="20" max="21" width="10.5703125" customWidth="1"/>
    <col min="22" max="23" width="8.7109375" customWidth="1"/>
    <col min="24" max="24" width="11.42578125" style="104" bestFit="1" customWidth="1"/>
    <col min="25" max="25" width="11.28515625" style="104" bestFit="1" customWidth="1"/>
    <col min="26" max="26" width="11" style="104" customWidth="1"/>
    <col min="27" max="27" width="13.140625" style="104" bestFit="1" customWidth="1"/>
    <col min="28" max="28" width="3.5703125" style="105" customWidth="1"/>
    <col min="29" max="29" width="10.7109375" style="105" bestFit="1" customWidth="1"/>
    <col min="30" max="30" width="7.7109375" style="105" customWidth="1"/>
    <col min="31" max="31" width="10.7109375" style="105" bestFit="1" customWidth="1"/>
    <col min="32" max="32" width="7.7109375" style="105" customWidth="1"/>
    <col min="33" max="33" width="3.42578125" style="106" bestFit="1" customWidth="1"/>
    <col min="34" max="34" width="10.7109375" style="106" bestFit="1" customWidth="1"/>
    <col min="35" max="35" width="7.7109375" style="106" customWidth="1"/>
    <col min="36" max="36" width="10.7109375" style="106" bestFit="1" customWidth="1"/>
    <col min="37" max="37" width="7.7109375" style="106" customWidth="1"/>
    <col min="38" max="38" width="3.42578125" style="107" bestFit="1" customWidth="1"/>
    <col min="39" max="39" width="10.7109375" style="107" bestFit="1" customWidth="1"/>
    <col min="40" max="40" width="7.7109375" style="107" customWidth="1"/>
    <col min="41" max="41" width="10.7109375" style="107" bestFit="1" customWidth="1"/>
    <col min="42" max="42" width="7.7109375" style="107" customWidth="1"/>
    <col min="43" max="43" width="3.42578125" style="108" bestFit="1" customWidth="1"/>
    <col min="44" max="44" width="10.7109375" style="108" bestFit="1" customWidth="1"/>
    <col min="45" max="45" width="7.85546875" style="108" bestFit="1" customWidth="1"/>
    <col min="46" max="47" width="10.7109375" style="108" bestFit="1" customWidth="1"/>
    <col min="48" max="48" width="8.140625" customWidth="1"/>
    <col min="49" max="49" width="18.7109375" bestFit="1" customWidth="1"/>
    <col min="50" max="50" width="12.28515625" bestFit="1" customWidth="1"/>
    <col min="51" max="51" width="16.7109375" bestFit="1" customWidth="1"/>
    <col min="52" max="52" width="11" bestFit="1" customWidth="1"/>
    <col min="53" max="53" width="5.7109375" bestFit="1" customWidth="1"/>
    <col min="54" max="54" width="8.140625" customWidth="1"/>
  </cols>
  <sheetData>
    <row r="1" spans="1:54" ht="30.75" thickBot="1" x14ac:dyDescent="0.3">
      <c r="A1" s="1" t="s">
        <v>0</v>
      </c>
      <c r="B1" s="1" t="s">
        <v>152</v>
      </c>
      <c r="C1" s="2" t="s">
        <v>1</v>
      </c>
      <c r="D1" s="59" t="s">
        <v>2</v>
      </c>
      <c r="E1" s="65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67" t="s">
        <v>8</v>
      </c>
      <c r="K1" s="3" t="s">
        <v>9</v>
      </c>
      <c r="L1" s="1" t="s">
        <v>10</v>
      </c>
      <c r="M1" s="1" t="s">
        <v>12</v>
      </c>
      <c r="N1" s="1" t="s">
        <v>110</v>
      </c>
      <c r="O1" s="5" t="s">
        <v>13</v>
      </c>
      <c r="P1" s="6" t="s">
        <v>14</v>
      </c>
      <c r="Q1" s="6" t="s">
        <v>15</v>
      </c>
      <c r="R1" s="163" t="s">
        <v>111</v>
      </c>
      <c r="S1" s="164"/>
      <c r="T1" s="7" t="s">
        <v>112</v>
      </c>
      <c r="U1" s="10" t="s">
        <v>16</v>
      </c>
      <c r="V1" s="2" t="s">
        <v>17</v>
      </c>
      <c r="W1" s="75" t="s">
        <v>143</v>
      </c>
      <c r="X1" s="154" t="s">
        <v>21</v>
      </c>
      <c r="Y1" s="155"/>
      <c r="Z1" s="155" t="s">
        <v>22</v>
      </c>
      <c r="AA1" s="156"/>
      <c r="AB1" s="161" t="s">
        <v>24</v>
      </c>
      <c r="AC1" s="161"/>
      <c r="AD1" s="161"/>
      <c r="AE1" s="161"/>
      <c r="AF1" s="85">
        <v>0.25</v>
      </c>
      <c r="AG1" s="162" t="s">
        <v>25</v>
      </c>
      <c r="AH1" s="162"/>
      <c r="AI1" s="162"/>
      <c r="AJ1" s="162"/>
      <c r="AK1" s="37">
        <v>0.5</v>
      </c>
      <c r="AL1" s="152" t="s">
        <v>26</v>
      </c>
      <c r="AM1" s="152"/>
      <c r="AN1" s="152"/>
      <c r="AO1" s="152"/>
      <c r="AP1" s="86">
        <v>1.25</v>
      </c>
      <c r="AQ1" s="153" t="s">
        <v>27</v>
      </c>
      <c r="AR1" s="153"/>
      <c r="AS1" s="153"/>
      <c r="AT1" s="153"/>
      <c r="AU1" s="78">
        <v>0.2</v>
      </c>
      <c r="AV1" s="8"/>
      <c r="AW1" s="8"/>
      <c r="AX1" s="8"/>
      <c r="AY1" s="8"/>
      <c r="AZ1" s="8"/>
      <c r="BA1" s="8"/>
      <c r="BB1" s="8"/>
    </row>
    <row r="2" spans="1:54" s="9" customFormat="1" ht="16.5" thickBot="1" x14ac:dyDescent="0.3">
      <c r="A2" s="60" t="s">
        <v>18</v>
      </c>
      <c r="B2" s="10" t="e">
        <f>+_xlfn.ISOWEEKNUM(C2)</f>
        <v>#VALUE!</v>
      </c>
      <c r="C2" s="174" t="s">
        <v>144</v>
      </c>
      <c r="D2" s="174"/>
      <c r="E2" s="174"/>
      <c r="F2" s="174"/>
      <c r="G2" s="174"/>
      <c r="H2" s="176" t="s">
        <v>36</v>
      </c>
      <c r="I2" s="165" t="s">
        <v>36</v>
      </c>
      <c r="J2" s="165" t="s">
        <v>36</v>
      </c>
      <c r="K2" s="165" t="s">
        <v>36</v>
      </c>
      <c r="L2" s="165" t="s">
        <v>36</v>
      </c>
      <c r="M2" s="165" t="s">
        <v>36</v>
      </c>
      <c r="N2" s="165" t="s">
        <v>36</v>
      </c>
      <c r="O2" s="165" t="s">
        <v>36</v>
      </c>
      <c r="P2" s="165" t="s">
        <v>36</v>
      </c>
      <c r="Q2" s="165" t="s">
        <v>36</v>
      </c>
      <c r="R2" s="178">
        <v>0.875</v>
      </c>
      <c r="S2" s="179"/>
      <c r="T2" s="46">
        <v>0.79166666666666663</v>
      </c>
      <c r="U2" s="165" t="s">
        <v>36</v>
      </c>
      <c r="V2" s="165" t="s">
        <v>36</v>
      </c>
      <c r="W2" s="165" t="s">
        <v>36</v>
      </c>
      <c r="X2" s="157" t="str">
        <f>+X1</f>
        <v>coefficients</v>
      </c>
      <c r="Y2" s="158"/>
      <c r="Z2" s="157" t="str">
        <f>+Z1</f>
        <v>TAUX salaire de base</v>
      </c>
      <c r="AA2" s="158"/>
      <c r="AB2" s="161" t="s">
        <v>24</v>
      </c>
      <c r="AC2" s="161"/>
      <c r="AD2" s="161"/>
      <c r="AE2" s="161"/>
      <c r="AF2" s="85">
        <v>0.25</v>
      </c>
      <c r="AG2" s="162" t="s">
        <v>25</v>
      </c>
      <c r="AH2" s="162"/>
      <c r="AI2" s="162"/>
      <c r="AJ2" s="162"/>
      <c r="AK2" s="37">
        <v>0.5</v>
      </c>
      <c r="AL2" s="152" t="s">
        <v>26</v>
      </c>
      <c r="AM2" s="152"/>
      <c r="AN2" s="152"/>
      <c r="AO2" s="152"/>
      <c r="AP2" s="86">
        <v>1.25</v>
      </c>
      <c r="AQ2" s="153" t="s">
        <v>27</v>
      </c>
      <c r="AR2" s="153"/>
      <c r="AS2" s="153"/>
      <c r="AT2" s="153"/>
      <c r="AU2" s="78">
        <v>0.2</v>
      </c>
      <c r="AW2" s="180" t="s">
        <v>19</v>
      </c>
      <c r="AX2" s="181"/>
      <c r="AY2" s="181"/>
      <c r="AZ2" s="181"/>
      <c r="BA2" s="182"/>
    </row>
    <row r="3" spans="1:54" s="9" customFormat="1" x14ac:dyDescent="0.25">
      <c r="A3" s="61" t="str">
        <f>+C2</f>
        <v>00-00-00</v>
      </c>
      <c r="B3" s="62" t="e">
        <f>+A3+6</f>
        <v>#VALUE!</v>
      </c>
      <c r="C3" s="175"/>
      <c r="D3" s="175"/>
      <c r="E3" s="175"/>
      <c r="F3" s="175"/>
      <c r="G3" s="175"/>
      <c r="H3" s="177"/>
      <c r="I3" s="166"/>
      <c r="J3" s="166"/>
      <c r="K3" s="166"/>
      <c r="L3" s="166"/>
      <c r="M3" s="166"/>
      <c r="N3" s="166"/>
      <c r="O3" s="166"/>
      <c r="P3" s="166"/>
      <c r="Q3" s="166"/>
      <c r="R3" s="170">
        <v>0.25</v>
      </c>
      <c r="S3" s="171"/>
      <c r="T3" s="47">
        <v>0.91666666666666663</v>
      </c>
      <c r="U3" s="166"/>
      <c r="V3" s="166"/>
      <c r="W3" s="166"/>
      <c r="X3" s="159"/>
      <c r="Y3" s="160"/>
      <c r="Z3" s="159"/>
      <c r="AA3" s="160"/>
      <c r="AB3" s="87" t="s">
        <v>106</v>
      </c>
      <c r="AC3" s="88" t="s">
        <v>33</v>
      </c>
      <c r="AD3" s="88" t="s">
        <v>34</v>
      </c>
      <c r="AE3" s="88" t="s">
        <v>33</v>
      </c>
      <c r="AF3" s="88" t="s">
        <v>34</v>
      </c>
      <c r="AG3" s="89" t="s">
        <v>106</v>
      </c>
      <c r="AH3" s="90" t="s">
        <v>33</v>
      </c>
      <c r="AI3" s="90" t="s">
        <v>34</v>
      </c>
      <c r="AJ3" s="90" t="s">
        <v>33</v>
      </c>
      <c r="AK3" s="90" t="s">
        <v>34</v>
      </c>
      <c r="AL3" s="91" t="s">
        <v>106</v>
      </c>
      <c r="AM3" s="92" t="s">
        <v>33</v>
      </c>
      <c r="AN3" s="92" t="s">
        <v>34</v>
      </c>
      <c r="AO3" s="92" t="s">
        <v>33</v>
      </c>
      <c r="AP3" s="92" t="s">
        <v>34</v>
      </c>
      <c r="AQ3" s="93" t="s">
        <v>106</v>
      </c>
      <c r="AR3" s="94" t="s">
        <v>33</v>
      </c>
      <c r="AS3" s="94" t="s">
        <v>34</v>
      </c>
      <c r="AT3" s="94" t="s">
        <v>33</v>
      </c>
      <c r="AU3" s="94" t="s">
        <v>34</v>
      </c>
      <c r="AW3" s="48" t="s">
        <v>28</v>
      </c>
      <c r="AX3" s="49" t="s">
        <v>29</v>
      </c>
      <c r="AY3" s="50" t="s">
        <v>30</v>
      </c>
      <c r="AZ3" s="50" t="s">
        <v>31</v>
      </c>
      <c r="BA3" s="51" t="s">
        <v>32</v>
      </c>
    </row>
    <row r="4" spans="1:54" s="55" customFormat="1" ht="28.9" customHeight="1" x14ac:dyDescent="0.25">
      <c r="A4" s="52" t="str">
        <f>+A1</f>
        <v xml:space="preserve">N° Facture </v>
      </c>
      <c r="B4" s="52" t="str">
        <f>+B1</f>
        <v xml:space="preserve">Cent - DR </v>
      </c>
      <c r="C4" s="52" t="str">
        <f t="shared" ref="C4:V4" si="0">+C1</f>
        <v>Site</v>
      </c>
      <c r="D4" s="52" t="str">
        <f t="shared" si="0"/>
        <v>DATE</v>
      </c>
      <c r="E4" s="53" t="str">
        <f t="shared" si="0"/>
        <v>Agence</v>
      </c>
      <c r="F4" s="53" t="str">
        <f t="shared" si="0"/>
        <v>Poste</v>
      </c>
      <c r="G4" s="53" t="str">
        <f t="shared" si="0"/>
        <v>Horaires</v>
      </c>
      <c r="H4" s="53" t="str">
        <f t="shared" si="0"/>
        <v>Nom</v>
      </c>
      <c r="I4" s="53" t="str">
        <f t="shared" si="0"/>
        <v>Prénom</v>
      </c>
      <c r="J4" s="53" t="str">
        <f t="shared" si="0"/>
        <v>Heure prise de poste</v>
      </c>
      <c r="K4" s="63" t="str">
        <f t="shared" si="0"/>
        <v xml:space="preserve">Pauses </v>
      </c>
      <c r="L4" s="52" t="str">
        <f t="shared" si="0"/>
        <v>Heure de Fin de Poste</v>
      </c>
      <c r="M4" s="52" t="str">
        <f t="shared" si="0"/>
        <v>Total des heures</v>
      </c>
      <c r="N4" s="52" t="str">
        <f t="shared" si="0"/>
        <v>Total effectué</v>
      </c>
      <c r="O4" s="52" t="str">
        <f t="shared" si="0"/>
        <v>Total Présent</v>
      </c>
      <c r="P4" s="52" t="str">
        <f t="shared" si="0"/>
        <v>Heures au centièmes</v>
      </c>
      <c r="Q4" s="52" t="str">
        <f t="shared" si="0"/>
        <v>Total des heures SUP</v>
      </c>
      <c r="R4" s="172" t="str">
        <f t="shared" si="0"/>
        <v>TOTAL Nuit</v>
      </c>
      <c r="S4" s="173"/>
      <c r="T4" s="70" t="str">
        <f t="shared" si="0"/>
        <v xml:space="preserve">Panier </v>
      </c>
      <c r="U4" s="52" t="str">
        <f t="shared" si="0"/>
        <v xml:space="preserve">Jour Férier </v>
      </c>
      <c r="V4" s="52" t="str">
        <f t="shared" si="0"/>
        <v>Contrat</v>
      </c>
      <c r="W4" s="52" t="str">
        <f>+W1</f>
        <v>Taux salaire</v>
      </c>
      <c r="X4" s="95" t="s">
        <v>33</v>
      </c>
      <c r="Y4" s="95" t="s">
        <v>34</v>
      </c>
      <c r="Z4" s="95" t="s">
        <v>33</v>
      </c>
      <c r="AA4" s="95" t="s">
        <v>34</v>
      </c>
      <c r="AB4" s="96" t="s">
        <v>36</v>
      </c>
      <c r="AC4" s="97" t="s">
        <v>33</v>
      </c>
      <c r="AD4" s="97" t="s">
        <v>34</v>
      </c>
      <c r="AE4" s="97" t="s">
        <v>33</v>
      </c>
      <c r="AF4" s="97" t="s">
        <v>34</v>
      </c>
      <c r="AG4" s="98" t="s">
        <v>36</v>
      </c>
      <c r="AH4" s="99" t="s">
        <v>33</v>
      </c>
      <c r="AI4" s="99" t="s">
        <v>34</v>
      </c>
      <c r="AJ4" s="99" t="s">
        <v>33</v>
      </c>
      <c r="AK4" s="99" t="s">
        <v>34</v>
      </c>
      <c r="AL4" s="100" t="s">
        <v>36</v>
      </c>
      <c r="AM4" s="101" t="s">
        <v>33</v>
      </c>
      <c r="AN4" s="101" t="s">
        <v>34</v>
      </c>
      <c r="AO4" s="101" t="s">
        <v>33</v>
      </c>
      <c r="AP4" s="101" t="s">
        <v>34</v>
      </c>
      <c r="AQ4" s="102" t="s">
        <v>36</v>
      </c>
      <c r="AR4" s="103" t="s">
        <v>33</v>
      </c>
      <c r="AS4" s="103" t="s">
        <v>34</v>
      </c>
      <c r="AT4" s="103" t="s">
        <v>33</v>
      </c>
      <c r="AU4" s="103" t="s">
        <v>34</v>
      </c>
      <c r="AV4" s="54"/>
      <c r="AW4" s="11" t="s">
        <v>35</v>
      </c>
      <c r="AX4" s="12">
        <f>+SUMIF(F5:F70,"Accueil",O5:O70)</f>
        <v>0</v>
      </c>
      <c r="AY4" s="13">
        <f>+SUMIF(F5:F70,"Accueil",P5:P70)</f>
        <v>0</v>
      </c>
      <c r="AZ4" s="13">
        <f>+SUMIF(F5:F70,"Accueil",Q5:Q70)</f>
        <v>0</v>
      </c>
      <c r="BA4" s="14">
        <f>+SUMIF(F5:F70,"Accueil",S5:S70)</f>
        <v>0</v>
      </c>
      <c r="BB4" s="54"/>
    </row>
    <row r="5" spans="1:54" x14ac:dyDescent="0.25">
      <c r="A5" s="15" t="s">
        <v>36</v>
      </c>
      <c r="B5" s="3" t="s">
        <v>153</v>
      </c>
      <c r="C5" s="56" t="str">
        <f>+VLOOKUP(E5,info!H:I,2,FALSE)</f>
        <v>Armado</v>
      </c>
      <c r="D5" s="16" t="str">
        <f>+C2</f>
        <v>00-00-00</v>
      </c>
      <c r="E5" s="69" t="s">
        <v>46</v>
      </c>
      <c r="F5" s="17" t="s">
        <v>35</v>
      </c>
      <c r="G5" s="17" t="s">
        <v>47</v>
      </c>
      <c r="H5" s="17"/>
      <c r="I5" s="17"/>
      <c r="J5" s="4"/>
      <c r="K5" s="3" t="str">
        <f>IF(OR(ISTEXT(J5),ISBLANK(J5)),"","00:30")</f>
        <v/>
      </c>
      <c r="L5" s="3"/>
      <c r="M5" s="3" t="str">
        <f t="shared" ref="M5:M68" si="1">IFERROR(IF(ISBLANK(J5),"",IF(L5&lt;J5,1+L5,L5)-J5),"")</f>
        <v/>
      </c>
      <c r="N5" s="3" t="str">
        <f t="shared" ref="N5:N68" si="2">IFERROR(M5-K5,"")</f>
        <v/>
      </c>
      <c r="O5" s="15" t="str">
        <f t="shared" ref="O5:O68" si="3">+IF(L5&gt;0,1,"")</f>
        <v/>
      </c>
      <c r="P5" s="2" t="str">
        <f>+IFERROR(N5*24,"")</f>
        <v/>
      </c>
      <c r="Q5" s="2" t="str">
        <f t="shared" ref="Q5:Q70" si="4">IFERROR(IF(P5&gt;7,P5-7,""),"")</f>
        <v/>
      </c>
      <c r="R5" s="3" t="str">
        <f t="shared" ref="R5:R68" si="5">IFERROR(IF(L5&lt;J5,MIN(1-$R$2,1-J5)+MIN(L5,$R$3)-K5,IF(L5&gt;$R$2,L5-$R$2,IF(AND(J5&lt;$R$3,J5&gt;0),$R$3-J5,""))),"")</f>
        <v/>
      </c>
      <c r="S5" s="2" t="str">
        <f>IFERROR(R5*24,"")</f>
        <v/>
      </c>
      <c r="T5" s="15">
        <f t="shared" ref="T5:T68" si="6">IFERROR(IF(AND(J5&lt;=$T$2,MOD(L5-J5,1)&gt;=$T$3-J5),1,0),0)</f>
        <v>0</v>
      </c>
      <c r="U5" s="10"/>
      <c r="V5" s="2">
        <v>35</v>
      </c>
      <c r="W5" s="2">
        <v>11.52</v>
      </c>
      <c r="X5" s="236" cm="1">
        <f t="array" ref="X5">SUMPRODUCT((info!$H$4:$H$58=Feuil1!$E5)*(info!$K$4:$K$58&lt;=Feuil1!$W5)*(info!$L$4:$L$58&gt;=Feuil1!$W5),info!$M$4:$M$58)</f>
        <v>0</v>
      </c>
      <c r="Y5" s="236" cm="1">
        <f t="array" ref="Y5">SUMPRODUCT((info!$H$4:$H$58=Feuil1!$E5)*(info!$K$4:$K$58&lt;=Feuil1!$W5)*(info!$L$4:$L$58&gt;=Feuil1!$W5),info!$N$4:$N$58)</f>
        <v>0</v>
      </c>
      <c r="Z5" s="83">
        <f>IFERROR(+$W5*X5,"")</f>
        <v>0</v>
      </c>
      <c r="AA5" s="83">
        <f>IFERROR(+$W5*Y5,"")</f>
        <v>0</v>
      </c>
      <c r="AB5" s="76" t="s">
        <v>36</v>
      </c>
      <c r="AC5" s="77" t="str">
        <f>IF(+VLOOKUP($E5,info!$H:$Z,7,FALSE),+VLOOKUP($E5,info!$H:$Z,7,FALSE),"")</f>
        <v/>
      </c>
      <c r="AD5" s="77" t="str">
        <f>IF(+VLOOKUP($E5,info!$H:$Z,8,FALSE),+VLOOKUP($E5,info!$H:$Z,8,FALSE),"")</f>
        <v/>
      </c>
      <c r="AE5" s="77" t="str">
        <f>IFERROR(+$W5*AC5*$AF$1,"")</f>
        <v/>
      </c>
      <c r="AF5" s="77" t="str">
        <f>IFERROR(+$W5*AD5*$AF$1,"")</f>
        <v/>
      </c>
      <c r="AG5" s="64" t="s">
        <v>36</v>
      </c>
      <c r="AH5" s="58" t="str">
        <f>IF(+VLOOKUP($E5,info!$H:$Z,10,FALSE),+VLOOKUP($E5,info!$H:$Z,10,FALSE),"")</f>
        <v/>
      </c>
      <c r="AI5" s="58" t="str">
        <f>IF(+VLOOKUP($E5,info!$H:$Z,11,FALSE),+VLOOKUP($E5,info!$H:$Z,11,FALSE),"")</f>
        <v/>
      </c>
      <c r="AJ5" s="58" t="str">
        <f>IFERROR(+$W5*AH5*$AK$1,"")</f>
        <v/>
      </c>
      <c r="AK5" s="58" t="str">
        <f>IFERROR(+$W5*AI5*$AK$1,"")</f>
        <v/>
      </c>
      <c r="AL5" s="81" t="s">
        <v>36</v>
      </c>
      <c r="AM5" s="82" t="str">
        <f>IF(+VLOOKUP($E5,info!$H:$Z,13,FALSE),+VLOOKUP($E5,info!$H:$Z,13,FALSE),"")</f>
        <v/>
      </c>
      <c r="AN5" s="82" t="str">
        <f>IF(+VLOOKUP($E5,info!$H:$Z,14,FALSE),+VLOOKUP($E5,info!$H:$Z,14,FALSE),"")</f>
        <v/>
      </c>
      <c r="AO5" s="82" t="str">
        <f>IFERROR(+$W5*AM5*$AP$1,"")</f>
        <v/>
      </c>
      <c r="AP5" s="82" t="str">
        <f>IFERROR(+$W5*AN5*$AP$1,"")</f>
        <v/>
      </c>
      <c r="AQ5" s="79" t="s">
        <v>36</v>
      </c>
      <c r="AR5" s="80" t="str">
        <f>IF(+VLOOKUP($E5,info!$H:$Z,16,FALSE),+VLOOKUP($E5,info!$H:$Z,16,FALSE),"")</f>
        <v/>
      </c>
      <c r="AS5" s="80" t="str">
        <f>IF(+VLOOKUP($E5,info!$H:$Z,17,FALSE),+VLOOKUP($E5,info!$H:$Z,17,FALSE),"")</f>
        <v/>
      </c>
      <c r="AT5" s="80" t="str">
        <f>IFERROR(+$W5*AR5*$AU$1,"")</f>
        <v/>
      </c>
      <c r="AU5" s="80" t="str">
        <f>IFERROR(+$W5*AS5*$AU$1,"")</f>
        <v/>
      </c>
      <c r="AV5" s="57"/>
      <c r="AW5" s="11" t="s">
        <v>37</v>
      </c>
      <c r="AX5" s="12">
        <f>+SUMIF(F5:F70,"Agréeur",O5:O70)</f>
        <v>0</v>
      </c>
      <c r="AY5" s="13">
        <f>+SUMIF(F5:F70,"Agréeur",P5:P70)</f>
        <v>0</v>
      </c>
      <c r="AZ5" s="13">
        <f>+SUMIF(F5:F70,"Agréeur",Q5:Q70)</f>
        <v>0</v>
      </c>
      <c r="BA5" s="14">
        <f>+SUMIF(F5:F70,"Agréeur",S5:S70)</f>
        <v>0</v>
      </c>
      <c r="BB5" s="57"/>
    </row>
    <row r="6" spans="1:54" x14ac:dyDescent="0.25">
      <c r="A6" s="15" t="s">
        <v>36</v>
      </c>
      <c r="B6" s="3" t="s">
        <v>153</v>
      </c>
      <c r="C6" s="56" t="str">
        <f>+VLOOKUP(E6,info!H:I,2,FALSE)</f>
        <v>PIXID</v>
      </c>
      <c r="D6" s="16" t="str">
        <f>+$D$5</f>
        <v>00-00-00</v>
      </c>
      <c r="E6" s="18" t="s">
        <v>40</v>
      </c>
      <c r="F6" s="18" t="s">
        <v>35</v>
      </c>
      <c r="G6" s="18" t="s">
        <v>44</v>
      </c>
      <c r="H6" s="18"/>
      <c r="I6" s="18"/>
      <c r="J6" s="4" t="str">
        <f t="shared" ref="J6:J69" si="7">+IF(I6="/","/","")</f>
        <v/>
      </c>
      <c r="K6" s="3" t="str">
        <f t="shared" ref="K6:K69" si="8">IF(OR(ISTEXT(J6),ISBLANK(J6)),"","00:30")</f>
        <v/>
      </c>
      <c r="L6" s="3"/>
      <c r="M6" s="3" t="str">
        <f t="shared" si="1"/>
        <v/>
      </c>
      <c r="N6" s="3" t="str">
        <f>IFERROR(M6-K6,"")</f>
        <v/>
      </c>
      <c r="O6" s="15" t="str">
        <f t="shared" si="3"/>
        <v/>
      </c>
      <c r="P6" s="2" t="str">
        <f t="shared" ref="P6:P69" si="9">+IFERROR(N6*24,"")</f>
        <v/>
      </c>
      <c r="Q6" s="2" t="str">
        <f t="shared" si="4"/>
        <v/>
      </c>
      <c r="R6" s="3" t="str">
        <f>IFERROR(IF(L6&lt;J6,MIN(1-$R$2,1-J6)+MIN(L6,$R$3)-K6,IF(L6&gt;$R$2,L6-$R$2,IF(AND(J6&lt;$R$3,J6&gt;0),$R$3-J6,""))),"")</f>
        <v/>
      </c>
      <c r="S6" s="2" t="str">
        <f t="shared" ref="S6:S70" si="10">IFERROR(R6*24,"")</f>
        <v/>
      </c>
      <c r="T6" s="15">
        <f t="shared" si="6"/>
        <v>0</v>
      </c>
      <c r="U6" s="10"/>
      <c r="V6" s="2">
        <f t="shared" ref="V6:V8" si="11">+IF(I6="/","/",35)</f>
        <v>35</v>
      </c>
      <c r="W6" s="2">
        <v>12.52</v>
      </c>
      <c r="X6" s="236" cm="1">
        <f t="array" ref="X6">SUMPRODUCT((info!$H$4:$H$58=Feuil1!$E6)*(info!$K$4:$K$58&lt;=Feuil1!$W6)*(info!$L$4:$L$58&gt;=Feuil1!$W6),info!$M$4:$M$58)</f>
        <v>1.98</v>
      </c>
      <c r="Y6" s="236" cm="1">
        <f t="array" ref="Y6">SUMPRODUCT((info!$H$4:$H$58=Feuil1!$E6)*(info!$K$4:$K$58&lt;=Feuil1!$W6)*(info!$L$4:$L$58&gt;=Feuil1!$W6),info!$N$4:$N$58)</f>
        <v>1.95</v>
      </c>
      <c r="Z6" s="83">
        <f t="shared" ref="Z6:Z69" si="12">IFERROR(+$W6*X6,"")</f>
        <v>24.7896</v>
      </c>
      <c r="AA6" s="83">
        <f t="shared" ref="AA6:AA69" si="13">IFERROR(+$W6*Y6,"")</f>
        <v>24.413999999999998</v>
      </c>
      <c r="AB6" s="76" t="s">
        <v>36</v>
      </c>
      <c r="AC6" s="77">
        <f>IF(+VLOOKUP($E6,info!$H:$Z,7,FALSE),+VLOOKUP($E6,info!$H:$Z,7,FALSE),"")</f>
        <v>1.82</v>
      </c>
      <c r="AD6" s="77" t="str">
        <f>IF(+VLOOKUP($E6,info!$H:$Z,8,FALSE),+VLOOKUP($E6,info!$H:$Z,8,FALSE),"")</f>
        <v/>
      </c>
      <c r="AE6" s="77">
        <f t="shared" ref="AE6:AE69" si="14">IFERROR(+$W6*AC6*$AF$1,"")</f>
        <v>5.6966000000000001</v>
      </c>
      <c r="AF6" s="77" t="str">
        <f t="shared" ref="AF6:AF69" si="15">IFERROR(+$W6*AD6*$AF$1,"")</f>
        <v/>
      </c>
      <c r="AG6" s="64" t="s">
        <v>36</v>
      </c>
      <c r="AH6" s="58">
        <f>IF(+VLOOKUP($E6,info!$H:$Z,10,FALSE),+VLOOKUP($E6,info!$H:$Z,10,FALSE),"")</f>
        <v>1.82</v>
      </c>
      <c r="AI6" s="58" t="str">
        <f>IF(+VLOOKUP($E6,info!$H:$Z,11,FALSE),+VLOOKUP($E6,info!$H:$Z,11,FALSE),"")</f>
        <v/>
      </c>
      <c r="AJ6" s="58">
        <f t="shared" ref="AJ6:AJ69" si="16">IFERROR(+$W6*AH6*$AK$1,"")</f>
        <v>11.3932</v>
      </c>
      <c r="AK6" s="58" t="str">
        <f t="shared" ref="AK6:AK69" si="17">IFERROR(+$W6*AI6*$AK$1,"")</f>
        <v/>
      </c>
      <c r="AL6" s="81" t="s">
        <v>36</v>
      </c>
      <c r="AM6" s="82">
        <f>IF(+VLOOKUP($E6,info!$H:$Z,13,FALSE),+VLOOKUP($E6,info!$H:$Z,13,FALSE),"")</f>
        <v>1.82</v>
      </c>
      <c r="AN6" s="82" t="str">
        <f>IF(+VLOOKUP($E6,info!$H:$Z,14,FALSE),+VLOOKUP($E6,info!$H:$Z,14,FALSE),"")</f>
        <v/>
      </c>
      <c r="AO6" s="82">
        <f t="shared" ref="AO6:AO69" si="18">IFERROR(+$W6*AM6*$AP$1,"")</f>
        <v>28.483000000000001</v>
      </c>
      <c r="AP6" s="82" t="str">
        <f t="shared" ref="AP6:AP69" si="19">IFERROR(+$W6*AN6*$AP$1,"")</f>
        <v/>
      </c>
      <c r="AQ6" s="79" t="s">
        <v>36</v>
      </c>
      <c r="AR6" s="80">
        <f>IF(+VLOOKUP($E6,info!$H:$Z,16,FALSE),+VLOOKUP($E6,info!$H:$Z,16,FALSE),"")</f>
        <v>1.82</v>
      </c>
      <c r="AS6" s="80" t="str">
        <f>IF(+VLOOKUP($E6,info!$H:$Z,17,FALSE),+VLOOKUP($E6,info!$H:$Z,17,FALSE),"")</f>
        <v/>
      </c>
      <c r="AT6" s="80">
        <f t="shared" ref="AT6:AT69" si="20">IFERROR(+$W6*AR6*$AU$1,"")</f>
        <v>4.5572800000000004</v>
      </c>
      <c r="AU6" s="80" t="str">
        <f t="shared" ref="AU6:AU69" si="21">IFERROR(+$W6*AS6*$AU$1,"")</f>
        <v/>
      </c>
      <c r="AV6" s="57"/>
      <c r="AW6" s="11" t="s">
        <v>39</v>
      </c>
      <c r="AX6" s="12">
        <f>+SUMIF(F5:F70,"Tireur matin",O5:O70)</f>
        <v>0</v>
      </c>
      <c r="AY6" s="13">
        <f>+SUMIF(F5:F70,"Tireur matin",P5:P70)</f>
        <v>0</v>
      </c>
      <c r="AZ6" s="13">
        <f>+SUMIF(F5:F70,"Tireur matin",Q5:Q70)</f>
        <v>0</v>
      </c>
      <c r="BA6" s="14">
        <f>+SUMIF(F5:F70,"Tireur matin",S5:S70)</f>
        <v>0</v>
      </c>
      <c r="BB6" s="57"/>
    </row>
    <row r="7" spans="1:54" x14ac:dyDescent="0.25">
      <c r="A7" s="15" t="s">
        <v>36</v>
      </c>
      <c r="B7" s="3" t="s">
        <v>153</v>
      </c>
      <c r="C7" s="56" t="str">
        <f>+VLOOKUP(E7,info!H:I,2,FALSE)</f>
        <v>-</v>
      </c>
      <c r="D7" s="16" t="str">
        <f t="shared" ref="D7:D70" si="22">+$D$5</f>
        <v>00-00-00</v>
      </c>
      <c r="E7" s="65" t="s">
        <v>36</v>
      </c>
      <c r="F7" s="65" t="s">
        <v>36</v>
      </c>
      <c r="G7" s="65" t="s">
        <v>36</v>
      </c>
      <c r="H7" s="65" t="s">
        <v>36</v>
      </c>
      <c r="I7" s="65" t="s">
        <v>108</v>
      </c>
      <c r="J7" s="4" t="str">
        <f>+IF(I7="/","/","")</f>
        <v>/</v>
      </c>
      <c r="K7" s="3" t="str">
        <f t="shared" si="8"/>
        <v/>
      </c>
      <c r="L7" s="3"/>
      <c r="M7" s="3" t="str">
        <f t="shared" si="1"/>
        <v/>
      </c>
      <c r="N7" s="3" t="str">
        <f t="shared" si="2"/>
        <v/>
      </c>
      <c r="O7" s="15" t="str">
        <f t="shared" si="3"/>
        <v/>
      </c>
      <c r="P7" s="2" t="str">
        <f t="shared" si="9"/>
        <v/>
      </c>
      <c r="Q7" s="2" t="str">
        <f t="shared" si="4"/>
        <v/>
      </c>
      <c r="R7" s="3" t="str">
        <f t="shared" si="5"/>
        <v/>
      </c>
      <c r="S7" s="2" t="str">
        <f t="shared" si="10"/>
        <v/>
      </c>
      <c r="T7" s="15">
        <f t="shared" si="6"/>
        <v>0</v>
      </c>
      <c r="U7" s="10"/>
      <c r="V7" s="2" t="str">
        <f t="shared" si="11"/>
        <v>/</v>
      </c>
      <c r="W7" s="2">
        <v>13.52</v>
      </c>
      <c r="X7" s="236" cm="1">
        <f t="array" ref="X7">SUMPRODUCT((info!$H$4:$H$58=Feuil1!$E7)*(info!$K$4:$K$58&lt;=Feuil1!$W7)*(info!$L$4:$L$58&gt;=Feuil1!$W7),info!$M$4:$M$58)</f>
        <v>0</v>
      </c>
      <c r="Y7" s="236" cm="1">
        <f t="array" ref="Y7">SUMPRODUCT((info!$H$4:$H$58=Feuil1!$E7)*(info!$K$4:$K$58&lt;=Feuil1!$W7)*(info!$L$4:$L$58&gt;=Feuil1!$W7),info!$N$4:$N$58)</f>
        <v>0</v>
      </c>
      <c r="Z7" s="83">
        <f t="shared" si="12"/>
        <v>0</v>
      </c>
      <c r="AA7" s="83">
        <f t="shared" si="13"/>
        <v>0</v>
      </c>
      <c r="AB7" s="76" t="s">
        <v>36</v>
      </c>
      <c r="AC7" s="77" t="str">
        <f>IF(+VLOOKUP($E7,info!$H:$Z,7,FALSE),+VLOOKUP($E7,info!$H:$Z,7,FALSE),"")</f>
        <v/>
      </c>
      <c r="AD7" s="77" t="str">
        <f>IF(+VLOOKUP($E7,info!$H:$Z,8,FALSE),+VLOOKUP($E7,info!$H:$Z,8,FALSE),"")</f>
        <v/>
      </c>
      <c r="AE7" s="77" t="str">
        <f t="shared" si="14"/>
        <v/>
      </c>
      <c r="AF7" s="77" t="str">
        <f t="shared" si="15"/>
        <v/>
      </c>
      <c r="AG7" s="64" t="s">
        <v>36</v>
      </c>
      <c r="AH7" s="58" t="str">
        <f>IF(+VLOOKUP($E7,info!$H:$Z,10,FALSE),+VLOOKUP($E7,info!$H:$Z,10,FALSE),"")</f>
        <v/>
      </c>
      <c r="AI7" s="58" t="str">
        <f>IF(+VLOOKUP($E7,info!$H:$Z,11,FALSE),+VLOOKUP($E7,info!$H:$Z,11,FALSE),"")</f>
        <v/>
      </c>
      <c r="AJ7" s="58" t="str">
        <f t="shared" si="16"/>
        <v/>
      </c>
      <c r="AK7" s="58" t="str">
        <f t="shared" si="17"/>
        <v/>
      </c>
      <c r="AL7" s="81" t="s">
        <v>36</v>
      </c>
      <c r="AM7" s="82" t="str">
        <f>IF(+VLOOKUP($E7,info!$H:$Z,13,FALSE),+VLOOKUP($E7,info!$H:$Z,13,FALSE),"")</f>
        <v/>
      </c>
      <c r="AN7" s="82" t="str">
        <f>IF(+VLOOKUP($E7,info!$H:$Z,14,FALSE),+VLOOKUP($E7,info!$H:$Z,14,FALSE),"")</f>
        <v/>
      </c>
      <c r="AO7" s="82" t="str">
        <f t="shared" si="18"/>
        <v/>
      </c>
      <c r="AP7" s="82" t="str">
        <f t="shared" si="19"/>
        <v/>
      </c>
      <c r="AQ7" s="79" t="s">
        <v>36</v>
      </c>
      <c r="AR7" s="80" t="str">
        <f>IF(+VLOOKUP($E7,info!$H:$Z,16,FALSE),+VLOOKUP($E7,info!$H:$Z,16,FALSE),"")</f>
        <v/>
      </c>
      <c r="AS7" s="80" t="str">
        <f>IF(+VLOOKUP($E7,info!$H:$Z,17,FALSE),+VLOOKUP($E7,info!$H:$Z,17,FALSE),"")</f>
        <v/>
      </c>
      <c r="AT7" s="80" t="str">
        <f t="shared" si="20"/>
        <v/>
      </c>
      <c r="AU7" s="80" t="str">
        <f t="shared" si="21"/>
        <v/>
      </c>
      <c r="AV7" s="57"/>
      <c r="AW7" s="11" t="s">
        <v>41</v>
      </c>
      <c r="AX7" s="12">
        <f>+SUMIF(F5:F70,"Tireur nuit",O5:O70)</f>
        <v>0</v>
      </c>
      <c r="AY7" s="13">
        <f>+SUMIF(F5:F70,"Tireur nuit",P5:P70)</f>
        <v>0</v>
      </c>
      <c r="AZ7" s="13">
        <f>+SUMIF(F5:F70,"Tireur nuit",Q5:Q70)</f>
        <v>0</v>
      </c>
      <c r="BA7" s="14">
        <f>+SUMIF(F5:F70,"Tireur nuit",S5:S70)</f>
        <v>0</v>
      </c>
      <c r="BB7" s="57"/>
    </row>
    <row r="8" spans="1:54" x14ac:dyDescent="0.25">
      <c r="A8" s="15" t="s">
        <v>36</v>
      </c>
      <c r="B8" s="3" t="s">
        <v>153</v>
      </c>
      <c r="C8" s="56" t="str">
        <f>+VLOOKUP(E8,info!H:I,2,FALSE)</f>
        <v>Instant</v>
      </c>
      <c r="D8" s="16" t="str">
        <f t="shared" si="22"/>
        <v>00-00-00</v>
      </c>
      <c r="E8" s="65" t="s">
        <v>154</v>
      </c>
      <c r="F8" s="65" t="s">
        <v>37</v>
      </c>
      <c r="G8" s="68" t="s">
        <v>38</v>
      </c>
      <c r="H8" s="17"/>
      <c r="I8" s="17"/>
      <c r="J8" s="4" t="str">
        <f t="shared" si="7"/>
        <v/>
      </c>
      <c r="K8" s="3" t="str">
        <f t="shared" si="8"/>
        <v/>
      </c>
      <c r="L8" s="3"/>
      <c r="M8" s="3" t="str">
        <f t="shared" si="1"/>
        <v/>
      </c>
      <c r="N8" s="3" t="str">
        <f t="shared" si="2"/>
        <v/>
      </c>
      <c r="O8" s="15" t="str">
        <f t="shared" si="3"/>
        <v/>
      </c>
      <c r="P8" s="2" t="str">
        <f t="shared" si="9"/>
        <v/>
      </c>
      <c r="Q8" s="2" t="str">
        <f t="shared" si="4"/>
        <v/>
      </c>
      <c r="R8" s="3" t="str">
        <f t="shared" si="5"/>
        <v/>
      </c>
      <c r="S8" s="2" t="str">
        <f t="shared" si="10"/>
        <v/>
      </c>
      <c r="T8" s="15">
        <f t="shared" si="6"/>
        <v>0</v>
      </c>
      <c r="U8" s="10"/>
      <c r="V8" s="2">
        <f t="shared" si="11"/>
        <v>35</v>
      </c>
      <c r="W8" s="2">
        <v>14.52</v>
      </c>
      <c r="X8" s="236" cm="1">
        <f t="array" ref="X8">SUMPRODUCT((info!$H$4:$H$58=Feuil1!$E8)*(info!$K$4:$K$58&lt;=Feuil1!$W8)*(info!$L$4:$L$58&gt;=Feuil1!$W8),info!$M$4:$M$58)</f>
        <v>0</v>
      </c>
      <c r="Y8" s="236" cm="1">
        <f t="array" ref="Y8">SUMPRODUCT((info!$H$4:$H$58=Feuil1!$E8)*(info!$K$4:$K$58&lt;=Feuil1!$W8)*(info!$L$4:$L$58&gt;=Feuil1!$W8),info!$N$4:$N$58)</f>
        <v>0</v>
      </c>
      <c r="Z8" s="83">
        <f>IFERROR(+$W8*X8,"")</f>
        <v>0</v>
      </c>
      <c r="AA8" s="83">
        <f t="shared" si="13"/>
        <v>0</v>
      </c>
      <c r="AB8" s="76" t="s">
        <v>36</v>
      </c>
      <c r="AC8" s="77">
        <f>IF(+VLOOKUP($E8,info!$H:$Z,7,FALSE),+VLOOKUP($E8,info!$H:$Z,7,FALSE),"")</f>
        <v>1.78</v>
      </c>
      <c r="AD8" s="77">
        <f>IF(+VLOOKUP($E8,info!$H:$Z,8,FALSE),+VLOOKUP($E8,info!$H:$Z,8,FALSE),"")</f>
        <v>0.06</v>
      </c>
      <c r="AE8" s="77">
        <f t="shared" si="14"/>
        <v>6.4614000000000003</v>
      </c>
      <c r="AF8" s="77">
        <f t="shared" si="15"/>
        <v>0.21779999999999999</v>
      </c>
      <c r="AG8" s="64" t="s">
        <v>36</v>
      </c>
      <c r="AH8" s="58">
        <f>IF(+VLOOKUP($E8,info!$H:$Z,10,FALSE),+VLOOKUP($E8,info!$H:$Z,10,FALSE),"")</f>
        <v>1.84</v>
      </c>
      <c r="AI8" s="58">
        <f>IF(+VLOOKUP($E8,info!$H:$Z,11,FALSE),+VLOOKUP($E8,info!$H:$Z,11,FALSE),"")</f>
        <v>0.06</v>
      </c>
      <c r="AJ8" s="58">
        <f t="shared" si="16"/>
        <v>13.3584</v>
      </c>
      <c r="AK8" s="58">
        <f t="shared" si="17"/>
        <v>0.43559999999999999</v>
      </c>
      <c r="AL8" s="81" t="s">
        <v>36</v>
      </c>
      <c r="AM8" s="82">
        <f>IF(+VLOOKUP($E8,info!$H:$Z,13,FALSE),+VLOOKUP($E8,info!$H:$Z,13,FALSE),"")</f>
        <v>1.84</v>
      </c>
      <c r="AN8" s="82">
        <f>IF(+VLOOKUP($E8,info!$H:$Z,14,FALSE),+VLOOKUP($E8,info!$H:$Z,14,FALSE),"")</f>
        <v>0.06</v>
      </c>
      <c r="AO8" s="82">
        <f t="shared" si="18"/>
        <v>33.396000000000001</v>
      </c>
      <c r="AP8" s="82">
        <f t="shared" si="19"/>
        <v>1.089</v>
      </c>
      <c r="AQ8" s="79" t="s">
        <v>36</v>
      </c>
      <c r="AR8" s="80">
        <f>IF(+VLOOKUP($E8,info!$H:$Z,16,FALSE),+VLOOKUP($E8,info!$H:$Z,16,FALSE),"")</f>
        <v>1.84</v>
      </c>
      <c r="AS8" s="80">
        <f>IF(+VLOOKUP($E8,info!$H:$Z,17,FALSE),+VLOOKUP($E8,info!$H:$Z,17,FALSE),"")</f>
        <v>0.06</v>
      </c>
      <c r="AT8" s="80">
        <f t="shared" si="20"/>
        <v>5.3433600000000006</v>
      </c>
      <c r="AU8" s="80">
        <f t="shared" si="21"/>
        <v>0.17424000000000001</v>
      </c>
      <c r="AV8" s="57"/>
      <c r="AW8" s="11" t="s">
        <v>42</v>
      </c>
      <c r="AX8" s="12">
        <f>+SUMIF(F5:F70,"Préparateur PM",O5:O70)+SUMIF(F5:F70,"Préparateur nuit",O5:O70)</f>
        <v>0</v>
      </c>
      <c r="AY8" s="13">
        <f>+SUMIF(F5:F70,"Préparateur PM",P5:P70)+SUMIF(F5:F70,"Préparateur nuit",P5:P70)</f>
        <v>0</v>
      </c>
      <c r="AZ8" s="13">
        <f>+SUMIF(F5:F70,"Préparateur PM",Q5:Q70)+SUMIF(F5:F70,"Préparateur nuit",Q5:Q70)</f>
        <v>0</v>
      </c>
      <c r="BA8" s="14">
        <f>+SUMIF(F5:F70,"Préparateur PM",S5:S70)+SUMIF(F5:F70,"Préparateur nuit",S5:S70)</f>
        <v>0</v>
      </c>
      <c r="BB8" s="57"/>
    </row>
    <row r="9" spans="1:54" x14ac:dyDescent="0.25">
      <c r="A9" s="15" t="s">
        <v>36</v>
      </c>
      <c r="B9" s="3" t="s">
        <v>153</v>
      </c>
      <c r="C9" s="56" t="str">
        <f>+VLOOKUP(E9,info!H:I,2,FALSE)</f>
        <v>Instant</v>
      </c>
      <c r="D9" s="16" t="str">
        <f t="shared" si="22"/>
        <v>00-00-00</v>
      </c>
      <c r="E9" s="65" t="s">
        <v>154</v>
      </c>
      <c r="F9" s="17" t="s">
        <v>37</v>
      </c>
      <c r="G9" s="68" t="s">
        <v>38</v>
      </c>
      <c r="H9" s="17"/>
      <c r="I9" s="17"/>
      <c r="J9" s="4" t="str">
        <f t="shared" si="7"/>
        <v/>
      </c>
      <c r="K9" s="3" t="str">
        <f t="shared" si="8"/>
        <v/>
      </c>
      <c r="L9" s="3"/>
      <c r="M9" s="3" t="str">
        <f t="shared" si="1"/>
        <v/>
      </c>
      <c r="N9" s="3" t="str">
        <f t="shared" si="2"/>
        <v/>
      </c>
      <c r="O9" s="15" t="str">
        <f t="shared" si="3"/>
        <v/>
      </c>
      <c r="P9" s="2" t="str">
        <f t="shared" si="9"/>
        <v/>
      </c>
      <c r="Q9" s="2" t="str">
        <f t="shared" si="4"/>
        <v/>
      </c>
      <c r="R9" s="3" t="str">
        <f t="shared" si="5"/>
        <v/>
      </c>
      <c r="S9" s="2" t="str">
        <f t="shared" si="10"/>
        <v/>
      </c>
      <c r="T9" s="15">
        <f t="shared" si="6"/>
        <v>0</v>
      </c>
      <c r="U9" s="10"/>
      <c r="V9" s="2">
        <f>+IF(I9="/","/",35)</f>
        <v>35</v>
      </c>
      <c r="W9" s="2">
        <v>15.52</v>
      </c>
      <c r="X9" s="236" cm="1">
        <f t="array" ref="X9">SUMPRODUCT((info!$H$4:$H$58=Feuil1!$E9)*(info!$K$4:$K$58&lt;=Feuil1!$W9)*(info!$L$4:$L$58&gt;=Feuil1!$W9),info!$M$4:$M$58)</f>
        <v>0</v>
      </c>
      <c r="Y9" s="236" cm="1">
        <f t="array" ref="Y9">SUMPRODUCT((info!$H$4:$H$58=Feuil1!$E9)*(info!$K$4:$K$58&lt;=Feuil1!$W9)*(info!$L$4:$L$58&gt;=Feuil1!$W9),info!$N$4:$N$58)</f>
        <v>0</v>
      </c>
      <c r="Z9" s="83">
        <f t="shared" si="12"/>
        <v>0</v>
      </c>
      <c r="AA9" s="83">
        <f t="shared" si="13"/>
        <v>0</v>
      </c>
      <c r="AB9" s="76" t="s">
        <v>36</v>
      </c>
      <c r="AC9" s="77">
        <f>IF(+VLOOKUP($E9,info!$H:$Z,7,FALSE),+VLOOKUP($E9,info!$H:$Z,7,FALSE),"")</f>
        <v>1.78</v>
      </c>
      <c r="AD9" s="77">
        <f>IF(+VLOOKUP($E9,info!$H:$Z,8,FALSE),+VLOOKUP($E9,info!$H:$Z,8,FALSE),"")</f>
        <v>0.06</v>
      </c>
      <c r="AE9" s="77">
        <f t="shared" si="14"/>
        <v>6.9063999999999997</v>
      </c>
      <c r="AF9" s="77">
        <f t="shared" si="15"/>
        <v>0.23279999999999998</v>
      </c>
      <c r="AG9" s="64" t="s">
        <v>36</v>
      </c>
      <c r="AH9" s="58">
        <f>IF(+VLOOKUP($E9,info!$H:$Z,10,FALSE),+VLOOKUP($E9,info!$H:$Z,10,FALSE),"")</f>
        <v>1.84</v>
      </c>
      <c r="AI9" s="58">
        <f>IF(+VLOOKUP($E9,info!$H:$Z,11,FALSE),+VLOOKUP($E9,info!$H:$Z,11,FALSE),"")</f>
        <v>0.06</v>
      </c>
      <c r="AJ9" s="58">
        <f t="shared" si="16"/>
        <v>14.2784</v>
      </c>
      <c r="AK9" s="58">
        <f t="shared" si="17"/>
        <v>0.46559999999999996</v>
      </c>
      <c r="AL9" s="81" t="s">
        <v>36</v>
      </c>
      <c r="AM9" s="82">
        <f>IF(+VLOOKUP($E9,info!$H:$Z,13,FALSE),+VLOOKUP($E9,info!$H:$Z,13,FALSE),"")</f>
        <v>1.84</v>
      </c>
      <c r="AN9" s="82">
        <f>IF(+VLOOKUP($E9,info!$H:$Z,14,FALSE),+VLOOKUP($E9,info!$H:$Z,14,FALSE),"")</f>
        <v>0.06</v>
      </c>
      <c r="AO9" s="82">
        <f t="shared" si="18"/>
        <v>35.695999999999998</v>
      </c>
      <c r="AP9" s="82">
        <f t="shared" si="19"/>
        <v>1.1639999999999999</v>
      </c>
      <c r="AQ9" s="79" t="s">
        <v>36</v>
      </c>
      <c r="AR9" s="80">
        <f>IF(+VLOOKUP($E9,info!$H:$Z,16,FALSE),+VLOOKUP($E9,info!$H:$Z,16,FALSE),"")</f>
        <v>1.84</v>
      </c>
      <c r="AS9" s="80">
        <f>IF(+VLOOKUP($E9,info!$H:$Z,17,FALSE),+VLOOKUP($E9,info!$H:$Z,17,FALSE),"")</f>
        <v>0.06</v>
      </c>
      <c r="AT9" s="80">
        <f t="shared" si="20"/>
        <v>5.71136</v>
      </c>
      <c r="AU9" s="80">
        <f t="shared" si="21"/>
        <v>0.18623999999999999</v>
      </c>
      <c r="AV9" s="57"/>
      <c r="AW9" s="11" t="s">
        <v>43</v>
      </c>
      <c r="AX9" s="12">
        <f>+SUMIF(F5:F70,"contrôle pm",O5:O70)</f>
        <v>0</v>
      </c>
      <c r="AY9" s="13">
        <f>+SUMIF(F5:F70,"Contrôle pm",P5:P70)</f>
        <v>0</v>
      </c>
      <c r="AZ9" s="13">
        <f>+SUMIF(F5:F70,"Contrôle pm",Q5:Q70)</f>
        <v>0</v>
      </c>
      <c r="BA9" s="14">
        <f>+SUMIF(F5:F70,"Contrôle pm",S5:S70)</f>
        <v>0</v>
      </c>
      <c r="BB9" s="57"/>
    </row>
    <row r="10" spans="1:54" x14ac:dyDescent="0.25">
      <c r="A10" s="15" t="s">
        <v>36</v>
      </c>
      <c r="B10" s="3" t="s">
        <v>153</v>
      </c>
      <c r="C10" s="56" t="str">
        <f>+VLOOKUP(E10,info!H:I,2,FALSE)</f>
        <v>PIXID</v>
      </c>
      <c r="D10" s="16" t="str">
        <f t="shared" si="22"/>
        <v>00-00-00</v>
      </c>
      <c r="E10" s="65" t="s">
        <v>40</v>
      </c>
      <c r="F10" s="17" t="s">
        <v>37</v>
      </c>
      <c r="G10" s="68" t="s">
        <v>38</v>
      </c>
      <c r="H10" s="17"/>
      <c r="I10" s="17"/>
      <c r="J10" s="4" t="str">
        <f t="shared" si="7"/>
        <v/>
      </c>
      <c r="K10" s="3" t="str">
        <f t="shared" si="8"/>
        <v/>
      </c>
      <c r="L10" s="3"/>
      <c r="M10" s="3" t="str">
        <f t="shared" si="1"/>
        <v/>
      </c>
      <c r="N10" s="3" t="str">
        <f t="shared" si="2"/>
        <v/>
      </c>
      <c r="O10" s="15" t="str">
        <f t="shared" si="3"/>
        <v/>
      </c>
      <c r="P10" s="2" t="str">
        <f t="shared" si="9"/>
        <v/>
      </c>
      <c r="Q10" s="2" t="str">
        <f t="shared" si="4"/>
        <v/>
      </c>
      <c r="R10" s="3" t="str">
        <f t="shared" si="5"/>
        <v/>
      </c>
      <c r="S10" s="2" t="str">
        <f t="shared" si="10"/>
        <v/>
      </c>
      <c r="T10" s="15">
        <f t="shared" si="6"/>
        <v>0</v>
      </c>
      <c r="U10" s="10"/>
      <c r="V10" s="2">
        <v>39</v>
      </c>
      <c r="W10" s="2">
        <v>16.52</v>
      </c>
      <c r="X10" s="236" cm="1">
        <f t="array" ref="X10">SUMPRODUCT((info!$H$4:$H$58=Feuil1!$E10)*(info!$K$4:$K$58&lt;=Feuil1!$W10)*(info!$L$4:$L$58&gt;=Feuil1!$W10),info!$M$4:$M$58)</f>
        <v>2.1</v>
      </c>
      <c r="Y10" s="236" cm="1">
        <f t="array" ref="Y10">SUMPRODUCT((info!$H$4:$H$58=Feuil1!$E10)*(info!$K$4:$K$58&lt;=Feuil1!$W10)*(info!$L$4:$L$58&gt;=Feuil1!$W10),info!$N$4:$N$58)</f>
        <v>2.0299999999999998</v>
      </c>
      <c r="Z10" s="83">
        <f t="shared" si="12"/>
        <v>34.692</v>
      </c>
      <c r="AA10" s="83">
        <f t="shared" si="13"/>
        <v>33.535599999999995</v>
      </c>
      <c r="AB10" s="76" t="s">
        <v>36</v>
      </c>
      <c r="AC10" s="77">
        <f>IF(+VLOOKUP($E10,info!$H:$Z,7,FALSE),+VLOOKUP($E10,info!$H:$Z,7,FALSE),"")</f>
        <v>1.82</v>
      </c>
      <c r="AD10" s="77" t="str">
        <f>IF(+VLOOKUP($E10,info!$H:$Z,8,FALSE),+VLOOKUP($E10,info!$H:$Z,8,FALSE),"")</f>
        <v/>
      </c>
      <c r="AE10" s="77">
        <f t="shared" si="14"/>
        <v>7.5166000000000004</v>
      </c>
      <c r="AF10" s="77" t="str">
        <f t="shared" si="15"/>
        <v/>
      </c>
      <c r="AG10" s="64" t="s">
        <v>36</v>
      </c>
      <c r="AH10" s="58">
        <f>IF(+VLOOKUP($E10,info!$H:$Z,10,FALSE),+VLOOKUP($E10,info!$H:$Z,10,FALSE),"")</f>
        <v>1.82</v>
      </c>
      <c r="AI10" s="58" t="str">
        <f>IF(+VLOOKUP($E10,info!$H:$Z,11,FALSE),+VLOOKUP($E10,info!$H:$Z,11,FALSE),"")</f>
        <v/>
      </c>
      <c r="AJ10" s="58">
        <f t="shared" si="16"/>
        <v>15.033200000000001</v>
      </c>
      <c r="AK10" s="58" t="str">
        <f t="shared" si="17"/>
        <v/>
      </c>
      <c r="AL10" s="81" t="s">
        <v>36</v>
      </c>
      <c r="AM10" s="82">
        <f>IF(+VLOOKUP($E10,info!$H:$Z,13,FALSE),+VLOOKUP($E10,info!$H:$Z,13,FALSE),"")</f>
        <v>1.82</v>
      </c>
      <c r="AN10" s="82" t="str">
        <f>IF(+VLOOKUP($E10,info!$H:$Z,14,FALSE),+VLOOKUP($E10,info!$H:$Z,14,FALSE),"")</f>
        <v/>
      </c>
      <c r="AO10" s="82">
        <f t="shared" si="18"/>
        <v>37.582999999999998</v>
      </c>
      <c r="AP10" s="82" t="str">
        <f t="shared" si="19"/>
        <v/>
      </c>
      <c r="AQ10" s="79" t="s">
        <v>36</v>
      </c>
      <c r="AR10" s="80">
        <f>IF(+VLOOKUP($E10,info!$H:$Z,16,FALSE),+VLOOKUP($E10,info!$H:$Z,16,FALSE),"")</f>
        <v>1.82</v>
      </c>
      <c r="AS10" s="80" t="str">
        <f>IF(+VLOOKUP($E10,info!$H:$Z,17,FALSE),+VLOOKUP($E10,info!$H:$Z,17,FALSE),"")</f>
        <v/>
      </c>
      <c r="AT10" s="80">
        <f t="shared" si="20"/>
        <v>6.0132800000000008</v>
      </c>
      <c r="AU10" s="80" t="str">
        <f t="shared" si="21"/>
        <v/>
      </c>
      <c r="AV10" s="57"/>
      <c r="AW10" s="11" t="s">
        <v>45</v>
      </c>
      <c r="AX10" s="12">
        <f>+SUMIF(F5:F70,"Chef de quai ",O5:O70)</f>
        <v>0</v>
      </c>
      <c r="AY10" s="13">
        <f>+SUMIF(F5:F70,"Chef de quai ",P5:P70)</f>
        <v>0</v>
      </c>
      <c r="AZ10" s="13">
        <f>+SUMIF(F5:F70,"Chef de quai ",Q5:Q70)</f>
        <v>0</v>
      </c>
      <c r="BA10" s="14">
        <f>+SUMIF(F5:F70,"Chef de quai ",S5:S70)</f>
        <v>0</v>
      </c>
      <c r="BB10" s="57"/>
    </row>
    <row r="11" spans="1:54" x14ac:dyDescent="0.25">
      <c r="A11" s="15" t="s">
        <v>36</v>
      </c>
      <c r="B11" s="3" t="s">
        <v>153</v>
      </c>
      <c r="C11" s="56" t="str">
        <f>+VLOOKUP(E11,info!H:I,2,FALSE)</f>
        <v>PIXID</v>
      </c>
      <c r="D11" s="16" t="str">
        <f t="shared" si="22"/>
        <v>00-00-00</v>
      </c>
      <c r="E11" s="18" t="s">
        <v>40</v>
      </c>
      <c r="F11" s="17" t="s">
        <v>37</v>
      </c>
      <c r="G11" s="68" t="s">
        <v>38</v>
      </c>
      <c r="H11" s="18"/>
      <c r="I11" s="18"/>
      <c r="J11" s="4" t="str">
        <f t="shared" si="7"/>
        <v/>
      </c>
      <c r="K11" s="3" t="str">
        <f t="shared" si="8"/>
        <v/>
      </c>
      <c r="L11" s="3"/>
      <c r="M11" s="3" t="str">
        <f t="shared" si="1"/>
        <v/>
      </c>
      <c r="N11" s="3" t="str">
        <f t="shared" si="2"/>
        <v/>
      </c>
      <c r="O11" s="15" t="str">
        <f t="shared" si="3"/>
        <v/>
      </c>
      <c r="P11" s="2" t="str">
        <f t="shared" si="9"/>
        <v/>
      </c>
      <c r="Q11" s="2" t="str">
        <f t="shared" si="4"/>
        <v/>
      </c>
      <c r="R11" s="3" t="str">
        <f t="shared" si="5"/>
        <v/>
      </c>
      <c r="S11" s="2" t="str">
        <f t="shared" si="10"/>
        <v/>
      </c>
      <c r="T11" s="15">
        <f t="shared" si="6"/>
        <v>0</v>
      </c>
      <c r="U11" s="10"/>
      <c r="V11" s="2">
        <v>39</v>
      </c>
      <c r="W11" s="2">
        <v>12.8</v>
      </c>
      <c r="X11" s="236" cm="1">
        <f t="array" ref="X11">SUMPRODUCT((info!$H$4:$H$58=Feuil1!$E11)*(info!$K$4:$K$58&lt;=Feuil1!$W11)*(info!$L$4:$L$58&gt;=Feuil1!$W11),info!$M$4:$M$58)</f>
        <v>1.98</v>
      </c>
      <c r="Y11" s="236" cm="1">
        <f t="array" ref="Y11">SUMPRODUCT((info!$H$4:$H$58=Feuil1!$E11)*(info!$K$4:$K$58&lt;=Feuil1!$W11)*(info!$L$4:$L$58&gt;=Feuil1!$W11),info!$N$4:$N$58)</f>
        <v>1.95</v>
      </c>
      <c r="Z11" s="83">
        <f t="shared" si="12"/>
        <v>25.344000000000001</v>
      </c>
      <c r="AA11" s="83">
        <f t="shared" si="13"/>
        <v>24.96</v>
      </c>
      <c r="AB11" s="76" t="s">
        <v>36</v>
      </c>
      <c r="AC11" s="77">
        <f>IF(+VLOOKUP($E11,info!$H:$Z,7,FALSE),+VLOOKUP($E11,info!$H:$Z,7,FALSE),"")</f>
        <v>1.82</v>
      </c>
      <c r="AD11" s="77" t="str">
        <f>IF(+VLOOKUP($E11,info!$H:$Z,8,FALSE),+VLOOKUP($E11,info!$H:$Z,8,FALSE),"")</f>
        <v/>
      </c>
      <c r="AE11" s="77">
        <f t="shared" si="14"/>
        <v>5.8240000000000007</v>
      </c>
      <c r="AF11" s="77" t="str">
        <f t="shared" si="15"/>
        <v/>
      </c>
      <c r="AG11" s="64" t="s">
        <v>36</v>
      </c>
      <c r="AH11" s="58">
        <f>IF(+VLOOKUP($E11,info!$H:$Z,10,FALSE),+VLOOKUP($E11,info!$H:$Z,10,FALSE),"")</f>
        <v>1.82</v>
      </c>
      <c r="AI11" s="58" t="str">
        <f>IF(+VLOOKUP($E11,info!$H:$Z,11,FALSE),+VLOOKUP($E11,info!$H:$Z,11,FALSE),"")</f>
        <v/>
      </c>
      <c r="AJ11" s="58">
        <f t="shared" si="16"/>
        <v>11.648000000000001</v>
      </c>
      <c r="AK11" s="58" t="str">
        <f t="shared" si="17"/>
        <v/>
      </c>
      <c r="AL11" s="81" t="s">
        <v>36</v>
      </c>
      <c r="AM11" s="82">
        <f>IF(+VLOOKUP($E11,info!$H:$Z,13,FALSE),+VLOOKUP($E11,info!$H:$Z,13,FALSE),"")</f>
        <v>1.82</v>
      </c>
      <c r="AN11" s="82" t="str">
        <f>IF(+VLOOKUP($E11,info!$H:$Z,14,FALSE),+VLOOKUP($E11,info!$H:$Z,14,FALSE),"")</f>
        <v/>
      </c>
      <c r="AO11" s="82">
        <f t="shared" si="18"/>
        <v>29.120000000000005</v>
      </c>
      <c r="AP11" s="82" t="str">
        <f t="shared" si="19"/>
        <v/>
      </c>
      <c r="AQ11" s="79" t="s">
        <v>36</v>
      </c>
      <c r="AR11" s="80">
        <f>IF(+VLOOKUP($E11,info!$H:$Z,16,FALSE),+VLOOKUP($E11,info!$H:$Z,16,FALSE),"")</f>
        <v>1.82</v>
      </c>
      <c r="AS11" s="80" t="str">
        <f>IF(+VLOOKUP($E11,info!$H:$Z,17,FALSE),+VLOOKUP($E11,info!$H:$Z,17,FALSE),"")</f>
        <v/>
      </c>
      <c r="AT11" s="80">
        <f t="shared" si="20"/>
        <v>4.6592000000000011</v>
      </c>
      <c r="AU11" s="80" t="str">
        <f t="shared" si="21"/>
        <v/>
      </c>
      <c r="AV11" s="57"/>
      <c r="AW11" s="11" t="s">
        <v>48</v>
      </c>
      <c r="AX11" s="12">
        <f>+SUMIF(F5:F70,"GUERITE",O5:O70)</f>
        <v>0</v>
      </c>
      <c r="AY11" s="13">
        <f>+SUMIF(F5:F70,"GUERITE",P5:P70)</f>
        <v>0</v>
      </c>
      <c r="AZ11" s="13">
        <f>+SUMIF(F5:F70,"GUERITE",Q5:Q70)</f>
        <v>0</v>
      </c>
      <c r="BA11" s="14">
        <f>+SUMIF(F5:F70,"GUERITE",S5:S70)</f>
        <v>0</v>
      </c>
      <c r="BB11" s="57"/>
    </row>
    <row r="12" spans="1:54" x14ac:dyDescent="0.25">
      <c r="A12" s="15" t="s">
        <v>36</v>
      </c>
      <c r="B12" s="3" t="s">
        <v>153</v>
      </c>
      <c r="C12" s="56" t="str">
        <f>+VLOOKUP(E12,info!H:I,2,FALSE)</f>
        <v>PIXID</v>
      </c>
      <c r="D12" s="16" t="str">
        <f t="shared" si="22"/>
        <v>00-00-00</v>
      </c>
      <c r="E12" s="18" t="s">
        <v>113</v>
      </c>
      <c r="F12" s="17" t="s">
        <v>37</v>
      </c>
      <c r="G12" s="68" t="s">
        <v>38</v>
      </c>
      <c r="H12" s="66"/>
      <c r="I12" s="66"/>
      <c r="J12" s="4" t="str">
        <f t="shared" si="7"/>
        <v/>
      </c>
      <c r="K12" s="3" t="str">
        <f t="shared" si="8"/>
        <v/>
      </c>
      <c r="L12" s="3"/>
      <c r="M12" s="3" t="str">
        <f t="shared" si="1"/>
        <v/>
      </c>
      <c r="N12" s="3" t="str">
        <f t="shared" si="2"/>
        <v/>
      </c>
      <c r="O12" s="15" t="str">
        <f t="shared" si="3"/>
        <v/>
      </c>
      <c r="P12" s="2" t="str">
        <f t="shared" si="9"/>
        <v/>
      </c>
      <c r="Q12" s="2" t="str">
        <f t="shared" si="4"/>
        <v/>
      </c>
      <c r="R12" s="3" t="str">
        <f t="shared" si="5"/>
        <v/>
      </c>
      <c r="S12" s="2" t="str">
        <f t="shared" si="10"/>
        <v/>
      </c>
      <c r="T12" s="15">
        <f t="shared" si="6"/>
        <v>0</v>
      </c>
      <c r="U12" s="10"/>
      <c r="V12" s="2">
        <f t="shared" ref="V12:V70" si="23">+IF(I12="/","/",35)</f>
        <v>35</v>
      </c>
      <c r="W12" s="2">
        <v>11.52</v>
      </c>
      <c r="X12" s="236" cm="1">
        <f t="array" ref="X12">SUMPRODUCT((info!$H$4:$H$58=Feuil1!$E12)*(info!$K$4:$K$58&lt;=Feuil1!$W12)*(info!$L$4:$L$58&gt;=Feuil1!$W12),info!$M$4:$M$58)</f>
        <v>1.83</v>
      </c>
      <c r="Y12" s="236" cm="1">
        <f t="array" ref="Y12">SUMPRODUCT((info!$H$4:$H$58=Feuil1!$E12)*(info!$K$4:$K$58&lt;=Feuil1!$W12)*(info!$L$4:$L$58&gt;=Feuil1!$W12),info!$N$4:$N$58)</f>
        <v>1.79</v>
      </c>
      <c r="Z12" s="83">
        <f t="shared" si="12"/>
        <v>21.081600000000002</v>
      </c>
      <c r="AA12" s="83">
        <f t="shared" si="13"/>
        <v>20.620799999999999</v>
      </c>
      <c r="AB12" s="76" t="s">
        <v>36</v>
      </c>
      <c r="AC12" s="77">
        <f>IF(+VLOOKUP($E12,info!$H:$Z,7,FALSE),+VLOOKUP($E12,info!$H:$Z,7,FALSE),"")</f>
        <v>1.79</v>
      </c>
      <c r="AD12" s="77" t="str">
        <f>IF(+VLOOKUP($E12,info!$H:$Z,8,FALSE),+VLOOKUP($E12,info!$H:$Z,8,FALSE),"")</f>
        <v/>
      </c>
      <c r="AE12" s="77">
        <f t="shared" si="14"/>
        <v>5.1551999999999998</v>
      </c>
      <c r="AF12" s="77" t="str">
        <f t="shared" si="15"/>
        <v/>
      </c>
      <c r="AG12" s="64" t="s">
        <v>36</v>
      </c>
      <c r="AH12" s="58">
        <f>IF(+VLOOKUP($E12,info!$H:$Z,10,FALSE),+VLOOKUP($E12,info!$H:$Z,10,FALSE),"")</f>
        <v>1.79</v>
      </c>
      <c r="AI12" s="58" t="str">
        <f>IF(+VLOOKUP($E12,info!$H:$Z,11,FALSE),+VLOOKUP($E12,info!$H:$Z,11,FALSE),"")</f>
        <v/>
      </c>
      <c r="AJ12" s="58">
        <f t="shared" si="16"/>
        <v>10.3104</v>
      </c>
      <c r="AK12" s="58" t="str">
        <f t="shared" si="17"/>
        <v/>
      </c>
      <c r="AL12" s="81" t="s">
        <v>36</v>
      </c>
      <c r="AM12" s="82">
        <f>IF(+VLOOKUP($E12,info!$H:$Z,13,FALSE),+VLOOKUP($E12,info!$H:$Z,13,FALSE),"")</f>
        <v>1.79</v>
      </c>
      <c r="AN12" s="82" t="str">
        <f>IF(+VLOOKUP($E12,info!$H:$Z,14,FALSE),+VLOOKUP($E12,info!$H:$Z,14,FALSE),"")</f>
        <v/>
      </c>
      <c r="AO12" s="82">
        <f t="shared" si="18"/>
        <v>25.776</v>
      </c>
      <c r="AP12" s="82" t="str">
        <f t="shared" si="19"/>
        <v/>
      </c>
      <c r="AQ12" s="79" t="s">
        <v>36</v>
      </c>
      <c r="AR12" s="80">
        <f>IF(+VLOOKUP($E12,info!$H:$Z,16,FALSE),+VLOOKUP($E12,info!$H:$Z,16,FALSE),"")</f>
        <v>1.79</v>
      </c>
      <c r="AS12" s="80" t="str">
        <f>IF(+VLOOKUP($E12,info!$H:$Z,17,FALSE),+VLOOKUP($E12,info!$H:$Z,17,FALSE),"")</f>
        <v/>
      </c>
      <c r="AT12" s="80">
        <f t="shared" si="20"/>
        <v>4.1241599999999998</v>
      </c>
      <c r="AU12" s="80" t="str">
        <f t="shared" si="21"/>
        <v/>
      </c>
      <c r="AV12" s="57"/>
      <c r="AW12" s="11" t="s">
        <v>49</v>
      </c>
      <c r="AX12" s="12">
        <f ca="1">+SUMIF(F5:F71,"MANUTENTIONNAIRE",O5:O70)</f>
        <v>0</v>
      </c>
      <c r="AY12" s="13">
        <f ca="1">+SUMIF(F5:F71,"MANUTENTIONNAIRE",P5:P70)</f>
        <v>0</v>
      </c>
      <c r="AZ12" s="13">
        <f ca="1">+SUMIF(F5:F71,"MANUTENTIONNAIRE",Q5:Q70)</f>
        <v>0</v>
      </c>
      <c r="BA12" s="14">
        <f ca="1">+SUMIF(F5:F71,"MANUTENTIONNAIRE",S5:S70)</f>
        <v>0</v>
      </c>
      <c r="BB12" s="57"/>
    </row>
    <row r="13" spans="1:54" ht="15.75" thickBot="1" x14ac:dyDescent="0.3">
      <c r="A13" s="15" t="s">
        <v>36</v>
      </c>
      <c r="B13" s="3" t="s">
        <v>153</v>
      </c>
      <c r="C13" s="56" t="str">
        <f>+VLOOKUP(E13,info!H:I,2,FALSE)</f>
        <v>-</v>
      </c>
      <c r="D13" s="16" t="str">
        <f t="shared" si="22"/>
        <v>00-00-00</v>
      </c>
      <c r="E13" s="65" t="s">
        <v>36</v>
      </c>
      <c r="F13" s="65" t="s">
        <v>36</v>
      </c>
      <c r="G13" s="65" t="s">
        <v>36</v>
      </c>
      <c r="H13" s="65" t="s">
        <v>36</v>
      </c>
      <c r="I13" s="65" t="s">
        <v>108</v>
      </c>
      <c r="J13" s="4" t="str">
        <f t="shared" si="7"/>
        <v>/</v>
      </c>
      <c r="K13" s="3" t="str">
        <f t="shared" si="8"/>
        <v/>
      </c>
      <c r="L13" s="3"/>
      <c r="M13" s="3" t="str">
        <f>IFERROR(IF(ISBLANK(J13),"",IF(L13&lt;J13,1+L13,L13)-J13),"")</f>
        <v/>
      </c>
      <c r="N13" s="3" t="str">
        <f t="shared" si="2"/>
        <v/>
      </c>
      <c r="O13" s="15" t="str">
        <f t="shared" si="3"/>
        <v/>
      </c>
      <c r="P13" s="2" t="str">
        <f t="shared" si="9"/>
        <v/>
      </c>
      <c r="Q13" s="2" t="str">
        <f t="shared" si="4"/>
        <v/>
      </c>
      <c r="R13" s="3" t="str">
        <f t="shared" si="5"/>
        <v/>
      </c>
      <c r="S13" s="2" t="str">
        <f t="shared" si="10"/>
        <v/>
      </c>
      <c r="T13" s="15">
        <f t="shared" si="6"/>
        <v>0</v>
      </c>
      <c r="U13" s="10"/>
      <c r="V13" s="2" t="str">
        <f t="shared" si="23"/>
        <v>/</v>
      </c>
      <c r="W13" s="2"/>
      <c r="X13" s="236" cm="1">
        <f t="array" ref="X13">SUMPRODUCT((info!$H$4:$H$58=Feuil1!$E13)*(info!$K$4:$K$58&lt;=Feuil1!$W13)*(info!$L$4:$L$58&gt;=Feuil1!$W13),info!$M$4:$M$58)</f>
        <v>0</v>
      </c>
      <c r="Y13" s="236" cm="1">
        <f t="array" ref="Y13">SUMPRODUCT((info!$H$4:$H$58=Feuil1!$E13)*(info!$K$4:$K$58&lt;=Feuil1!$W13)*(info!$L$4:$L$58&gt;=Feuil1!$W13),info!$N$4:$N$58)</f>
        <v>0</v>
      </c>
      <c r="Z13" s="83">
        <f t="shared" si="12"/>
        <v>0</v>
      </c>
      <c r="AA13" s="83">
        <f t="shared" si="13"/>
        <v>0</v>
      </c>
      <c r="AB13" s="76" t="s">
        <v>36</v>
      </c>
      <c r="AC13" s="77" t="str">
        <f>IF(+VLOOKUP($E13,info!$H:$Z,7,FALSE),+VLOOKUP($E13,info!$H:$Z,7,FALSE),"")</f>
        <v/>
      </c>
      <c r="AD13" s="77" t="str">
        <f>IF(+VLOOKUP($E13,info!$H:$Z,8,FALSE),+VLOOKUP($E13,info!$H:$Z,8,FALSE),"")</f>
        <v/>
      </c>
      <c r="AE13" s="77" t="str">
        <f t="shared" si="14"/>
        <v/>
      </c>
      <c r="AF13" s="77" t="str">
        <f t="shared" si="15"/>
        <v/>
      </c>
      <c r="AG13" s="64" t="s">
        <v>36</v>
      </c>
      <c r="AH13" s="58" t="str">
        <f>IF(+VLOOKUP($E13,info!$H:$Z,10,FALSE),+VLOOKUP($E13,info!$H:$Z,10,FALSE),"")</f>
        <v/>
      </c>
      <c r="AI13" s="58" t="str">
        <f>IF(+VLOOKUP($E13,info!$H:$Z,11,FALSE),+VLOOKUP($E13,info!$H:$Z,11,FALSE),"")</f>
        <v/>
      </c>
      <c r="AJ13" s="58" t="str">
        <f t="shared" si="16"/>
        <v/>
      </c>
      <c r="AK13" s="58" t="str">
        <f t="shared" si="17"/>
        <v/>
      </c>
      <c r="AL13" s="81" t="s">
        <v>36</v>
      </c>
      <c r="AM13" s="82" t="str">
        <f>IF(+VLOOKUP($E13,info!$H:$Z,13,FALSE),+VLOOKUP($E13,info!$H:$Z,13,FALSE),"")</f>
        <v/>
      </c>
      <c r="AN13" s="82" t="str">
        <f>IF(+VLOOKUP($E13,info!$H:$Z,14,FALSE),+VLOOKUP($E13,info!$H:$Z,14,FALSE),"")</f>
        <v/>
      </c>
      <c r="AO13" s="82" t="str">
        <f t="shared" si="18"/>
        <v/>
      </c>
      <c r="AP13" s="82" t="str">
        <f t="shared" si="19"/>
        <v/>
      </c>
      <c r="AQ13" s="79" t="s">
        <v>36</v>
      </c>
      <c r="AR13" s="80" t="str">
        <f>IF(+VLOOKUP($E13,info!$H:$Z,16,FALSE),+VLOOKUP($E13,info!$H:$Z,16,FALSE),"")</f>
        <v/>
      </c>
      <c r="AS13" s="80" t="str">
        <f>IF(+VLOOKUP($E13,info!$H:$Z,17,FALSE),+VLOOKUP($E13,info!$H:$Z,17,FALSE),"")</f>
        <v/>
      </c>
      <c r="AT13" s="80" t="str">
        <f t="shared" si="20"/>
        <v/>
      </c>
      <c r="AU13" s="80" t="str">
        <f t="shared" si="21"/>
        <v/>
      </c>
      <c r="AV13" s="57"/>
      <c r="AW13" s="20" t="s">
        <v>51</v>
      </c>
      <c r="AX13" s="21">
        <f>+SUMIF(F5:F70,"Mûrisserie",O5:O70)</f>
        <v>0</v>
      </c>
      <c r="AY13" s="22">
        <f>+SUMIF(F5:F70,"Mûrisserie",P5:P70)</f>
        <v>0</v>
      </c>
      <c r="AZ13" s="22">
        <f>+SUMIF(F5:F70,"Mûrisserie",Q5:Q70)</f>
        <v>0</v>
      </c>
      <c r="BA13" s="23">
        <f>+SUMIF(F5:F70,"Mûrisserie",S5:S70)</f>
        <v>0</v>
      </c>
      <c r="BB13" s="57"/>
    </row>
    <row r="14" spans="1:54" ht="15.75" thickBot="1" x14ac:dyDescent="0.3">
      <c r="A14" s="15" t="s">
        <v>36</v>
      </c>
      <c r="B14" s="3" t="s">
        <v>153</v>
      </c>
      <c r="C14" s="56" t="str">
        <f>+VLOOKUP(E14,info!H:I,2,FALSE)</f>
        <v>-</v>
      </c>
      <c r="D14" s="16" t="str">
        <f t="shared" si="22"/>
        <v>00-00-00</v>
      </c>
      <c r="E14" s="65" t="s">
        <v>36</v>
      </c>
      <c r="F14" s="65" t="s">
        <v>36</v>
      </c>
      <c r="G14" s="65" t="s">
        <v>36</v>
      </c>
      <c r="H14" s="65" t="s">
        <v>36</v>
      </c>
      <c r="I14" s="65" t="s">
        <v>108</v>
      </c>
      <c r="J14" s="4" t="str">
        <f t="shared" si="7"/>
        <v>/</v>
      </c>
      <c r="K14" s="3" t="str">
        <f t="shared" si="8"/>
        <v/>
      </c>
      <c r="L14" s="3"/>
      <c r="M14" s="3" t="str">
        <f t="shared" si="1"/>
        <v/>
      </c>
      <c r="N14" s="3" t="str">
        <f t="shared" si="2"/>
        <v/>
      </c>
      <c r="O14" s="15" t="str">
        <f t="shared" si="3"/>
        <v/>
      </c>
      <c r="P14" s="2" t="str">
        <f t="shared" si="9"/>
        <v/>
      </c>
      <c r="Q14" s="2" t="str">
        <f t="shared" si="4"/>
        <v/>
      </c>
      <c r="R14" s="3" t="str">
        <f t="shared" si="5"/>
        <v/>
      </c>
      <c r="S14" s="2" t="str">
        <f t="shared" si="10"/>
        <v/>
      </c>
      <c r="T14" s="15">
        <f t="shared" si="6"/>
        <v>0</v>
      </c>
      <c r="U14" s="10"/>
      <c r="V14" s="2" t="str">
        <f t="shared" si="23"/>
        <v>/</v>
      </c>
      <c r="W14" s="2"/>
      <c r="X14" s="236" cm="1">
        <f t="array" ref="X14">SUMPRODUCT((info!$H$4:$H$58=Feuil1!$E14)*(info!$K$4:$K$58&lt;=Feuil1!$W14)*(info!$L$4:$L$58&gt;=Feuil1!$W14),info!$M$4:$M$58)</f>
        <v>0</v>
      </c>
      <c r="Y14" s="236" cm="1">
        <f t="array" ref="Y14">SUMPRODUCT((info!$H$4:$H$58=Feuil1!$E14)*(info!$K$4:$K$58&lt;=Feuil1!$W14)*(info!$L$4:$L$58&gt;=Feuil1!$W14),info!$N$4:$N$58)</f>
        <v>0</v>
      </c>
      <c r="Z14" s="83">
        <f t="shared" si="12"/>
        <v>0</v>
      </c>
      <c r="AA14" s="83">
        <f t="shared" si="13"/>
        <v>0</v>
      </c>
      <c r="AB14" s="76" t="s">
        <v>36</v>
      </c>
      <c r="AC14" s="77" t="str">
        <f>IF(+VLOOKUP($E14,info!$H:$Z,7,FALSE),+VLOOKUP($E14,info!$H:$Z,7,FALSE),"")</f>
        <v/>
      </c>
      <c r="AD14" s="77" t="str">
        <f>IF(+VLOOKUP($E14,info!$H:$Z,8,FALSE),+VLOOKUP($E14,info!$H:$Z,8,FALSE),"")</f>
        <v/>
      </c>
      <c r="AE14" s="77" t="str">
        <f t="shared" si="14"/>
        <v/>
      </c>
      <c r="AF14" s="77" t="str">
        <f t="shared" si="15"/>
        <v/>
      </c>
      <c r="AG14" s="64" t="s">
        <v>36</v>
      </c>
      <c r="AH14" s="58" t="str">
        <f>IF(+VLOOKUP($E14,info!$H:$Z,10,FALSE),+VLOOKUP($E14,info!$H:$Z,10,FALSE),"")</f>
        <v/>
      </c>
      <c r="AI14" s="58" t="str">
        <f>IF(+VLOOKUP($E14,info!$H:$Z,11,FALSE),+VLOOKUP($E14,info!$H:$Z,11,FALSE),"")</f>
        <v/>
      </c>
      <c r="AJ14" s="58" t="str">
        <f t="shared" si="16"/>
        <v/>
      </c>
      <c r="AK14" s="58" t="str">
        <f t="shared" si="17"/>
        <v/>
      </c>
      <c r="AL14" s="81" t="s">
        <v>36</v>
      </c>
      <c r="AM14" s="82" t="str">
        <f>IF(+VLOOKUP($E14,info!$H:$Z,13,FALSE),+VLOOKUP($E14,info!$H:$Z,13,FALSE),"")</f>
        <v/>
      </c>
      <c r="AN14" s="82" t="str">
        <f>IF(+VLOOKUP($E14,info!$H:$Z,14,FALSE),+VLOOKUP($E14,info!$H:$Z,14,FALSE),"")</f>
        <v/>
      </c>
      <c r="AO14" s="82" t="str">
        <f t="shared" si="18"/>
        <v/>
      </c>
      <c r="AP14" s="82" t="str">
        <f t="shared" si="19"/>
        <v/>
      </c>
      <c r="AQ14" s="79" t="s">
        <v>36</v>
      </c>
      <c r="AR14" s="80" t="str">
        <f>IF(+VLOOKUP($E14,info!$H:$Z,16,FALSE),+VLOOKUP($E14,info!$H:$Z,16,FALSE),"")</f>
        <v/>
      </c>
      <c r="AS14" s="80" t="str">
        <f>IF(+VLOOKUP($E14,info!$H:$Z,17,FALSE),+VLOOKUP($E14,info!$H:$Z,17,FALSE),"")</f>
        <v/>
      </c>
      <c r="AT14" s="80" t="str">
        <f t="shared" si="20"/>
        <v/>
      </c>
      <c r="AU14" s="80" t="str">
        <f t="shared" si="21"/>
        <v/>
      </c>
      <c r="AV14" s="57"/>
      <c r="BB14" s="57"/>
    </row>
    <row r="15" spans="1:54" ht="16.5" thickBot="1" x14ac:dyDescent="0.3">
      <c r="A15" s="15" t="s">
        <v>36</v>
      </c>
      <c r="B15" s="3" t="s">
        <v>153</v>
      </c>
      <c r="C15" s="56" t="str">
        <f>+VLOOKUP(E15,info!H:I,2,FALSE)</f>
        <v>-</v>
      </c>
      <c r="D15" s="16" t="str">
        <f t="shared" si="22"/>
        <v>00-00-00</v>
      </c>
      <c r="E15" s="65" t="s">
        <v>36</v>
      </c>
      <c r="F15" s="65" t="s">
        <v>36</v>
      </c>
      <c r="G15" s="65" t="s">
        <v>36</v>
      </c>
      <c r="H15" s="65" t="s">
        <v>36</v>
      </c>
      <c r="I15" s="65" t="s">
        <v>108</v>
      </c>
      <c r="J15" s="4" t="str">
        <f t="shared" si="7"/>
        <v>/</v>
      </c>
      <c r="K15" s="3" t="str">
        <f t="shared" si="8"/>
        <v/>
      </c>
      <c r="L15" s="3"/>
      <c r="M15" s="3" t="str">
        <f t="shared" si="1"/>
        <v/>
      </c>
      <c r="N15" s="3" t="str">
        <f t="shared" si="2"/>
        <v/>
      </c>
      <c r="O15" s="15" t="str">
        <f t="shared" si="3"/>
        <v/>
      </c>
      <c r="P15" s="2" t="str">
        <f t="shared" si="9"/>
        <v/>
      </c>
      <c r="Q15" s="2" t="str">
        <f t="shared" si="4"/>
        <v/>
      </c>
      <c r="R15" s="3" t="str">
        <f t="shared" si="5"/>
        <v/>
      </c>
      <c r="S15" s="2" t="str">
        <f t="shared" si="10"/>
        <v/>
      </c>
      <c r="T15" s="15">
        <f t="shared" si="6"/>
        <v>0</v>
      </c>
      <c r="U15" s="10"/>
      <c r="V15" s="2" t="str">
        <f t="shared" si="23"/>
        <v>/</v>
      </c>
      <c r="W15" s="2"/>
      <c r="X15" s="236" cm="1">
        <f t="array" ref="X15">SUMPRODUCT((info!$H$4:$H$58=Feuil1!$E15)*(info!$K$4:$K$58&lt;=Feuil1!$W15)*(info!$L$4:$L$58&gt;=Feuil1!$W15),info!$M$4:$M$58)</f>
        <v>0</v>
      </c>
      <c r="Y15" s="236" cm="1">
        <f t="array" ref="Y15">SUMPRODUCT((info!$H$4:$H$58=Feuil1!$E15)*(info!$K$4:$K$58&lt;=Feuil1!$W15)*(info!$L$4:$L$58&gt;=Feuil1!$W15),info!$N$4:$N$58)</f>
        <v>0</v>
      </c>
      <c r="Z15" s="83">
        <f t="shared" si="12"/>
        <v>0</v>
      </c>
      <c r="AA15" s="83">
        <f t="shared" si="13"/>
        <v>0</v>
      </c>
      <c r="AB15" s="76" t="s">
        <v>36</v>
      </c>
      <c r="AC15" s="77" t="str">
        <f>IF(+VLOOKUP($E15,info!$H:$Z,7,FALSE),+VLOOKUP($E15,info!$H:$Z,7,FALSE),"")</f>
        <v/>
      </c>
      <c r="AD15" s="77" t="str">
        <f>IF(+VLOOKUP($E15,info!$H:$Z,8,FALSE),+VLOOKUP($E15,info!$H:$Z,8,FALSE),"")</f>
        <v/>
      </c>
      <c r="AE15" s="77" t="str">
        <f t="shared" si="14"/>
        <v/>
      </c>
      <c r="AF15" s="77" t="str">
        <f t="shared" si="15"/>
        <v/>
      </c>
      <c r="AG15" s="64" t="s">
        <v>36</v>
      </c>
      <c r="AH15" s="58" t="str">
        <f>IF(+VLOOKUP($E15,info!$H:$Z,10,FALSE),+VLOOKUP($E15,info!$H:$Z,10,FALSE),"")</f>
        <v/>
      </c>
      <c r="AI15" s="58" t="str">
        <f>IF(+VLOOKUP($E15,info!$H:$Z,11,FALSE),+VLOOKUP($E15,info!$H:$Z,11,FALSE),"")</f>
        <v/>
      </c>
      <c r="AJ15" s="58" t="str">
        <f t="shared" si="16"/>
        <v/>
      </c>
      <c r="AK15" s="58" t="str">
        <f t="shared" si="17"/>
        <v/>
      </c>
      <c r="AL15" s="81" t="s">
        <v>36</v>
      </c>
      <c r="AM15" s="82" t="str">
        <f>IF(+VLOOKUP($E15,info!$H:$Z,13,FALSE),+VLOOKUP($E15,info!$H:$Z,13,FALSE),"")</f>
        <v/>
      </c>
      <c r="AN15" s="82" t="str">
        <f>IF(+VLOOKUP($E15,info!$H:$Z,14,FALSE),+VLOOKUP($E15,info!$H:$Z,14,FALSE),"")</f>
        <v/>
      </c>
      <c r="AO15" s="82" t="str">
        <f t="shared" si="18"/>
        <v/>
      </c>
      <c r="AP15" s="82" t="str">
        <f t="shared" si="19"/>
        <v/>
      </c>
      <c r="AQ15" s="79" t="s">
        <v>36</v>
      </c>
      <c r="AR15" s="80" t="str">
        <f>IF(+VLOOKUP($E15,info!$H:$Z,16,FALSE),+VLOOKUP($E15,info!$H:$Z,16,FALSE),"")</f>
        <v/>
      </c>
      <c r="AS15" s="80" t="str">
        <f>IF(+VLOOKUP($E15,info!$H:$Z,17,FALSE),+VLOOKUP($E15,info!$H:$Z,17,FALSE),"")</f>
        <v/>
      </c>
      <c r="AT15" s="80" t="str">
        <f t="shared" si="20"/>
        <v/>
      </c>
      <c r="AU15" s="80" t="str">
        <f t="shared" si="21"/>
        <v/>
      </c>
      <c r="AV15" s="57"/>
      <c r="AW15" s="167" t="s">
        <v>52</v>
      </c>
      <c r="AX15" s="168"/>
      <c r="AY15" s="168"/>
      <c r="AZ15" s="168"/>
      <c r="BA15" s="169"/>
      <c r="BB15" s="57"/>
    </row>
    <row r="16" spans="1:54" x14ac:dyDescent="0.25">
      <c r="A16" s="15" t="s">
        <v>36</v>
      </c>
      <c r="B16" s="3" t="s">
        <v>153</v>
      </c>
      <c r="C16" s="56" t="str">
        <f>+VLOOKUP(E16,info!H:I,2,FALSE)</f>
        <v>-</v>
      </c>
      <c r="D16" s="16" t="str">
        <f t="shared" si="22"/>
        <v>00-00-00</v>
      </c>
      <c r="E16" s="65" t="s">
        <v>36</v>
      </c>
      <c r="F16" s="65" t="s">
        <v>36</v>
      </c>
      <c r="G16" s="65" t="s">
        <v>36</v>
      </c>
      <c r="H16" s="65" t="s">
        <v>36</v>
      </c>
      <c r="I16" s="65" t="s">
        <v>108</v>
      </c>
      <c r="J16" s="4" t="str">
        <f t="shared" si="7"/>
        <v>/</v>
      </c>
      <c r="K16" s="3" t="str">
        <f t="shared" si="8"/>
        <v/>
      </c>
      <c r="L16" s="3"/>
      <c r="M16" s="3" t="str">
        <f t="shared" si="1"/>
        <v/>
      </c>
      <c r="N16" s="3" t="str">
        <f t="shared" si="2"/>
        <v/>
      </c>
      <c r="O16" s="15" t="str">
        <f t="shared" si="3"/>
        <v/>
      </c>
      <c r="P16" s="2" t="str">
        <f t="shared" si="9"/>
        <v/>
      </c>
      <c r="Q16" s="2" t="str">
        <f t="shared" si="4"/>
        <v/>
      </c>
      <c r="R16" s="3" t="str">
        <f t="shared" si="5"/>
        <v/>
      </c>
      <c r="S16" s="2" t="str">
        <f t="shared" si="10"/>
        <v/>
      </c>
      <c r="T16" s="15">
        <f t="shared" si="6"/>
        <v>0</v>
      </c>
      <c r="U16" s="10"/>
      <c r="V16" s="2" t="str">
        <f t="shared" si="23"/>
        <v>/</v>
      </c>
      <c r="W16" s="2"/>
      <c r="X16" s="236" cm="1">
        <f t="array" ref="X16">SUMPRODUCT((info!$H$4:$H$58=Feuil1!$E16)*(info!$K$4:$K$58&lt;=Feuil1!$W16)*(info!$L$4:$L$58&gt;=Feuil1!$W16),info!$M$4:$M$58)</f>
        <v>0</v>
      </c>
      <c r="Y16" s="236" cm="1">
        <f t="array" ref="Y16">SUMPRODUCT((info!$H$4:$H$58=Feuil1!$E16)*(info!$K$4:$K$58&lt;=Feuil1!$W16)*(info!$L$4:$L$58&gt;=Feuil1!$W16),info!$N$4:$N$58)</f>
        <v>0</v>
      </c>
      <c r="Z16" s="83">
        <f t="shared" si="12"/>
        <v>0</v>
      </c>
      <c r="AA16" s="83">
        <f t="shared" si="13"/>
        <v>0</v>
      </c>
      <c r="AB16" s="76" t="s">
        <v>36</v>
      </c>
      <c r="AC16" s="77" t="str">
        <f>IF(+VLOOKUP($E16,info!$H:$Z,7,FALSE),+VLOOKUP($E16,info!$H:$Z,7,FALSE),"")</f>
        <v/>
      </c>
      <c r="AD16" s="77" t="str">
        <f>IF(+VLOOKUP($E16,info!$H:$Z,8,FALSE),+VLOOKUP($E16,info!$H:$Z,8,FALSE),"")</f>
        <v/>
      </c>
      <c r="AE16" s="77" t="str">
        <f t="shared" si="14"/>
        <v/>
      </c>
      <c r="AF16" s="77" t="str">
        <f t="shared" si="15"/>
        <v/>
      </c>
      <c r="AG16" s="64" t="s">
        <v>36</v>
      </c>
      <c r="AH16" s="58" t="str">
        <f>IF(+VLOOKUP($E16,info!$H:$Z,10,FALSE),+VLOOKUP($E16,info!$H:$Z,10,FALSE),"")</f>
        <v/>
      </c>
      <c r="AI16" s="58" t="str">
        <f>IF(+VLOOKUP($E16,info!$H:$Z,11,FALSE),+VLOOKUP($E16,info!$H:$Z,11,FALSE),"")</f>
        <v/>
      </c>
      <c r="AJ16" s="58" t="str">
        <f t="shared" si="16"/>
        <v/>
      </c>
      <c r="AK16" s="58" t="str">
        <f t="shared" si="17"/>
        <v/>
      </c>
      <c r="AL16" s="81" t="s">
        <v>36</v>
      </c>
      <c r="AM16" s="82" t="str">
        <f>IF(+VLOOKUP($E16,info!$H:$Z,13,FALSE),+VLOOKUP($E16,info!$H:$Z,13,FALSE),"")</f>
        <v/>
      </c>
      <c r="AN16" s="82" t="str">
        <f>IF(+VLOOKUP($E16,info!$H:$Z,14,FALSE),+VLOOKUP($E16,info!$H:$Z,14,FALSE),"")</f>
        <v/>
      </c>
      <c r="AO16" s="82" t="str">
        <f t="shared" si="18"/>
        <v/>
      </c>
      <c r="AP16" s="82" t="str">
        <f t="shared" si="19"/>
        <v/>
      </c>
      <c r="AQ16" s="79" t="s">
        <v>36</v>
      </c>
      <c r="AR16" s="80" t="str">
        <f>IF(+VLOOKUP($E16,info!$H:$Z,16,FALSE),+VLOOKUP($E16,info!$H:$Z,16,FALSE),"")</f>
        <v/>
      </c>
      <c r="AS16" s="80" t="str">
        <f>IF(+VLOOKUP($E16,info!$H:$Z,17,FALSE),+VLOOKUP($E16,info!$H:$Z,17,FALSE),"")</f>
        <v/>
      </c>
      <c r="AT16" s="80" t="str">
        <f t="shared" si="20"/>
        <v/>
      </c>
      <c r="AU16" s="80" t="str">
        <f t="shared" si="21"/>
        <v/>
      </c>
      <c r="AV16" s="57"/>
      <c r="AW16" s="11" t="s">
        <v>54</v>
      </c>
      <c r="AX16" s="12">
        <f>+SUMIF(F5:F70,"Préparateur DR 16",O5:O70)</f>
        <v>0</v>
      </c>
      <c r="AY16" s="13">
        <f>+SUMIF(F5:F70,"Préparateur DR 16",P5:P70)</f>
        <v>0</v>
      </c>
      <c r="AZ16" s="13">
        <f>+SUMIF(F5:F70,"Préparateur DR 16",Q5:Q70)</f>
        <v>0</v>
      </c>
      <c r="BA16" s="14">
        <f>+SUMIF(F5:F70,"Préparateur DR 16",S5:S70)</f>
        <v>0</v>
      </c>
      <c r="BB16" s="57"/>
    </row>
    <row r="17" spans="1:54" x14ac:dyDescent="0.25">
      <c r="A17" s="15" t="s">
        <v>36</v>
      </c>
      <c r="B17" s="3" t="s">
        <v>153</v>
      </c>
      <c r="C17" s="56" t="str">
        <f>+VLOOKUP(E17,info!H:I,2,FALSE)</f>
        <v>PIXID</v>
      </c>
      <c r="D17" s="16" t="str">
        <f t="shared" si="22"/>
        <v>00-00-00</v>
      </c>
      <c r="E17" s="18" t="s">
        <v>113</v>
      </c>
      <c r="F17" s="17" t="s">
        <v>39</v>
      </c>
      <c r="G17" s="17" t="s">
        <v>50</v>
      </c>
      <c r="H17" s="17"/>
      <c r="I17" s="17"/>
      <c r="J17" s="4" t="str">
        <f t="shared" si="7"/>
        <v/>
      </c>
      <c r="K17" s="3" t="str">
        <f t="shared" si="8"/>
        <v/>
      </c>
      <c r="L17" s="3"/>
      <c r="M17" s="3" t="str">
        <f t="shared" si="1"/>
        <v/>
      </c>
      <c r="N17" s="3" t="str">
        <f t="shared" si="2"/>
        <v/>
      </c>
      <c r="O17" s="15" t="str">
        <f t="shared" si="3"/>
        <v/>
      </c>
      <c r="P17" s="2" t="str">
        <f t="shared" si="9"/>
        <v/>
      </c>
      <c r="Q17" s="2" t="str">
        <f t="shared" si="4"/>
        <v/>
      </c>
      <c r="R17" s="3" t="str">
        <f t="shared" si="5"/>
        <v/>
      </c>
      <c r="S17" s="2" t="str">
        <f t="shared" si="10"/>
        <v/>
      </c>
      <c r="T17" s="15">
        <f t="shared" si="6"/>
        <v>0</v>
      </c>
      <c r="U17" s="10"/>
      <c r="V17" s="2">
        <f t="shared" si="23"/>
        <v>35</v>
      </c>
      <c r="W17" s="2">
        <v>11.52</v>
      </c>
      <c r="X17" s="236" cm="1">
        <f t="array" ref="X17">SUMPRODUCT((info!$H$4:$H$58=Feuil1!$E17)*(info!$K$4:$K$58&lt;=Feuil1!$W17)*(info!$L$4:$L$58&gt;=Feuil1!$W17),info!$M$4:$M$58)</f>
        <v>1.83</v>
      </c>
      <c r="Y17" s="236" cm="1">
        <f t="array" ref="Y17">SUMPRODUCT((info!$H$4:$H$58=Feuil1!$E17)*(info!$K$4:$K$58&lt;=Feuil1!$W17)*(info!$L$4:$L$58&gt;=Feuil1!$W17),info!$N$4:$N$58)</f>
        <v>1.79</v>
      </c>
      <c r="Z17" s="83">
        <f t="shared" si="12"/>
        <v>21.081600000000002</v>
      </c>
      <c r="AA17" s="83">
        <f t="shared" si="13"/>
        <v>20.620799999999999</v>
      </c>
      <c r="AB17" s="76" t="s">
        <v>36</v>
      </c>
      <c r="AC17" s="77">
        <f>IF(+VLOOKUP($E17,info!$H:$Z,7,FALSE),+VLOOKUP($E17,info!$H:$Z,7,FALSE),"")</f>
        <v>1.79</v>
      </c>
      <c r="AD17" s="77" t="str">
        <f>IF(+VLOOKUP($E17,info!$H:$Z,8,FALSE),+VLOOKUP($E17,info!$H:$Z,8,FALSE),"")</f>
        <v/>
      </c>
      <c r="AE17" s="77">
        <f t="shared" si="14"/>
        <v>5.1551999999999998</v>
      </c>
      <c r="AF17" s="77" t="str">
        <f t="shared" si="15"/>
        <v/>
      </c>
      <c r="AG17" s="64" t="s">
        <v>36</v>
      </c>
      <c r="AH17" s="58">
        <f>IF(+VLOOKUP($E17,info!$H:$Z,10,FALSE),+VLOOKUP($E17,info!$H:$Z,10,FALSE),"")</f>
        <v>1.79</v>
      </c>
      <c r="AI17" s="58" t="str">
        <f>IF(+VLOOKUP($E17,info!$H:$Z,11,FALSE),+VLOOKUP($E17,info!$H:$Z,11,FALSE),"")</f>
        <v/>
      </c>
      <c r="AJ17" s="58">
        <f t="shared" si="16"/>
        <v>10.3104</v>
      </c>
      <c r="AK17" s="58" t="str">
        <f t="shared" si="17"/>
        <v/>
      </c>
      <c r="AL17" s="81" t="s">
        <v>36</v>
      </c>
      <c r="AM17" s="82">
        <f>IF(+VLOOKUP($E17,info!$H:$Z,13,FALSE),+VLOOKUP($E17,info!$H:$Z,13,FALSE),"")</f>
        <v>1.79</v>
      </c>
      <c r="AN17" s="82" t="str">
        <f>IF(+VLOOKUP($E17,info!$H:$Z,14,FALSE),+VLOOKUP($E17,info!$H:$Z,14,FALSE),"")</f>
        <v/>
      </c>
      <c r="AO17" s="82">
        <f t="shared" si="18"/>
        <v>25.776</v>
      </c>
      <c r="AP17" s="82" t="str">
        <f t="shared" si="19"/>
        <v/>
      </c>
      <c r="AQ17" s="79" t="s">
        <v>36</v>
      </c>
      <c r="AR17" s="80">
        <f>IF(+VLOOKUP($E17,info!$H:$Z,16,FALSE),+VLOOKUP($E17,info!$H:$Z,16,FALSE),"")</f>
        <v>1.79</v>
      </c>
      <c r="AS17" s="80" t="str">
        <f>IF(+VLOOKUP($E17,info!$H:$Z,17,FALSE),+VLOOKUP($E17,info!$H:$Z,17,FALSE),"")</f>
        <v/>
      </c>
      <c r="AT17" s="80">
        <f t="shared" si="20"/>
        <v>4.1241599999999998</v>
      </c>
      <c r="AU17" s="80" t="str">
        <f t="shared" si="21"/>
        <v/>
      </c>
      <c r="AV17" s="57"/>
      <c r="AW17" s="11" t="s">
        <v>57</v>
      </c>
      <c r="AX17" s="12">
        <f>+SUMIF(F5:F70,"Nettoyeur DR",O5:O70)</f>
        <v>0</v>
      </c>
      <c r="AY17" s="13">
        <f>+SUMIF(F5:F70,"Nettoyeur DR",P5:P70)</f>
        <v>0</v>
      </c>
      <c r="AZ17" s="13">
        <f>+SUMIF(F5:F70,"Nettoyeur DR",Q5:Q70)</f>
        <v>0</v>
      </c>
      <c r="BA17" s="14">
        <f>+SUMIF(F5:F70,"Nettoyeur DR",S5:S70)</f>
        <v>0</v>
      </c>
      <c r="BB17" s="57"/>
    </row>
    <row r="18" spans="1:54" x14ac:dyDescent="0.25">
      <c r="A18" s="15" t="s">
        <v>36</v>
      </c>
      <c r="B18" s="3" t="s">
        <v>153</v>
      </c>
      <c r="C18" s="56" t="str">
        <f>+VLOOKUP(E18,info!H:I,2,FALSE)</f>
        <v>Armado</v>
      </c>
      <c r="D18" s="16" t="str">
        <f t="shared" si="22"/>
        <v>00-00-00</v>
      </c>
      <c r="E18" s="69" t="s">
        <v>46</v>
      </c>
      <c r="F18" s="17" t="s">
        <v>39</v>
      </c>
      <c r="G18" s="17" t="s">
        <v>50</v>
      </c>
      <c r="H18" s="17"/>
      <c r="I18" s="17"/>
      <c r="J18" s="4" t="str">
        <f t="shared" si="7"/>
        <v/>
      </c>
      <c r="K18" s="3" t="str">
        <f t="shared" si="8"/>
        <v/>
      </c>
      <c r="L18" s="3"/>
      <c r="M18" s="3" t="str">
        <f t="shared" si="1"/>
        <v/>
      </c>
      <c r="N18" s="3" t="str">
        <f t="shared" si="2"/>
        <v/>
      </c>
      <c r="O18" s="15" t="str">
        <f t="shared" si="3"/>
        <v/>
      </c>
      <c r="P18" s="2" t="str">
        <f t="shared" si="9"/>
        <v/>
      </c>
      <c r="Q18" s="2" t="str">
        <f t="shared" si="4"/>
        <v/>
      </c>
      <c r="R18" s="3" t="str">
        <f t="shared" si="5"/>
        <v/>
      </c>
      <c r="S18" s="2" t="str">
        <f t="shared" si="10"/>
        <v/>
      </c>
      <c r="T18" s="15">
        <f t="shared" si="6"/>
        <v>0</v>
      </c>
      <c r="U18" s="10"/>
      <c r="V18" s="2">
        <f t="shared" si="23"/>
        <v>35</v>
      </c>
      <c r="W18" s="2">
        <v>11.52</v>
      </c>
      <c r="X18" s="236" cm="1">
        <f t="array" ref="X18">SUMPRODUCT((info!$H$4:$H$58=Feuil1!$E18)*(info!$K$4:$K$58&lt;=Feuil1!$W18)*(info!$L$4:$L$58&gt;=Feuil1!$W18),info!$M$4:$M$58)</f>
        <v>0</v>
      </c>
      <c r="Y18" s="236" cm="1">
        <f t="array" ref="Y18">SUMPRODUCT((info!$H$4:$H$58=Feuil1!$E18)*(info!$K$4:$K$58&lt;=Feuil1!$W18)*(info!$L$4:$L$58&gt;=Feuil1!$W18),info!$N$4:$N$58)</f>
        <v>0</v>
      </c>
      <c r="Z18" s="83">
        <f t="shared" si="12"/>
        <v>0</v>
      </c>
      <c r="AA18" s="83">
        <f t="shared" si="13"/>
        <v>0</v>
      </c>
      <c r="AB18" s="76" t="s">
        <v>36</v>
      </c>
      <c r="AC18" s="77" t="str">
        <f>IF(+VLOOKUP($E18,info!$H:$Z,7,FALSE),+VLOOKUP($E18,info!$H:$Z,7,FALSE),"")</f>
        <v/>
      </c>
      <c r="AD18" s="77" t="str">
        <f>IF(+VLOOKUP($E18,info!$H:$Z,8,FALSE),+VLOOKUP($E18,info!$H:$Z,8,FALSE),"")</f>
        <v/>
      </c>
      <c r="AE18" s="77" t="str">
        <f t="shared" si="14"/>
        <v/>
      </c>
      <c r="AF18" s="77" t="str">
        <f t="shared" si="15"/>
        <v/>
      </c>
      <c r="AG18" s="64" t="s">
        <v>36</v>
      </c>
      <c r="AH18" s="58" t="str">
        <f>IF(+VLOOKUP($E18,info!$H:$Z,10,FALSE),+VLOOKUP($E18,info!$H:$Z,10,FALSE),"")</f>
        <v/>
      </c>
      <c r="AI18" s="58" t="str">
        <f>IF(+VLOOKUP($E18,info!$H:$Z,11,FALSE),+VLOOKUP($E18,info!$H:$Z,11,FALSE),"")</f>
        <v/>
      </c>
      <c r="AJ18" s="58" t="str">
        <f t="shared" si="16"/>
        <v/>
      </c>
      <c r="AK18" s="58" t="str">
        <f t="shared" si="17"/>
        <v/>
      </c>
      <c r="AL18" s="81" t="s">
        <v>36</v>
      </c>
      <c r="AM18" s="82" t="str">
        <f>IF(+VLOOKUP($E18,info!$H:$Z,13,FALSE),+VLOOKUP($E18,info!$H:$Z,13,FALSE),"")</f>
        <v/>
      </c>
      <c r="AN18" s="82" t="str">
        <f>IF(+VLOOKUP($E18,info!$H:$Z,14,FALSE),+VLOOKUP($E18,info!$H:$Z,14,FALSE),"")</f>
        <v/>
      </c>
      <c r="AO18" s="82" t="str">
        <f t="shared" si="18"/>
        <v/>
      </c>
      <c r="AP18" s="82" t="str">
        <f t="shared" si="19"/>
        <v/>
      </c>
      <c r="AQ18" s="79" t="s">
        <v>36</v>
      </c>
      <c r="AR18" s="80" t="str">
        <f>IF(+VLOOKUP($E18,info!$H:$Z,16,FALSE),+VLOOKUP($E18,info!$H:$Z,16,FALSE),"")</f>
        <v/>
      </c>
      <c r="AS18" s="80" t="str">
        <f>IF(+VLOOKUP($E18,info!$H:$Z,17,FALSE),+VLOOKUP($E18,info!$H:$Z,17,FALSE),"")</f>
        <v/>
      </c>
      <c r="AT18" s="80" t="str">
        <f t="shared" si="20"/>
        <v/>
      </c>
      <c r="AU18" s="80" t="str">
        <f t="shared" si="21"/>
        <v/>
      </c>
      <c r="AV18" s="57"/>
      <c r="AW18" s="11" t="s">
        <v>58</v>
      </c>
      <c r="AX18" s="12">
        <f>+SUMIF(F5:F70,"Controleur DR",O5:O70)</f>
        <v>0</v>
      </c>
      <c r="AY18" s="13">
        <f>+SUMIF(F5:F70,"Controleur DR",P5:P70)</f>
        <v>0</v>
      </c>
      <c r="AZ18" s="13">
        <f>+SUMIF(F5:F70,"Controleur DR",Q5:Q70)</f>
        <v>0</v>
      </c>
      <c r="BA18" s="14">
        <f>+SUMIF(F5:F70,"Controleur DR",S5:S70)</f>
        <v>0</v>
      </c>
      <c r="BB18" s="57"/>
    </row>
    <row r="19" spans="1:54" x14ac:dyDescent="0.25">
      <c r="A19" s="15" t="s">
        <v>36</v>
      </c>
      <c r="B19" s="3" t="s">
        <v>153</v>
      </c>
      <c r="C19" s="56" t="str">
        <f>+VLOOKUP(E19,info!H:I,2,FALSE)</f>
        <v>Instant</v>
      </c>
      <c r="D19" s="16" t="str">
        <f t="shared" si="22"/>
        <v>00-00-00</v>
      </c>
      <c r="E19" s="65" t="s">
        <v>154</v>
      </c>
      <c r="F19" s="17" t="s">
        <v>39</v>
      </c>
      <c r="G19" s="17" t="s">
        <v>53</v>
      </c>
      <c r="H19" s="17"/>
      <c r="I19" s="17"/>
      <c r="J19" s="4" t="str">
        <f t="shared" ref="J19:J20" si="24">+IF(I19="/","/","")</f>
        <v/>
      </c>
      <c r="K19" s="3" t="str">
        <f t="shared" si="8"/>
        <v/>
      </c>
      <c r="L19" s="3"/>
      <c r="M19" s="3" t="str">
        <f t="shared" si="1"/>
        <v/>
      </c>
      <c r="N19" s="3" t="str">
        <f t="shared" si="2"/>
        <v/>
      </c>
      <c r="O19" s="15" t="str">
        <f t="shared" si="3"/>
        <v/>
      </c>
      <c r="P19" s="2" t="str">
        <f t="shared" si="9"/>
        <v/>
      </c>
      <c r="Q19" s="2" t="str">
        <f t="shared" si="4"/>
        <v/>
      </c>
      <c r="R19" s="3" t="str">
        <f t="shared" si="5"/>
        <v/>
      </c>
      <c r="S19" s="2" t="str">
        <f t="shared" si="10"/>
        <v/>
      </c>
      <c r="T19" s="15">
        <f t="shared" si="6"/>
        <v>0</v>
      </c>
      <c r="U19" s="10"/>
      <c r="V19" s="2">
        <f t="shared" si="23"/>
        <v>35</v>
      </c>
      <c r="W19" s="2">
        <v>11.52</v>
      </c>
      <c r="X19" s="236" cm="1">
        <f t="array" ref="X19">SUMPRODUCT((info!$H$4:$H$58=Feuil1!$E19)*(info!$K$4:$K$58&lt;=Feuil1!$W19)*(info!$L$4:$L$58&gt;=Feuil1!$W19),info!$M$4:$M$58)</f>
        <v>1.79</v>
      </c>
      <c r="Y19" s="236" cm="1">
        <f t="array" ref="Y19">SUMPRODUCT((info!$H$4:$H$58=Feuil1!$E19)*(info!$K$4:$K$58&lt;=Feuil1!$W19)*(info!$L$4:$L$58&gt;=Feuil1!$W19),info!$N$4:$N$58)</f>
        <v>1.78</v>
      </c>
      <c r="Z19" s="83">
        <f t="shared" si="12"/>
        <v>20.620799999999999</v>
      </c>
      <c r="AA19" s="83">
        <f t="shared" si="13"/>
        <v>20.505600000000001</v>
      </c>
      <c r="AB19" s="76" t="s">
        <v>36</v>
      </c>
      <c r="AC19" s="77">
        <f>IF(+VLOOKUP($E19,info!$H:$Z,7,FALSE),+VLOOKUP($E19,info!$H:$Z,7,FALSE),"")</f>
        <v>1.78</v>
      </c>
      <c r="AD19" s="77">
        <f>IF(+VLOOKUP($E19,info!$H:$Z,8,FALSE),+VLOOKUP($E19,info!$H:$Z,8,FALSE),"")</f>
        <v>0.06</v>
      </c>
      <c r="AE19" s="77">
        <f t="shared" si="14"/>
        <v>5.1264000000000003</v>
      </c>
      <c r="AF19" s="77">
        <f t="shared" si="15"/>
        <v>0.17279999999999998</v>
      </c>
      <c r="AG19" s="64" t="s">
        <v>36</v>
      </c>
      <c r="AH19" s="58">
        <f>IF(+VLOOKUP($E19,info!$H:$Z,10,FALSE),+VLOOKUP($E19,info!$H:$Z,10,FALSE),"")</f>
        <v>1.84</v>
      </c>
      <c r="AI19" s="58">
        <f>IF(+VLOOKUP($E19,info!$H:$Z,11,FALSE),+VLOOKUP($E19,info!$H:$Z,11,FALSE),"")</f>
        <v>0.06</v>
      </c>
      <c r="AJ19" s="58">
        <f t="shared" si="16"/>
        <v>10.5984</v>
      </c>
      <c r="AK19" s="58">
        <f t="shared" si="17"/>
        <v>0.34559999999999996</v>
      </c>
      <c r="AL19" s="81" t="s">
        <v>36</v>
      </c>
      <c r="AM19" s="82">
        <f>IF(+VLOOKUP($E19,info!$H:$Z,13,FALSE),+VLOOKUP($E19,info!$H:$Z,13,FALSE),"")</f>
        <v>1.84</v>
      </c>
      <c r="AN19" s="82">
        <f>IF(+VLOOKUP($E19,info!$H:$Z,14,FALSE),+VLOOKUP($E19,info!$H:$Z,14,FALSE),"")</f>
        <v>0.06</v>
      </c>
      <c r="AO19" s="82">
        <f t="shared" si="18"/>
        <v>26.495999999999999</v>
      </c>
      <c r="AP19" s="82">
        <f t="shared" si="19"/>
        <v>0.86399999999999988</v>
      </c>
      <c r="AQ19" s="79" t="s">
        <v>36</v>
      </c>
      <c r="AR19" s="80">
        <f>IF(+VLOOKUP($E19,info!$H:$Z,16,FALSE),+VLOOKUP($E19,info!$H:$Z,16,FALSE),"")</f>
        <v>1.84</v>
      </c>
      <c r="AS19" s="80">
        <f>IF(+VLOOKUP($E19,info!$H:$Z,17,FALSE),+VLOOKUP($E19,info!$H:$Z,17,FALSE),"")</f>
        <v>0.06</v>
      </c>
      <c r="AT19" s="80">
        <f t="shared" si="20"/>
        <v>4.2393600000000005</v>
      </c>
      <c r="AU19" s="80">
        <f t="shared" si="21"/>
        <v>0.13824</v>
      </c>
      <c r="AV19" s="57"/>
      <c r="AW19" s="11" t="s">
        <v>60</v>
      </c>
      <c r="AX19" s="12">
        <f>+SUMIF(F5:F70,"Tireur nuit DR",O5:O70)</f>
        <v>0</v>
      </c>
      <c r="AY19" s="13">
        <f>+SUMIF(F5:F70,"Tireur nuit DR",P5:P70)</f>
        <v>0</v>
      </c>
      <c r="AZ19" s="13">
        <f>+SUMIF(F5:F70,"Tireur nuit DR",Q5:Q70)</f>
        <v>0</v>
      </c>
      <c r="BA19" s="14">
        <f>+SUMIF(F5:F70,"Tireur nuit DR",S5:S70)</f>
        <v>0</v>
      </c>
      <c r="BB19" s="57"/>
    </row>
    <row r="20" spans="1:54" x14ac:dyDescent="0.25">
      <c r="A20" s="15" t="s">
        <v>36</v>
      </c>
      <c r="B20" s="3" t="s">
        <v>153</v>
      </c>
      <c r="C20" s="56" t="str">
        <f>+VLOOKUP(E20,info!H:I,2,FALSE)</f>
        <v>-</v>
      </c>
      <c r="D20" s="16" t="str">
        <f t="shared" si="22"/>
        <v>00-00-00</v>
      </c>
      <c r="E20" s="69" t="s">
        <v>36</v>
      </c>
      <c r="F20" s="17" t="s">
        <v>39</v>
      </c>
      <c r="G20" s="17" t="s">
        <v>53</v>
      </c>
      <c r="H20" s="65" t="s">
        <v>36</v>
      </c>
      <c r="I20" s="65" t="s">
        <v>108</v>
      </c>
      <c r="J20" s="4" t="str">
        <f t="shared" si="24"/>
        <v>/</v>
      </c>
      <c r="K20" s="3" t="str">
        <f t="shared" si="8"/>
        <v/>
      </c>
      <c r="L20" s="3"/>
      <c r="M20" s="3" t="str">
        <f t="shared" si="1"/>
        <v/>
      </c>
      <c r="N20" s="3" t="str">
        <f t="shared" si="2"/>
        <v/>
      </c>
      <c r="O20" s="15" t="str">
        <f t="shared" si="3"/>
        <v/>
      </c>
      <c r="P20" s="2" t="str">
        <f t="shared" si="9"/>
        <v/>
      </c>
      <c r="Q20" s="2" t="str">
        <f t="shared" si="4"/>
        <v/>
      </c>
      <c r="R20" s="3" t="str">
        <f t="shared" si="5"/>
        <v/>
      </c>
      <c r="S20" s="2" t="str">
        <f t="shared" si="10"/>
        <v/>
      </c>
      <c r="T20" s="15">
        <f t="shared" si="6"/>
        <v>0</v>
      </c>
      <c r="U20" s="10"/>
      <c r="V20" s="2" t="str">
        <f t="shared" si="23"/>
        <v>/</v>
      </c>
      <c r="W20" s="2"/>
      <c r="X20" s="236" cm="1">
        <f t="array" ref="X20">SUMPRODUCT((info!$H$4:$H$58=Feuil1!$E20)*(info!$K$4:$K$58&lt;=Feuil1!$W20)*(info!$L$4:$L$58&gt;=Feuil1!$W20),info!$M$4:$M$58)</f>
        <v>0</v>
      </c>
      <c r="Y20" s="236" cm="1">
        <f t="array" ref="Y20">SUMPRODUCT((info!$H$4:$H$58=Feuil1!$E20)*(info!$K$4:$K$58&lt;=Feuil1!$W20)*(info!$L$4:$L$58&gt;=Feuil1!$W20),info!$N$4:$N$58)</f>
        <v>0</v>
      </c>
      <c r="Z20" s="83">
        <f t="shared" si="12"/>
        <v>0</v>
      </c>
      <c r="AA20" s="83">
        <f t="shared" si="13"/>
        <v>0</v>
      </c>
      <c r="AB20" s="76" t="s">
        <v>36</v>
      </c>
      <c r="AC20" s="77" t="str">
        <f>IF(+VLOOKUP($E20,info!$H:$Z,7,FALSE),+VLOOKUP($E20,info!$H:$Z,7,FALSE),"")</f>
        <v/>
      </c>
      <c r="AD20" s="77" t="str">
        <f>IF(+VLOOKUP($E20,info!$H:$Z,8,FALSE),+VLOOKUP($E20,info!$H:$Z,8,FALSE),"")</f>
        <v/>
      </c>
      <c r="AE20" s="77" t="str">
        <f t="shared" si="14"/>
        <v/>
      </c>
      <c r="AF20" s="77" t="str">
        <f t="shared" si="15"/>
        <v/>
      </c>
      <c r="AG20" s="64" t="s">
        <v>36</v>
      </c>
      <c r="AH20" s="58" t="str">
        <f>IF(+VLOOKUP($E20,info!$H:$Z,10,FALSE),+VLOOKUP($E20,info!$H:$Z,10,FALSE),"")</f>
        <v/>
      </c>
      <c r="AI20" s="58" t="str">
        <f>IF(+VLOOKUP($E20,info!$H:$Z,11,FALSE),+VLOOKUP($E20,info!$H:$Z,11,FALSE),"")</f>
        <v/>
      </c>
      <c r="AJ20" s="58" t="str">
        <f t="shared" si="16"/>
        <v/>
      </c>
      <c r="AK20" s="58" t="str">
        <f t="shared" si="17"/>
        <v/>
      </c>
      <c r="AL20" s="81" t="s">
        <v>36</v>
      </c>
      <c r="AM20" s="82" t="str">
        <f>IF(+VLOOKUP($E20,info!$H:$Z,13,FALSE),+VLOOKUP($E20,info!$H:$Z,13,FALSE),"")</f>
        <v/>
      </c>
      <c r="AN20" s="82" t="str">
        <f>IF(+VLOOKUP($E20,info!$H:$Z,14,FALSE),+VLOOKUP($E20,info!$H:$Z,14,FALSE),"")</f>
        <v/>
      </c>
      <c r="AO20" s="82" t="str">
        <f t="shared" si="18"/>
        <v/>
      </c>
      <c r="AP20" s="82" t="str">
        <f t="shared" si="19"/>
        <v/>
      </c>
      <c r="AQ20" s="79" t="s">
        <v>36</v>
      </c>
      <c r="AR20" s="80" t="str">
        <f>IF(+VLOOKUP($E20,info!$H:$Z,16,FALSE),+VLOOKUP($E20,info!$H:$Z,16,FALSE),"")</f>
        <v/>
      </c>
      <c r="AS20" s="80" t="str">
        <f>IF(+VLOOKUP($E20,info!$H:$Z,17,FALSE),+VLOOKUP($E20,info!$H:$Z,17,FALSE),"")</f>
        <v/>
      </c>
      <c r="AT20" s="80" t="str">
        <f t="shared" si="20"/>
        <v/>
      </c>
      <c r="AU20" s="80" t="str">
        <f t="shared" si="21"/>
        <v/>
      </c>
      <c r="AV20" s="57"/>
      <c r="AW20" s="11" t="s">
        <v>61</v>
      </c>
      <c r="AX20" s="12">
        <f>+SUMIF(F5:F70,"Tireur matin DR",O5:O70)</f>
        <v>0</v>
      </c>
      <c r="AY20" s="13">
        <f>+SUMIF(F5:F70,"Tireur matin DR",P5:P70)</f>
        <v>0</v>
      </c>
      <c r="AZ20" s="13">
        <f>+SUMIF(F5:F70,"Tireur matin DR",Q5:Q70)</f>
        <v>0</v>
      </c>
      <c r="BA20" s="14">
        <f>+SUMIF(F5:F70,"Tireur matin DR",S5:S70)</f>
        <v>0</v>
      </c>
      <c r="BB20" s="57"/>
    </row>
    <row r="21" spans="1:54" x14ac:dyDescent="0.25">
      <c r="A21" s="15" t="s">
        <v>36</v>
      </c>
      <c r="B21" s="3" t="s">
        <v>153</v>
      </c>
      <c r="C21" s="56" t="str">
        <f>+VLOOKUP(E21,info!H:I,2,FALSE)</f>
        <v>-</v>
      </c>
      <c r="D21" s="16" t="str">
        <f t="shared" si="22"/>
        <v>00-00-00</v>
      </c>
      <c r="E21" s="65" t="s">
        <v>36</v>
      </c>
      <c r="F21" s="65" t="s">
        <v>36</v>
      </c>
      <c r="G21" s="65" t="s">
        <v>36</v>
      </c>
      <c r="H21" s="65" t="s">
        <v>36</v>
      </c>
      <c r="I21" s="65" t="s">
        <v>108</v>
      </c>
      <c r="J21" s="4" t="str">
        <f t="shared" si="7"/>
        <v>/</v>
      </c>
      <c r="K21" s="3" t="str">
        <f t="shared" si="8"/>
        <v/>
      </c>
      <c r="L21" s="3"/>
      <c r="M21" s="3" t="str">
        <f t="shared" si="1"/>
        <v/>
      </c>
      <c r="N21" s="3" t="str">
        <f t="shared" si="2"/>
        <v/>
      </c>
      <c r="O21" s="15" t="str">
        <f t="shared" si="3"/>
        <v/>
      </c>
      <c r="P21" s="2" t="str">
        <f t="shared" si="9"/>
        <v/>
      </c>
      <c r="Q21" s="2" t="str">
        <f t="shared" si="4"/>
        <v/>
      </c>
      <c r="R21" s="3" t="str">
        <f t="shared" si="5"/>
        <v/>
      </c>
      <c r="S21" s="2" t="str">
        <f t="shared" si="10"/>
        <v/>
      </c>
      <c r="T21" s="15">
        <f t="shared" si="6"/>
        <v>0</v>
      </c>
      <c r="U21" s="10"/>
      <c r="V21" s="2" t="str">
        <f t="shared" si="23"/>
        <v>/</v>
      </c>
      <c r="W21" s="2"/>
      <c r="X21" s="236" cm="1">
        <f t="array" ref="X21">SUMPRODUCT((info!$H$4:$H$58=Feuil1!$E21)*(info!$K$4:$K$58&lt;=Feuil1!$W21)*(info!$L$4:$L$58&gt;=Feuil1!$W21),info!$M$4:$M$58)</f>
        <v>0</v>
      </c>
      <c r="Y21" s="236" cm="1">
        <f t="array" ref="Y21">SUMPRODUCT((info!$H$4:$H$58=Feuil1!$E21)*(info!$K$4:$K$58&lt;=Feuil1!$W21)*(info!$L$4:$L$58&gt;=Feuil1!$W21),info!$N$4:$N$58)</f>
        <v>0</v>
      </c>
      <c r="Z21" s="83">
        <f t="shared" si="12"/>
        <v>0</v>
      </c>
      <c r="AA21" s="83">
        <f t="shared" si="13"/>
        <v>0</v>
      </c>
      <c r="AB21" s="76" t="s">
        <v>36</v>
      </c>
      <c r="AC21" s="77" t="str">
        <f>IF(+VLOOKUP($E21,info!$H:$Z,7,FALSE),+VLOOKUP($E21,info!$H:$Z,7,FALSE),"")</f>
        <v/>
      </c>
      <c r="AD21" s="77" t="str">
        <f>IF(+VLOOKUP($E21,info!$H:$Z,8,FALSE),+VLOOKUP($E21,info!$H:$Z,8,FALSE),"")</f>
        <v/>
      </c>
      <c r="AE21" s="77" t="str">
        <f t="shared" si="14"/>
        <v/>
      </c>
      <c r="AF21" s="77" t="str">
        <f t="shared" si="15"/>
        <v/>
      </c>
      <c r="AG21" s="64" t="s">
        <v>36</v>
      </c>
      <c r="AH21" s="58" t="str">
        <f>IF(+VLOOKUP($E21,info!$H:$Z,10,FALSE),+VLOOKUP($E21,info!$H:$Z,10,FALSE),"")</f>
        <v/>
      </c>
      <c r="AI21" s="58" t="str">
        <f>IF(+VLOOKUP($E21,info!$H:$Z,11,FALSE),+VLOOKUP($E21,info!$H:$Z,11,FALSE),"")</f>
        <v/>
      </c>
      <c r="AJ21" s="58" t="str">
        <f t="shared" si="16"/>
        <v/>
      </c>
      <c r="AK21" s="58" t="str">
        <f t="shared" si="17"/>
        <v/>
      </c>
      <c r="AL21" s="81" t="s">
        <v>36</v>
      </c>
      <c r="AM21" s="82" t="str">
        <f>IF(+VLOOKUP($E21,info!$H:$Z,13,FALSE),+VLOOKUP($E21,info!$H:$Z,13,FALSE),"")</f>
        <v/>
      </c>
      <c r="AN21" s="82" t="str">
        <f>IF(+VLOOKUP($E21,info!$H:$Z,14,FALSE),+VLOOKUP($E21,info!$H:$Z,14,FALSE),"")</f>
        <v/>
      </c>
      <c r="AO21" s="82" t="str">
        <f t="shared" si="18"/>
        <v/>
      </c>
      <c r="AP21" s="82" t="str">
        <f t="shared" si="19"/>
        <v/>
      </c>
      <c r="AQ21" s="79" t="s">
        <v>36</v>
      </c>
      <c r="AR21" s="80" t="str">
        <f>IF(+VLOOKUP($E21,info!$H:$Z,16,FALSE),+VLOOKUP($E21,info!$H:$Z,16,FALSE),"")</f>
        <v/>
      </c>
      <c r="AS21" s="80" t="str">
        <f>IF(+VLOOKUP($E21,info!$H:$Z,17,FALSE),+VLOOKUP($E21,info!$H:$Z,17,FALSE),"")</f>
        <v/>
      </c>
      <c r="AT21" s="80" t="str">
        <f t="shared" si="20"/>
        <v/>
      </c>
      <c r="AU21" s="80" t="str">
        <f t="shared" si="21"/>
        <v/>
      </c>
      <c r="AV21" s="57"/>
      <c r="AW21" s="11" t="s">
        <v>62</v>
      </c>
      <c r="AX21" s="12">
        <f>+SUMIF(F5:F70,"Agréeur DR",O5:O70)</f>
        <v>0</v>
      </c>
      <c r="AY21" s="13">
        <f>+SUMIF(F5:F70,"Agréeur DR",P5:P70)</f>
        <v>0</v>
      </c>
      <c r="AZ21" s="13">
        <f>+SUMIF(F5:F70,"Agréeur DR",Q5:Q70)</f>
        <v>0</v>
      </c>
      <c r="BA21" s="14">
        <f>+SUMIF(F5:F70,"Agréeur DR",S5:S70)</f>
        <v>0</v>
      </c>
      <c r="BB21" s="57"/>
    </row>
    <row r="22" spans="1:54" ht="15.75" thickBot="1" x14ac:dyDescent="0.3">
      <c r="A22" s="15" t="s">
        <v>36</v>
      </c>
      <c r="B22" s="3" t="s">
        <v>153</v>
      </c>
      <c r="C22" s="56" t="str">
        <f>+VLOOKUP(E22,info!H:I,2,FALSE)</f>
        <v>-</v>
      </c>
      <c r="D22" s="16" t="str">
        <f t="shared" si="22"/>
        <v>00-00-00</v>
      </c>
      <c r="E22" s="65" t="s">
        <v>36</v>
      </c>
      <c r="F22" s="65" t="s">
        <v>36</v>
      </c>
      <c r="G22" s="65" t="s">
        <v>36</v>
      </c>
      <c r="H22" s="65" t="s">
        <v>36</v>
      </c>
      <c r="I22" s="65" t="s">
        <v>108</v>
      </c>
      <c r="J22" s="4" t="str">
        <f t="shared" si="7"/>
        <v>/</v>
      </c>
      <c r="K22" s="3" t="str">
        <f t="shared" si="8"/>
        <v/>
      </c>
      <c r="L22" s="3"/>
      <c r="M22" s="3" t="str">
        <f t="shared" si="1"/>
        <v/>
      </c>
      <c r="N22" s="3" t="str">
        <f t="shared" si="2"/>
        <v/>
      </c>
      <c r="O22" s="15" t="str">
        <f t="shared" si="3"/>
        <v/>
      </c>
      <c r="P22" s="2" t="str">
        <f t="shared" si="9"/>
        <v/>
      </c>
      <c r="Q22" s="2" t="str">
        <f t="shared" si="4"/>
        <v/>
      </c>
      <c r="R22" s="3" t="str">
        <f t="shared" si="5"/>
        <v/>
      </c>
      <c r="S22" s="2" t="str">
        <f t="shared" si="10"/>
        <v/>
      </c>
      <c r="T22" s="15">
        <f t="shared" si="6"/>
        <v>0</v>
      </c>
      <c r="U22" s="10"/>
      <c r="V22" s="2" t="str">
        <f t="shared" si="23"/>
        <v>/</v>
      </c>
      <c r="W22" s="2"/>
      <c r="X22" s="236" cm="1">
        <f t="array" ref="X22">SUMPRODUCT((info!$H$4:$H$58=Feuil1!$E22)*(info!$K$4:$K$58&lt;=Feuil1!$W22)*(info!$L$4:$L$58&gt;=Feuil1!$W22),info!$M$4:$M$58)</f>
        <v>0</v>
      </c>
      <c r="Y22" s="236" cm="1">
        <f t="array" ref="Y22">SUMPRODUCT((info!$H$4:$H$58=Feuil1!$E22)*(info!$K$4:$K$58&lt;=Feuil1!$W22)*(info!$L$4:$L$58&gt;=Feuil1!$W22),info!$N$4:$N$58)</f>
        <v>0</v>
      </c>
      <c r="Z22" s="83">
        <f t="shared" si="12"/>
        <v>0</v>
      </c>
      <c r="AA22" s="83">
        <f t="shared" si="13"/>
        <v>0</v>
      </c>
      <c r="AB22" s="76" t="s">
        <v>36</v>
      </c>
      <c r="AC22" s="77" t="str">
        <f>IF(+VLOOKUP($E22,info!$H:$Z,7,FALSE),+VLOOKUP($E22,info!$H:$Z,7,FALSE),"")</f>
        <v/>
      </c>
      <c r="AD22" s="77" t="str">
        <f>IF(+VLOOKUP($E22,info!$H:$Z,8,FALSE),+VLOOKUP($E22,info!$H:$Z,8,FALSE),"")</f>
        <v/>
      </c>
      <c r="AE22" s="77" t="str">
        <f t="shared" si="14"/>
        <v/>
      </c>
      <c r="AF22" s="77" t="str">
        <f t="shared" si="15"/>
        <v/>
      </c>
      <c r="AG22" s="64" t="s">
        <v>36</v>
      </c>
      <c r="AH22" s="58" t="str">
        <f>IF(+VLOOKUP($E22,info!$H:$Z,10,FALSE),+VLOOKUP($E22,info!$H:$Z,10,FALSE),"")</f>
        <v/>
      </c>
      <c r="AI22" s="58" t="str">
        <f>IF(+VLOOKUP($E22,info!$H:$Z,11,FALSE),+VLOOKUP($E22,info!$H:$Z,11,FALSE),"")</f>
        <v/>
      </c>
      <c r="AJ22" s="58" t="str">
        <f t="shared" si="16"/>
        <v/>
      </c>
      <c r="AK22" s="58" t="str">
        <f t="shared" si="17"/>
        <v/>
      </c>
      <c r="AL22" s="81" t="s">
        <v>36</v>
      </c>
      <c r="AM22" s="82" t="str">
        <f>IF(+VLOOKUP($E22,info!$H:$Z,13,FALSE),+VLOOKUP($E22,info!$H:$Z,13,FALSE),"")</f>
        <v/>
      </c>
      <c r="AN22" s="82" t="str">
        <f>IF(+VLOOKUP($E22,info!$H:$Z,14,FALSE),+VLOOKUP($E22,info!$H:$Z,14,FALSE),"")</f>
        <v/>
      </c>
      <c r="AO22" s="82" t="str">
        <f t="shared" si="18"/>
        <v/>
      </c>
      <c r="AP22" s="82" t="str">
        <f t="shared" si="19"/>
        <v/>
      </c>
      <c r="AQ22" s="79" t="s">
        <v>36</v>
      </c>
      <c r="AR22" s="80" t="str">
        <f>IF(+VLOOKUP($E22,info!$H:$Z,16,FALSE),+VLOOKUP($E22,info!$H:$Z,16,FALSE),"")</f>
        <v/>
      </c>
      <c r="AS22" s="80" t="str">
        <f>IF(+VLOOKUP($E22,info!$H:$Z,17,FALSE),+VLOOKUP($E22,info!$H:$Z,17,FALSE),"")</f>
        <v/>
      </c>
      <c r="AT22" s="80" t="str">
        <f t="shared" si="20"/>
        <v/>
      </c>
      <c r="AU22" s="80" t="str">
        <f t="shared" si="21"/>
        <v/>
      </c>
      <c r="AV22" s="57"/>
      <c r="AW22" s="20" t="s">
        <v>63</v>
      </c>
      <c r="AX22" s="21">
        <f>+SUMIF(F5:F70,"Chef de quai DR",O5:O70)</f>
        <v>0</v>
      </c>
      <c r="AY22" s="22">
        <f>+SUMIF(F5:F70,"Chef de quai DR",P5:P70)</f>
        <v>0</v>
      </c>
      <c r="AZ22" s="22">
        <f>+SUMIF(F5:F70,"Chef de quai DR",Q5:Q70)</f>
        <v>0</v>
      </c>
      <c r="BA22" s="23">
        <f>+SUMIF(F5:F70,"Chef de quai DR",S5:S70)</f>
        <v>0</v>
      </c>
      <c r="BB22" s="57"/>
    </row>
    <row r="23" spans="1:54" x14ac:dyDescent="0.25">
      <c r="A23" s="15" t="s">
        <v>36</v>
      </c>
      <c r="B23" s="3" t="s">
        <v>153</v>
      </c>
      <c r="C23" s="56" t="str">
        <f>+VLOOKUP(E23,info!H:I,2,FALSE)</f>
        <v>-</v>
      </c>
      <c r="D23" s="16" t="str">
        <f t="shared" si="22"/>
        <v>00-00-00</v>
      </c>
      <c r="E23" s="65" t="s">
        <v>36</v>
      </c>
      <c r="F23" s="65" t="s">
        <v>36</v>
      </c>
      <c r="G23" s="65" t="s">
        <v>36</v>
      </c>
      <c r="H23" s="65" t="s">
        <v>36</v>
      </c>
      <c r="I23" s="65" t="s">
        <v>108</v>
      </c>
      <c r="J23" s="4" t="str">
        <f t="shared" si="7"/>
        <v>/</v>
      </c>
      <c r="K23" s="3" t="str">
        <f t="shared" si="8"/>
        <v/>
      </c>
      <c r="L23" s="3"/>
      <c r="M23" s="3" t="str">
        <f t="shared" si="1"/>
        <v/>
      </c>
      <c r="N23" s="3" t="str">
        <f t="shared" si="2"/>
        <v/>
      </c>
      <c r="O23" s="15" t="str">
        <f t="shared" si="3"/>
        <v/>
      </c>
      <c r="P23" s="2" t="str">
        <f t="shared" si="9"/>
        <v/>
      </c>
      <c r="Q23" s="2" t="str">
        <f t="shared" si="4"/>
        <v/>
      </c>
      <c r="R23" s="3" t="str">
        <f t="shared" si="5"/>
        <v/>
      </c>
      <c r="S23" s="2" t="str">
        <f t="shared" si="10"/>
        <v/>
      </c>
      <c r="T23" s="15">
        <f t="shared" si="6"/>
        <v>0</v>
      </c>
      <c r="U23" s="10"/>
      <c r="V23" s="2" t="str">
        <f t="shared" si="23"/>
        <v>/</v>
      </c>
      <c r="W23" s="2"/>
      <c r="X23" s="236" cm="1">
        <f t="array" ref="X23">SUMPRODUCT((info!$H$4:$H$58=Feuil1!$E23)*(info!$K$4:$K$58&lt;=Feuil1!$W23)*(info!$L$4:$L$58&gt;=Feuil1!$W23),info!$M$4:$M$58)</f>
        <v>0</v>
      </c>
      <c r="Y23" s="236" cm="1">
        <f t="array" ref="Y23">SUMPRODUCT((info!$H$4:$H$58=Feuil1!$E23)*(info!$K$4:$K$58&lt;=Feuil1!$W23)*(info!$L$4:$L$58&gt;=Feuil1!$W23),info!$N$4:$N$58)</f>
        <v>0</v>
      </c>
      <c r="Z23" s="83">
        <f t="shared" si="12"/>
        <v>0</v>
      </c>
      <c r="AA23" s="83">
        <f t="shared" si="13"/>
        <v>0</v>
      </c>
      <c r="AB23" s="76" t="s">
        <v>36</v>
      </c>
      <c r="AC23" s="77" t="str">
        <f>IF(+VLOOKUP($E23,info!$H:$Z,7,FALSE),+VLOOKUP($E23,info!$H:$Z,7,FALSE),"")</f>
        <v/>
      </c>
      <c r="AD23" s="77" t="str">
        <f>IF(+VLOOKUP($E23,info!$H:$Z,8,FALSE),+VLOOKUP($E23,info!$H:$Z,8,FALSE),"")</f>
        <v/>
      </c>
      <c r="AE23" s="77" t="str">
        <f t="shared" si="14"/>
        <v/>
      </c>
      <c r="AF23" s="77" t="str">
        <f t="shared" si="15"/>
        <v/>
      </c>
      <c r="AG23" s="64" t="s">
        <v>36</v>
      </c>
      <c r="AH23" s="58" t="str">
        <f>IF(+VLOOKUP($E23,info!$H:$Z,10,FALSE),+VLOOKUP($E23,info!$H:$Z,10,FALSE),"")</f>
        <v/>
      </c>
      <c r="AI23" s="58" t="str">
        <f>IF(+VLOOKUP($E23,info!$H:$Z,11,FALSE),+VLOOKUP($E23,info!$H:$Z,11,FALSE),"")</f>
        <v/>
      </c>
      <c r="AJ23" s="58" t="str">
        <f t="shared" si="16"/>
        <v/>
      </c>
      <c r="AK23" s="58" t="str">
        <f t="shared" si="17"/>
        <v/>
      </c>
      <c r="AL23" s="81" t="s">
        <v>36</v>
      </c>
      <c r="AM23" s="82" t="str">
        <f>IF(+VLOOKUP($E23,info!$H:$Z,13,FALSE),+VLOOKUP($E23,info!$H:$Z,13,FALSE),"")</f>
        <v/>
      </c>
      <c r="AN23" s="82" t="str">
        <f>IF(+VLOOKUP($E23,info!$H:$Z,14,FALSE),+VLOOKUP($E23,info!$H:$Z,14,FALSE),"")</f>
        <v/>
      </c>
      <c r="AO23" s="82" t="str">
        <f t="shared" si="18"/>
        <v/>
      </c>
      <c r="AP23" s="82" t="str">
        <f t="shared" si="19"/>
        <v/>
      </c>
      <c r="AQ23" s="79" t="s">
        <v>36</v>
      </c>
      <c r="AR23" s="80" t="str">
        <f>IF(+VLOOKUP($E23,info!$H:$Z,16,FALSE),+VLOOKUP($E23,info!$H:$Z,16,FALSE),"")</f>
        <v/>
      </c>
      <c r="AS23" s="80" t="str">
        <f>IF(+VLOOKUP($E23,info!$H:$Z,17,FALSE),+VLOOKUP($E23,info!$H:$Z,17,FALSE),"")</f>
        <v/>
      </c>
      <c r="AT23" s="80" t="str">
        <f t="shared" si="20"/>
        <v/>
      </c>
      <c r="AU23" s="80" t="str">
        <f t="shared" si="21"/>
        <v/>
      </c>
      <c r="AV23" s="57"/>
      <c r="AW23" s="57"/>
      <c r="AX23" s="57"/>
      <c r="AY23" s="57"/>
      <c r="AZ23" s="57"/>
      <c r="BA23" s="57"/>
      <c r="BB23" s="57"/>
    </row>
    <row r="24" spans="1:54" x14ac:dyDescent="0.25">
      <c r="A24" s="15" t="s">
        <v>36</v>
      </c>
      <c r="B24" s="3" t="s">
        <v>153</v>
      </c>
      <c r="C24" s="56" t="str">
        <f>+VLOOKUP(E24,info!H:I,2,FALSE)</f>
        <v>Armado</v>
      </c>
      <c r="D24" s="16" t="str">
        <f t="shared" si="22"/>
        <v>00-00-00</v>
      </c>
      <c r="E24" s="18" t="s">
        <v>157</v>
      </c>
      <c r="F24" s="17" t="s">
        <v>49</v>
      </c>
      <c r="G24" s="17" t="s">
        <v>59</v>
      </c>
      <c r="H24" s="18"/>
      <c r="I24" s="18"/>
      <c r="J24" s="4" t="str">
        <f t="shared" si="7"/>
        <v/>
      </c>
      <c r="K24" s="3" t="str">
        <f t="shared" si="8"/>
        <v/>
      </c>
      <c r="L24" s="3"/>
      <c r="M24" s="3" t="str">
        <f t="shared" si="1"/>
        <v/>
      </c>
      <c r="N24" s="3" t="str">
        <f t="shared" si="2"/>
        <v/>
      </c>
      <c r="O24" s="15" t="str">
        <f t="shared" si="3"/>
        <v/>
      </c>
      <c r="P24" s="2" t="str">
        <f t="shared" si="9"/>
        <v/>
      </c>
      <c r="Q24" s="2" t="str">
        <f t="shared" si="4"/>
        <v/>
      </c>
      <c r="R24" s="3" t="str">
        <f t="shared" si="5"/>
        <v/>
      </c>
      <c r="S24" s="2" t="str">
        <f t="shared" si="10"/>
        <v/>
      </c>
      <c r="T24" s="15">
        <f t="shared" si="6"/>
        <v>0</v>
      </c>
      <c r="U24" s="10"/>
      <c r="V24" s="2">
        <f t="shared" si="23"/>
        <v>35</v>
      </c>
      <c r="W24" s="2">
        <v>11.52</v>
      </c>
      <c r="X24" s="236" cm="1">
        <f t="array" ref="X24">SUMPRODUCT((info!$H$4:$H$58=Feuil1!$E24)*(info!$K$4:$K$58&lt;=Feuil1!$W24)*(info!$L$4:$L$58&gt;=Feuil1!$W24),info!$M$4:$M$58)</f>
        <v>0</v>
      </c>
      <c r="Y24" s="236" cm="1">
        <f t="array" ref="Y24">SUMPRODUCT((info!$H$4:$H$58=Feuil1!$E24)*(info!$K$4:$K$58&lt;=Feuil1!$W24)*(info!$L$4:$L$58&gt;=Feuil1!$W24),info!$N$4:$N$58)</f>
        <v>0</v>
      </c>
      <c r="Z24" s="83">
        <f t="shared" si="12"/>
        <v>0</v>
      </c>
      <c r="AA24" s="83">
        <f t="shared" si="13"/>
        <v>0</v>
      </c>
      <c r="AB24" s="76" t="s">
        <v>36</v>
      </c>
      <c r="AC24" s="77" t="str">
        <f>IF(+VLOOKUP($E24,info!$H:$Z,7,FALSE),+VLOOKUP($E24,info!$H:$Z,7,FALSE),"")</f>
        <v/>
      </c>
      <c r="AD24" s="77" t="str">
        <f>IF(+VLOOKUP($E24,info!$H:$Z,8,FALSE),+VLOOKUP($E24,info!$H:$Z,8,FALSE),"")</f>
        <v/>
      </c>
      <c r="AE24" s="77" t="str">
        <f t="shared" si="14"/>
        <v/>
      </c>
      <c r="AF24" s="77" t="str">
        <f t="shared" si="15"/>
        <v/>
      </c>
      <c r="AG24" s="64" t="s">
        <v>36</v>
      </c>
      <c r="AH24" s="58" t="str">
        <f>IF(+VLOOKUP($E24,info!$H:$Z,10,FALSE),+VLOOKUP($E24,info!$H:$Z,10,FALSE),"")</f>
        <v/>
      </c>
      <c r="AI24" s="58" t="str">
        <f>IF(+VLOOKUP($E24,info!$H:$Z,11,FALSE),+VLOOKUP($E24,info!$H:$Z,11,FALSE),"")</f>
        <v/>
      </c>
      <c r="AJ24" s="58" t="str">
        <f t="shared" si="16"/>
        <v/>
      </c>
      <c r="AK24" s="58" t="str">
        <f t="shared" si="17"/>
        <v/>
      </c>
      <c r="AL24" s="81" t="s">
        <v>36</v>
      </c>
      <c r="AM24" s="82" t="str">
        <f>IF(+VLOOKUP($E24,info!$H:$Z,13,FALSE),+VLOOKUP($E24,info!$H:$Z,13,FALSE),"")</f>
        <v/>
      </c>
      <c r="AN24" s="82" t="str">
        <f>IF(+VLOOKUP($E24,info!$H:$Z,14,FALSE),+VLOOKUP($E24,info!$H:$Z,14,FALSE),"")</f>
        <v/>
      </c>
      <c r="AO24" s="82" t="str">
        <f t="shared" si="18"/>
        <v/>
      </c>
      <c r="AP24" s="82" t="str">
        <f t="shared" si="19"/>
        <v/>
      </c>
      <c r="AQ24" s="79" t="s">
        <v>36</v>
      </c>
      <c r="AR24" s="80" t="str">
        <f>IF(+VLOOKUP($E24,info!$H:$Z,16,FALSE),+VLOOKUP($E24,info!$H:$Z,16,FALSE),"")</f>
        <v/>
      </c>
      <c r="AS24" s="80" t="str">
        <f>IF(+VLOOKUP($E24,info!$H:$Z,17,FALSE),+VLOOKUP($E24,info!$H:$Z,17,FALSE),"")</f>
        <v/>
      </c>
      <c r="AT24" s="80" t="str">
        <f t="shared" si="20"/>
        <v/>
      </c>
      <c r="AU24" s="80" t="str">
        <f t="shared" si="21"/>
        <v/>
      </c>
      <c r="AV24" s="57"/>
      <c r="AW24" s="57"/>
      <c r="AX24" s="57"/>
      <c r="AY24" s="57"/>
      <c r="AZ24" s="57"/>
      <c r="BA24" s="57"/>
      <c r="BB24" s="57"/>
    </row>
    <row r="25" spans="1:54" x14ac:dyDescent="0.25">
      <c r="A25" s="15" t="s">
        <v>36</v>
      </c>
      <c r="B25" s="3" t="s">
        <v>153</v>
      </c>
      <c r="C25" s="56" t="str">
        <f>+VLOOKUP(E25,info!H:I,2,FALSE)</f>
        <v>Instant</v>
      </c>
      <c r="D25" s="16" t="str">
        <f t="shared" si="22"/>
        <v>00-00-00</v>
      </c>
      <c r="E25" s="65" t="s">
        <v>154</v>
      </c>
      <c r="F25" s="17" t="s">
        <v>49</v>
      </c>
      <c r="G25" s="17" t="s">
        <v>59</v>
      </c>
      <c r="H25" s="17"/>
      <c r="I25" s="17"/>
      <c r="J25" s="4" t="str">
        <f t="shared" si="7"/>
        <v/>
      </c>
      <c r="K25" s="3" t="str">
        <f t="shared" si="8"/>
        <v/>
      </c>
      <c r="L25" s="3"/>
      <c r="M25" s="3" t="str">
        <f t="shared" si="1"/>
        <v/>
      </c>
      <c r="N25" s="3" t="str">
        <f t="shared" si="2"/>
        <v/>
      </c>
      <c r="O25" s="15" t="str">
        <f t="shared" si="3"/>
        <v/>
      </c>
      <c r="P25" s="2" t="str">
        <f t="shared" si="9"/>
        <v/>
      </c>
      <c r="Q25" s="2" t="str">
        <f t="shared" si="4"/>
        <v/>
      </c>
      <c r="R25" s="3" t="str">
        <f t="shared" si="5"/>
        <v/>
      </c>
      <c r="S25" s="2" t="str">
        <f t="shared" si="10"/>
        <v/>
      </c>
      <c r="T25" s="15">
        <f t="shared" si="6"/>
        <v>0</v>
      </c>
      <c r="U25" s="10"/>
      <c r="V25" s="2">
        <f t="shared" si="23"/>
        <v>35</v>
      </c>
      <c r="W25" s="2">
        <v>11.52</v>
      </c>
      <c r="X25" s="236" cm="1">
        <f t="array" ref="X25">SUMPRODUCT((info!$H$4:$H$58=Feuil1!$E25)*(info!$K$4:$K$58&lt;=Feuil1!$W25)*(info!$L$4:$L$58&gt;=Feuil1!$W25),info!$M$4:$M$58)</f>
        <v>1.79</v>
      </c>
      <c r="Y25" s="236" cm="1">
        <f t="array" ref="Y25">SUMPRODUCT((info!$H$4:$H$58=Feuil1!$E25)*(info!$K$4:$K$58&lt;=Feuil1!$W25)*(info!$L$4:$L$58&gt;=Feuil1!$W25),info!$N$4:$N$58)</f>
        <v>1.78</v>
      </c>
      <c r="Z25" s="83">
        <f t="shared" si="12"/>
        <v>20.620799999999999</v>
      </c>
      <c r="AA25" s="83">
        <f t="shared" si="13"/>
        <v>20.505600000000001</v>
      </c>
      <c r="AB25" s="76" t="s">
        <v>36</v>
      </c>
      <c r="AC25" s="77">
        <f>IF(+VLOOKUP($E25,info!$H:$Z,7,FALSE),+VLOOKUP($E25,info!$H:$Z,7,FALSE),"")</f>
        <v>1.78</v>
      </c>
      <c r="AD25" s="77">
        <f>IF(+VLOOKUP($E25,info!$H:$Z,8,FALSE),+VLOOKUP($E25,info!$H:$Z,8,FALSE),"")</f>
        <v>0.06</v>
      </c>
      <c r="AE25" s="77">
        <f t="shared" si="14"/>
        <v>5.1264000000000003</v>
      </c>
      <c r="AF25" s="77">
        <f t="shared" si="15"/>
        <v>0.17279999999999998</v>
      </c>
      <c r="AG25" s="64" t="s">
        <v>36</v>
      </c>
      <c r="AH25" s="58">
        <f>IF(+VLOOKUP($E25,info!$H:$Z,10,FALSE),+VLOOKUP($E25,info!$H:$Z,10,FALSE),"")</f>
        <v>1.84</v>
      </c>
      <c r="AI25" s="58">
        <f>IF(+VLOOKUP($E25,info!$H:$Z,11,FALSE),+VLOOKUP($E25,info!$H:$Z,11,FALSE),"")</f>
        <v>0.06</v>
      </c>
      <c r="AJ25" s="58">
        <f t="shared" si="16"/>
        <v>10.5984</v>
      </c>
      <c r="AK25" s="58">
        <f t="shared" si="17"/>
        <v>0.34559999999999996</v>
      </c>
      <c r="AL25" s="81" t="s">
        <v>36</v>
      </c>
      <c r="AM25" s="82">
        <f>IF(+VLOOKUP($E25,info!$H:$Z,13,FALSE),+VLOOKUP($E25,info!$H:$Z,13,FALSE),"")</f>
        <v>1.84</v>
      </c>
      <c r="AN25" s="82">
        <f>IF(+VLOOKUP($E25,info!$H:$Z,14,FALSE),+VLOOKUP($E25,info!$H:$Z,14,FALSE),"")</f>
        <v>0.06</v>
      </c>
      <c r="AO25" s="82">
        <f t="shared" si="18"/>
        <v>26.495999999999999</v>
      </c>
      <c r="AP25" s="82">
        <f t="shared" si="19"/>
        <v>0.86399999999999988</v>
      </c>
      <c r="AQ25" s="79" t="s">
        <v>36</v>
      </c>
      <c r="AR25" s="80">
        <f>IF(+VLOOKUP($E25,info!$H:$Z,16,FALSE),+VLOOKUP($E25,info!$H:$Z,16,FALSE),"")</f>
        <v>1.84</v>
      </c>
      <c r="AS25" s="80">
        <f>IF(+VLOOKUP($E25,info!$H:$Z,17,FALSE),+VLOOKUP($E25,info!$H:$Z,17,FALSE),"")</f>
        <v>0.06</v>
      </c>
      <c r="AT25" s="80">
        <f t="shared" si="20"/>
        <v>4.2393600000000005</v>
      </c>
      <c r="AU25" s="80">
        <f t="shared" si="21"/>
        <v>0.13824</v>
      </c>
      <c r="AV25" s="57"/>
      <c r="AW25" s="57"/>
      <c r="AX25" s="57"/>
      <c r="AY25" s="57"/>
      <c r="AZ25" s="57"/>
      <c r="BA25" s="57"/>
      <c r="BB25" s="57"/>
    </row>
    <row r="26" spans="1:54" x14ac:dyDescent="0.25">
      <c r="A26" s="15" t="s">
        <v>36</v>
      </c>
      <c r="B26" s="3" t="s">
        <v>153</v>
      </c>
      <c r="C26" s="56" t="str">
        <f>+VLOOKUP(E26,info!H:I,2,FALSE)</f>
        <v>Instant</v>
      </c>
      <c r="D26" s="16" t="str">
        <f t="shared" si="22"/>
        <v>00-00-00</v>
      </c>
      <c r="E26" s="65" t="s">
        <v>154</v>
      </c>
      <c r="F26" s="17" t="s">
        <v>49</v>
      </c>
      <c r="G26" s="17" t="s">
        <v>59</v>
      </c>
      <c r="H26" s="18"/>
      <c r="I26" s="18"/>
      <c r="J26" s="4" t="str">
        <f t="shared" si="7"/>
        <v/>
      </c>
      <c r="K26" s="3" t="str">
        <f t="shared" si="8"/>
        <v/>
      </c>
      <c r="L26" s="3"/>
      <c r="M26" s="3" t="str">
        <f>IFERROR(IF(ISBLANK(J26),"",IF(L26&lt;J26,1+L26,L26)-J26),"")</f>
        <v/>
      </c>
      <c r="N26" s="3" t="str">
        <f t="shared" si="2"/>
        <v/>
      </c>
      <c r="O26" s="15" t="str">
        <f t="shared" si="3"/>
        <v/>
      </c>
      <c r="P26" s="2" t="str">
        <f t="shared" si="9"/>
        <v/>
      </c>
      <c r="Q26" s="2" t="str">
        <f t="shared" si="4"/>
        <v/>
      </c>
      <c r="R26" s="3" t="str">
        <f t="shared" si="5"/>
        <v/>
      </c>
      <c r="S26" s="2" t="str">
        <f t="shared" si="10"/>
        <v/>
      </c>
      <c r="T26" s="15">
        <f t="shared" si="6"/>
        <v>0</v>
      </c>
      <c r="U26" s="10"/>
      <c r="V26" s="2">
        <f t="shared" si="23"/>
        <v>35</v>
      </c>
      <c r="W26" s="2">
        <v>11.52</v>
      </c>
      <c r="X26" s="236" cm="1">
        <f t="array" ref="X26">SUMPRODUCT((info!$H$4:$H$58=Feuil1!$E26)*(info!$K$4:$K$58&lt;=Feuil1!$W26)*(info!$L$4:$L$58&gt;=Feuil1!$W26),info!$M$4:$M$58)</f>
        <v>1.79</v>
      </c>
      <c r="Y26" s="236" cm="1">
        <f t="array" ref="Y26">SUMPRODUCT((info!$H$4:$H$58=Feuil1!$E26)*(info!$K$4:$K$58&lt;=Feuil1!$W26)*(info!$L$4:$L$58&gt;=Feuil1!$W26),info!$N$4:$N$58)</f>
        <v>1.78</v>
      </c>
      <c r="Z26" s="83">
        <f t="shared" si="12"/>
        <v>20.620799999999999</v>
      </c>
      <c r="AA26" s="83">
        <f t="shared" si="13"/>
        <v>20.505600000000001</v>
      </c>
      <c r="AB26" s="76" t="s">
        <v>36</v>
      </c>
      <c r="AC26" s="77">
        <f>IF(+VLOOKUP($E26,info!$H:$Z,7,FALSE),+VLOOKUP($E26,info!$H:$Z,7,FALSE),"")</f>
        <v>1.78</v>
      </c>
      <c r="AD26" s="77">
        <f>IF(+VLOOKUP($E26,info!$H:$Z,8,FALSE),+VLOOKUP($E26,info!$H:$Z,8,FALSE),"")</f>
        <v>0.06</v>
      </c>
      <c r="AE26" s="77">
        <f t="shared" si="14"/>
        <v>5.1264000000000003</v>
      </c>
      <c r="AF26" s="77">
        <f t="shared" si="15"/>
        <v>0.17279999999999998</v>
      </c>
      <c r="AG26" s="64" t="s">
        <v>36</v>
      </c>
      <c r="AH26" s="58">
        <f>IF(+VLOOKUP($E26,info!$H:$Z,10,FALSE),+VLOOKUP($E26,info!$H:$Z,10,FALSE),"")</f>
        <v>1.84</v>
      </c>
      <c r="AI26" s="58">
        <f>IF(+VLOOKUP($E26,info!$H:$Z,11,FALSE),+VLOOKUP($E26,info!$H:$Z,11,FALSE),"")</f>
        <v>0.06</v>
      </c>
      <c r="AJ26" s="58">
        <f t="shared" si="16"/>
        <v>10.5984</v>
      </c>
      <c r="AK26" s="58">
        <f t="shared" si="17"/>
        <v>0.34559999999999996</v>
      </c>
      <c r="AL26" s="81" t="s">
        <v>36</v>
      </c>
      <c r="AM26" s="82">
        <f>IF(+VLOOKUP($E26,info!$H:$Z,13,FALSE),+VLOOKUP($E26,info!$H:$Z,13,FALSE),"")</f>
        <v>1.84</v>
      </c>
      <c r="AN26" s="82">
        <f>IF(+VLOOKUP($E26,info!$H:$Z,14,FALSE),+VLOOKUP($E26,info!$H:$Z,14,FALSE),"")</f>
        <v>0.06</v>
      </c>
      <c r="AO26" s="82">
        <f t="shared" si="18"/>
        <v>26.495999999999999</v>
      </c>
      <c r="AP26" s="82">
        <f t="shared" si="19"/>
        <v>0.86399999999999988</v>
      </c>
      <c r="AQ26" s="79" t="s">
        <v>36</v>
      </c>
      <c r="AR26" s="80">
        <f>IF(+VLOOKUP($E26,info!$H:$Z,16,FALSE),+VLOOKUP($E26,info!$H:$Z,16,FALSE),"")</f>
        <v>1.84</v>
      </c>
      <c r="AS26" s="80">
        <f>IF(+VLOOKUP($E26,info!$H:$Z,17,FALSE),+VLOOKUP($E26,info!$H:$Z,17,FALSE),"")</f>
        <v>0.06</v>
      </c>
      <c r="AT26" s="80">
        <f t="shared" si="20"/>
        <v>4.2393600000000005</v>
      </c>
      <c r="AU26" s="80">
        <f t="shared" si="21"/>
        <v>0.13824</v>
      </c>
      <c r="AV26" s="57"/>
      <c r="AW26" s="57"/>
      <c r="AX26" s="57"/>
      <c r="AY26" s="57"/>
      <c r="AZ26" s="57"/>
      <c r="BA26" s="57"/>
      <c r="BB26" s="57"/>
    </row>
    <row r="27" spans="1:54" x14ac:dyDescent="0.25">
      <c r="A27" s="15" t="s">
        <v>36</v>
      </c>
      <c r="B27" s="3" t="s">
        <v>153</v>
      </c>
      <c r="C27" s="56" t="str">
        <f>+VLOOKUP(E27,info!H:I,2,FALSE)</f>
        <v>-</v>
      </c>
      <c r="D27" s="16" t="str">
        <f t="shared" si="22"/>
        <v>00-00-00</v>
      </c>
      <c r="E27" s="65" t="s">
        <v>36</v>
      </c>
      <c r="F27" s="65" t="s">
        <v>36</v>
      </c>
      <c r="G27" s="65" t="s">
        <v>36</v>
      </c>
      <c r="H27" s="65" t="s">
        <v>36</v>
      </c>
      <c r="I27" s="65" t="s">
        <v>108</v>
      </c>
      <c r="J27" s="4" t="str">
        <f t="shared" si="7"/>
        <v>/</v>
      </c>
      <c r="K27" s="3" t="str">
        <f t="shared" si="8"/>
        <v/>
      </c>
      <c r="L27" s="3"/>
      <c r="M27" s="3" t="str">
        <f t="shared" si="1"/>
        <v/>
      </c>
      <c r="N27" s="3" t="str">
        <f t="shared" si="2"/>
        <v/>
      </c>
      <c r="O27" s="15" t="str">
        <f t="shared" si="3"/>
        <v/>
      </c>
      <c r="P27" s="2" t="str">
        <f t="shared" si="9"/>
        <v/>
      </c>
      <c r="Q27" s="2" t="str">
        <f t="shared" si="4"/>
        <v/>
      </c>
      <c r="R27" s="3" t="str">
        <f t="shared" si="5"/>
        <v/>
      </c>
      <c r="S27" s="2" t="str">
        <f t="shared" si="10"/>
        <v/>
      </c>
      <c r="T27" s="15">
        <f t="shared" si="6"/>
        <v>0</v>
      </c>
      <c r="U27" s="10"/>
      <c r="V27" s="2" t="str">
        <f t="shared" si="23"/>
        <v>/</v>
      </c>
      <c r="W27" s="2"/>
      <c r="X27" s="236" cm="1">
        <f t="array" ref="X27">SUMPRODUCT((info!$H$4:$H$58=Feuil1!$E27)*(info!$K$4:$K$58&lt;=Feuil1!$W27)*(info!$L$4:$L$58&gt;=Feuil1!$W27),info!$M$4:$M$58)</f>
        <v>0</v>
      </c>
      <c r="Y27" s="236" cm="1">
        <f t="array" ref="Y27">SUMPRODUCT((info!$H$4:$H$58=Feuil1!$E27)*(info!$K$4:$K$58&lt;=Feuil1!$W27)*(info!$L$4:$L$58&gt;=Feuil1!$W27),info!$N$4:$N$58)</f>
        <v>0</v>
      </c>
      <c r="Z27" s="83">
        <f t="shared" si="12"/>
        <v>0</v>
      </c>
      <c r="AA27" s="83">
        <f t="shared" si="13"/>
        <v>0</v>
      </c>
      <c r="AB27" s="76" t="s">
        <v>36</v>
      </c>
      <c r="AC27" s="77" t="str">
        <f>IF(+VLOOKUP($E27,info!$H:$Z,7,FALSE),+VLOOKUP($E27,info!$H:$Z,7,FALSE),"")</f>
        <v/>
      </c>
      <c r="AD27" s="77" t="str">
        <f>IF(+VLOOKUP($E27,info!$H:$Z,8,FALSE),+VLOOKUP($E27,info!$H:$Z,8,FALSE),"")</f>
        <v/>
      </c>
      <c r="AE27" s="77" t="str">
        <f t="shared" si="14"/>
        <v/>
      </c>
      <c r="AF27" s="77" t="str">
        <f t="shared" si="15"/>
        <v/>
      </c>
      <c r="AG27" s="64" t="s">
        <v>36</v>
      </c>
      <c r="AH27" s="58" t="str">
        <f>IF(+VLOOKUP($E27,info!$H:$Z,10,FALSE),+VLOOKUP($E27,info!$H:$Z,10,FALSE),"")</f>
        <v/>
      </c>
      <c r="AI27" s="58" t="str">
        <f>IF(+VLOOKUP($E27,info!$H:$Z,11,FALSE),+VLOOKUP($E27,info!$H:$Z,11,FALSE),"")</f>
        <v/>
      </c>
      <c r="AJ27" s="58" t="str">
        <f t="shared" si="16"/>
        <v/>
      </c>
      <c r="AK27" s="58" t="str">
        <f t="shared" si="17"/>
        <v/>
      </c>
      <c r="AL27" s="81" t="s">
        <v>36</v>
      </c>
      <c r="AM27" s="82" t="str">
        <f>IF(+VLOOKUP($E27,info!$H:$Z,13,FALSE),+VLOOKUP($E27,info!$H:$Z,13,FALSE),"")</f>
        <v/>
      </c>
      <c r="AN27" s="82" t="str">
        <f>IF(+VLOOKUP($E27,info!$H:$Z,14,FALSE),+VLOOKUP($E27,info!$H:$Z,14,FALSE),"")</f>
        <v/>
      </c>
      <c r="AO27" s="82" t="str">
        <f t="shared" si="18"/>
        <v/>
      </c>
      <c r="AP27" s="82" t="str">
        <f t="shared" si="19"/>
        <v/>
      </c>
      <c r="AQ27" s="79" t="s">
        <v>36</v>
      </c>
      <c r="AR27" s="80" t="str">
        <f>IF(+VLOOKUP($E27,info!$H:$Z,16,FALSE),+VLOOKUP($E27,info!$H:$Z,16,FALSE),"")</f>
        <v/>
      </c>
      <c r="AS27" s="80" t="str">
        <f>IF(+VLOOKUP($E27,info!$H:$Z,17,FALSE),+VLOOKUP($E27,info!$H:$Z,17,FALSE),"")</f>
        <v/>
      </c>
      <c r="AT27" s="80" t="str">
        <f t="shared" si="20"/>
        <v/>
      </c>
      <c r="AU27" s="80" t="str">
        <f t="shared" si="21"/>
        <v/>
      </c>
      <c r="AV27" s="57"/>
      <c r="AW27" s="57"/>
      <c r="AX27" s="57"/>
      <c r="AY27" s="57"/>
      <c r="AZ27" s="57"/>
      <c r="BA27" s="57"/>
      <c r="BB27" s="57"/>
    </row>
    <row r="28" spans="1:54" x14ac:dyDescent="0.25">
      <c r="A28" s="15" t="s">
        <v>36</v>
      </c>
      <c r="B28" s="3" t="s">
        <v>153</v>
      </c>
      <c r="C28" s="56" t="str">
        <f>+VLOOKUP(E28,info!H:I,2,FALSE)</f>
        <v>-</v>
      </c>
      <c r="D28" s="16" t="str">
        <f t="shared" si="22"/>
        <v>00-00-00</v>
      </c>
      <c r="E28" s="65" t="s">
        <v>36</v>
      </c>
      <c r="F28" s="65" t="s">
        <v>36</v>
      </c>
      <c r="G28" s="65" t="s">
        <v>36</v>
      </c>
      <c r="H28" s="65" t="s">
        <v>36</v>
      </c>
      <c r="I28" s="65" t="s">
        <v>108</v>
      </c>
      <c r="J28" s="4" t="str">
        <f t="shared" si="7"/>
        <v>/</v>
      </c>
      <c r="K28" s="3" t="str">
        <f t="shared" si="8"/>
        <v/>
      </c>
      <c r="L28" s="3"/>
      <c r="M28" s="3" t="str">
        <f t="shared" si="1"/>
        <v/>
      </c>
      <c r="N28" s="3" t="str">
        <f t="shared" si="2"/>
        <v/>
      </c>
      <c r="O28" s="15" t="str">
        <f t="shared" si="3"/>
        <v/>
      </c>
      <c r="P28" s="2" t="str">
        <f t="shared" si="9"/>
        <v/>
      </c>
      <c r="Q28" s="2" t="str">
        <f t="shared" si="4"/>
        <v/>
      </c>
      <c r="R28" s="3" t="str">
        <f t="shared" si="5"/>
        <v/>
      </c>
      <c r="S28" s="2" t="str">
        <f t="shared" si="10"/>
        <v/>
      </c>
      <c r="T28" s="15">
        <f t="shared" si="6"/>
        <v>0</v>
      </c>
      <c r="U28" s="10"/>
      <c r="V28" s="2" t="str">
        <f t="shared" si="23"/>
        <v>/</v>
      </c>
      <c r="W28" s="2"/>
      <c r="X28" s="236" cm="1">
        <f t="array" ref="X28">SUMPRODUCT((info!$H$4:$H$58=Feuil1!$E28)*(info!$K$4:$K$58&lt;=Feuil1!$W28)*(info!$L$4:$L$58&gt;=Feuil1!$W28),info!$M$4:$M$58)</f>
        <v>0</v>
      </c>
      <c r="Y28" s="236" cm="1">
        <f t="array" ref="Y28">SUMPRODUCT((info!$H$4:$H$58=Feuil1!$E28)*(info!$K$4:$K$58&lt;=Feuil1!$W28)*(info!$L$4:$L$58&gt;=Feuil1!$W28),info!$N$4:$N$58)</f>
        <v>0</v>
      </c>
      <c r="Z28" s="83">
        <f t="shared" si="12"/>
        <v>0</v>
      </c>
      <c r="AA28" s="83">
        <f t="shared" si="13"/>
        <v>0</v>
      </c>
      <c r="AB28" s="76" t="s">
        <v>36</v>
      </c>
      <c r="AC28" s="77" t="str">
        <f>IF(+VLOOKUP($E28,info!$H:$Z,7,FALSE),+VLOOKUP($E28,info!$H:$Z,7,FALSE),"")</f>
        <v/>
      </c>
      <c r="AD28" s="77" t="str">
        <f>IF(+VLOOKUP($E28,info!$H:$Z,8,FALSE),+VLOOKUP($E28,info!$H:$Z,8,FALSE),"")</f>
        <v/>
      </c>
      <c r="AE28" s="77" t="str">
        <f t="shared" si="14"/>
        <v/>
      </c>
      <c r="AF28" s="77" t="str">
        <f t="shared" si="15"/>
        <v/>
      </c>
      <c r="AG28" s="64" t="s">
        <v>36</v>
      </c>
      <c r="AH28" s="58" t="str">
        <f>IF(+VLOOKUP($E28,info!$H:$Z,10,FALSE),+VLOOKUP($E28,info!$H:$Z,10,FALSE),"")</f>
        <v/>
      </c>
      <c r="AI28" s="58" t="str">
        <f>IF(+VLOOKUP($E28,info!$H:$Z,11,FALSE),+VLOOKUP($E28,info!$H:$Z,11,FALSE),"")</f>
        <v/>
      </c>
      <c r="AJ28" s="58" t="str">
        <f t="shared" si="16"/>
        <v/>
      </c>
      <c r="AK28" s="58" t="str">
        <f t="shared" si="17"/>
        <v/>
      </c>
      <c r="AL28" s="81" t="s">
        <v>36</v>
      </c>
      <c r="AM28" s="82" t="str">
        <f>IF(+VLOOKUP($E28,info!$H:$Z,13,FALSE),+VLOOKUP($E28,info!$H:$Z,13,FALSE),"")</f>
        <v/>
      </c>
      <c r="AN28" s="82" t="str">
        <f>IF(+VLOOKUP($E28,info!$H:$Z,14,FALSE),+VLOOKUP($E28,info!$H:$Z,14,FALSE),"")</f>
        <v/>
      </c>
      <c r="AO28" s="82" t="str">
        <f t="shared" si="18"/>
        <v/>
      </c>
      <c r="AP28" s="82" t="str">
        <f t="shared" si="19"/>
        <v/>
      </c>
      <c r="AQ28" s="79" t="s">
        <v>36</v>
      </c>
      <c r="AR28" s="80" t="str">
        <f>IF(+VLOOKUP($E28,info!$H:$Z,16,FALSE),+VLOOKUP($E28,info!$H:$Z,16,FALSE),"")</f>
        <v/>
      </c>
      <c r="AS28" s="80" t="str">
        <f>IF(+VLOOKUP($E28,info!$H:$Z,17,FALSE),+VLOOKUP($E28,info!$H:$Z,17,FALSE),"")</f>
        <v/>
      </c>
      <c r="AT28" s="80" t="str">
        <f t="shared" si="20"/>
        <v/>
      </c>
      <c r="AU28" s="80" t="str">
        <f t="shared" si="21"/>
        <v/>
      </c>
      <c r="AV28" s="57"/>
      <c r="AW28" s="57"/>
      <c r="AX28" s="57"/>
      <c r="AY28" s="57"/>
      <c r="AZ28" s="57"/>
      <c r="BA28" s="57"/>
      <c r="BB28" s="57"/>
    </row>
    <row r="29" spans="1:54" x14ac:dyDescent="0.25">
      <c r="A29" s="15" t="s">
        <v>36</v>
      </c>
      <c r="B29" s="3" t="s">
        <v>153</v>
      </c>
      <c r="C29" s="56" t="str">
        <f>+VLOOKUP(E29,info!H:I,2,FALSE)</f>
        <v>Armado</v>
      </c>
      <c r="D29" s="16" t="str">
        <f t="shared" si="22"/>
        <v>00-00-00</v>
      </c>
      <c r="E29" s="18" t="s">
        <v>157</v>
      </c>
      <c r="F29" s="17" t="s">
        <v>51</v>
      </c>
      <c r="G29" s="68" t="s">
        <v>71</v>
      </c>
      <c r="H29" s="17"/>
      <c r="I29" s="17"/>
      <c r="J29" s="4" t="str">
        <f t="shared" si="7"/>
        <v/>
      </c>
      <c r="K29" s="3" t="str">
        <f t="shared" si="8"/>
        <v/>
      </c>
      <c r="L29" s="3"/>
      <c r="M29" s="3" t="str">
        <f t="shared" si="1"/>
        <v/>
      </c>
      <c r="N29" s="3" t="str">
        <f t="shared" si="2"/>
        <v/>
      </c>
      <c r="O29" s="15" t="str">
        <f t="shared" si="3"/>
        <v/>
      </c>
      <c r="P29" s="2" t="str">
        <f t="shared" si="9"/>
        <v/>
      </c>
      <c r="Q29" s="2" t="str">
        <f t="shared" si="4"/>
        <v/>
      </c>
      <c r="R29" s="3" t="str">
        <f t="shared" si="5"/>
        <v/>
      </c>
      <c r="S29" s="2" t="str">
        <f t="shared" si="10"/>
        <v/>
      </c>
      <c r="T29" s="15">
        <f t="shared" si="6"/>
        <v>0</v>
      </c>
      <c r="U29" s="10"/>
      <c r="V29" s="2">
        <f t="shared" si="23"/>
        <v>35</v>
      </c>
      <c r="W29" s="2">
        <v>11.52</v>
      </c>
      <c r="X29" s="236" cm="1">
        <f t="array" ref="X29">SUMPRODUCT((info!$H$4:$H$58=Feuil1!$E29)*(info!$K$4:$K$58&lt;=Feuil1!$W29)*(info!$L$4:$L$58&gt;=Feuil1!$W29),info!$M$4:$M$58)</f>
        <v>0</v>
      </c>
      <c r="Y29" s="236" cm="1">
        <f t="array" ref="Y29">SUMPRODUCT((info!$H$4:$H$58=Feuil1!$E29)*(info!$K$4:$K$58&lt;=Feuil1!$W29)*(info!$L$4:$L$58&gt;=Feuil1!$W29),info!$N$4:$N$58)</f>
        <v>0</v>
      </c>
      <c r="Z29" s="83">
        <f t="shared" si="12"/>
        <v>0</v>
      </c>
      <c r="AA29" s="83">
        <f t="shared" si="13"/>
        <v>0</v>
      </c>
      <c r="AB29" s="76" t="s">
        <v>36</v>
      </c>
      <c r="AC29" s="77" t="str">
        <f>IF(+VLOOKUP($E29,info!$H:$Z,7,FALSE),+VLOOKUP($E29,info!$H:$Z,7,FALSE),"")</f>
        <v/>
      </c>
      <c r="AD29" s="77" t="str">
        <f>IF(+VLOOKUP($E29,info!$H:$Z,8,FALSE),+VLOOKUP($E29,info!$H:$Z,8,FALSE),"")</f>
        <v/>
      </c>
      <c r="AE29" s="77" t="str">
        <f t="shared" si="14"/>
        <v/>
      </c>
      <c r="AF29" s="77" t="str">
        <f t="shared" si="15"/>
        <v/>
      </c>
      <c r="AG29" s="64" t="s">
        <v>36</v>
      </c>
      <c r="AH29" s="58" t="str">
        <f>IF(+VLOOKUP($E29,info!$H:$Z,10,FALSE),+VLOOKUP($E29,info!$H:$Z,10,FALSE),"")</f>
        <v/>
      </c>
      <c r="AI29" s="58" t="str">
        <f>IF(+VLOOKUP($E29,info!$H:$Z,11,FALSE),+VLOOKUP($E29,info!$H:$Z,11,FALSE),"")</f>
        <v/>
      </c>
      <c r="AJ29" s="58" t="str">
        <f t="shared" si="16"/>
        <v/>
      </c>
      <c r="AK29" s="58" t="str">
        <f t="shared" si="17"/>
        <v/>
      </c>
      <c r="AL29" s="81" t="s">
        <v>36</v>
      </c>
      <c r="AM29" s="82" t="str">
        <f>IF(+VLOOKUP($E29,info!$H:$Z,13,FALSE),+VLOOKUP($E29,info!$H:$Z,13,FALSE),"")</f>
        <v/>
      </c>
      <c r="AN29" s="82" t="str">
        <f>IF(+VLOOKUP($E29,info!$H:$Z,14,FALSE),+VLOOKUP($E29,info!$H:$Z,14,FALSE),"")</f>
        <v/>
      </c>
      <c r="AO29" s="82" t="str">
        <f t="shared" si="18"/>
        <v/>
      </c>
      <c r="AP29" s="82" t="str">
        <f t="shared" si="19"/>
        <v/>
      </c>
      <c r="AQ29" s="79" t="s">
        <v>36</v>
      </c>
      <c r="AR29" s="80" t="str">
        <f>IF(+VLOOKUP($E29,info!$H:$Z,16,FALSE),+VLOOKUP($E29,info!$H:$Z,16,FALSE),"")</f>
        <v/>
      </c>
      <c r="AS29" s="80" t="str">
        <f>IF(+VLOOKUP($E29,info!$H:$Z,17,FALSE),+VLOOKUP($E29,info!$H:$Z,17,FALSE),"")</f>
        <v/>
      </c>
      <c r="AT29" s="80" t="str">
        <f t="shared" si="20"/>
        <v/>
      </c>
      <c r="AU29" s="80" t="str">
        <f t="shared" si="21"/>
        <v/>
      </c>
      <c r="AV29" s="57"/>
      <c r="AW29" s="57"/>
      <c r="AX29" s="57"/>
      <c r="AY29" s="57"/>
      <c r="AZ29" s="57"/>
      <c r="BA29" s="57"/>
      <c r="BB29" s="57"/>
    </row>
    <row r="30" spans="1:54" x14ac:dyDescent="0.25">
      <c r="A30" s="15" t="s">
        <v>36</v>
      </c>
      <c r="B30" s="3" t="s">
        <v>153</v>
      </c>
      <c r="C30" s="56" t="str">
        <f>+VLOOKUP(E30,info!H:I,2,FALSE)</f>
        <v>Instant</v>
      </c>
      <c r="D30" s="16" t="str">
        <f t="shared" si="22"/>
        <v>00-00-00</v>
      </c>
      <c r="E30" s="65" t="s">
        <v>154</v>
      </c>
      <c r="F30" s="17" t="s">
        <v>67</v>
      </c>
      <c r="G30" s="17" t="s">
        <v>66</v>
      </c>
      <c r="H30" s="17"/>
      <c r="I30" s="17"/>
      <c r="J30" s="4" t="str">
        <f t="shared" si="7"/>
        <v/>
      </c>
      <c r="K30" s="3" t="str">
        <f t="shared" si="8"/>
        <v/>
      </c>
      <c r="L30" s="3"/>
      <c r="M30" s="3" t="str">
        <f t="shared" si="1"/>
        <v/>
      </c>
      <c r="N30" s="3" t="str">
        <f t="shared" si="2"/>
        <v/>
      </c>
      <c r="O30" s="15" t="str">
        <f t="shared" si="3"/>
        <v/>
      </c>
      <c r="P30" s="2" t="str">
        <f t="shared" si="9"/>
        <v/>
      </c>
      <c r="Q30" s="2" t="str">
        <f t="shared" si="4"/>
        <v/>
      </c>
      <c r="R30" s="3" t="str">
        <f t="shared" si="5"/>
        <v/>
      </c>
      <c r="S30" s="2" t="str">
        <f t="shared" si="10"/>
        <v/>
      </c>
      <c r="T30" s="15">
        <f t="shared" si="6"/>
        <v>0</v>
      </c>
      <c r="U30" s="10"/>
      <c r="V30" s="2">
        <f t="shared" si="23"/>
        <v>35</v>
      </c>
      <c r="W30" s="2">
        <v>11.52</v>
      </c>
      <c r="X30" s="236" cm="1">
        <f t="array" ref="X30">SUMPRODUCT((info!$H$4:$H$58=Feuil1!$E30)*(info!$K$4:$K$58&lt;=Feuil1!$W30)*(info!$L$4:$L$58&gt;=Feuil1!$W30),info!$M$4:$M$58)</f>
        <v>1.79</v>
      </c>
      <c r="Y30" s="236" cm="1">
        <f t="array" ref="Y30">SUMPRODUCT((info!$H$4:$H$58=Feuil1!$E30)*(info!$K$4:$K$58&lt;=Feuil1!$W30)*(info!$L$4:$L$58&gt;=Feuil1!$W30),info!$N$4:$N$58)</f>
        <v>1.78</v>
      </c>
      <c r="Z30" s="83">
        <f t="shared" si="12"/>
        <v>20.620799999999999</v>
      </c>
      <c r="AA30" s="83">
        <f t="shared" si="13"/>
        <v>20.505600000000001</v>
      </c>
      <c r="AB30" s="76" t="s">
        <v>36</v>
      </c>
      <c r="AC30" s="77">
        <f>IF(+VLOOKUP($E30,info!$H:$Z,7,FALSE),+VLOOKUP($E30,info!$H:$Z,7,FALSE),"")</f>
        <v>1.78</v>
      </c>
      <c r="AD30" s="77">
        <f>IF(+VLOOKUP($E30,info!$H:$Z,8,FALSE),+VLOOKUP($E30,info!$H:$Z,8,FALSE),"")</f>
        <v>0.06</v>
      </c>
      <c r="AE30" s="77">
        <f t="shared" si="14"/>
        <v>5.1264000000000003</v>
      </c>
      <c r="AF30" s="77">
        <f t="shared" si="15"/>
        <v>0.17279999999999998</v>
      </c>
      <c r="AG30" s="64" t="s">
        <v>36</v>
      </c>
      <c r="AH30" s="58">
        <f>IF(+VLOOKUP($E30,info!$H:$Z,10,FALSE),+VLOOKUP($E30,info!$H:$Z,10,FALSE),"")</f>
        <v>1.84</v>
      </c>
      <c r="AI30" s="58">
        <f>IF(+VLOOKUP($E30,info!$H:$Z,11,FALSE),+VLOOKUP($E30,info!$H:$Z,11,FALSE),"")</f>
        <v>0.06</v>
      </c>
      <c r="AJ30" s="58">
        <f t="shared" si="16"/>
        <v>10.5984</v>
      </c>
      <c r="AK30" s="58">
        <f t="shared" si="17"/>
        <v>0.34559999999999996</v>
      </c>
      <c r="AL30" s="81" t="s">
        <v>36</v>
      </c>
      <c r="AM30" s="82">
        <f>IF(+VLOOKUP($E30,info!$H:$Z,13,FALSE),+VLOOKUP($E30,info!$H:$Z,13,FALSE),"")</f>
        <v>1.84</v>
      </c>
      <c r="AN30" s="82">
        <f>IF(+VLOOKUP($E30,info!$H:$Z,14,FALSE),+VLOOKUP($E30,info!$H:$Z,14,FALSE),"")</f>
        <v>0.06</v>
      </c>
      <c r="AO30" s="82">
        <f t="shared" si="18"/>
        <v>26.495999999999999</v>
      </c>
      <c r="AP30" s="82">
        <f t="shared" si="19"/>
        <v>0.86399999999999988</v>
      </c>
      <c r="AQ30" s="79" t="s">
        <v>36</v>
      </c>
      <c r="AR30" s="80">
        <f>IF(+VLOOKUP($E30,info!$H:$Z,16,FALSE),+VLOOKUP($E30,info!$H:$Z,16,FALSE),"")</f>
        <v>1.84</v>
      </c>
      <c r="AS30" s="80">
        <f>IF(+VLOOKUP($E30,info!$H:$Z,17,FALSE),+VLOOKUP($E30,info!$H:$Z,17,FALSE),"")</f>
        <v>0.06</v>
      </c>
      <c r="AT30" s="80">
        <f t="shared" si="20"/>
        <v>4.2393600000000005</v>
      </c>
      <c r="AU30" s="80">
        <f t="shared" si="21"/>
        <v>0.13824</v>
      </c>
      <c r="AV30" s="57"/>
      <c r="AW30" s="57"/>
      <c r="AX30" s="57"/>
      <c r="AY30" s="57"/>
      <c r="AZ30" s="57"/>
      <c r="BA30" s="57"/>
      <c r="BB30" s="57"/>
    </row>
    <row r="31" spans="1:54" x14ac:dyDescent="0.25">
      <c r="A31" s="15" t="s">
        <v>36</v>
      </c>
      <c r="B31" s="3" t="s">
        <v>153</v>
      </c>
      <c r="C31" s="56" t="str">
        <f>+VLOOKUP(E31,info!H:I,2,FALSE)</f>
        <v>Instant</v>
      </c>
      <c r="D31" s="16" t="str">
        <f t="shared" si="22"/>
        <v>00-00-00</v>
      </c>
      <c r="E31" s="65" t="s">
        <v>154</v>
      </c>
      <c r="F31" s="17" t="s">
        <v>67</v>
      </c>
      <c r="G31" s="17" t="s">
        <v>66</v>
      </c>
      <c r="H31" s="17"/>
      <c r="I31" s="17"/>
      <c r="J31" s="4" t="str">
        <f t="shared" si="7"/>
        <v/>
      </c>
      <c r="K31" s="3" t="str">
        <f t="shared" si="8"/>
        <v/>
      </c>
      <c r="L31" s="3"/>
      <c r="M31" s="3" t="str">
        <f t="shared" si="1"/>
        <v/>
      </c>
      <c r="N31" s="3" t="str">
        <f t="shared" si="2"/>
        <v/>
      </c>
      <c r="O31" s="15" t="str">
        <f t="shared" si="3"/>
        <v/>
      </c>
      <c r="P31" s="2" t="str">
        <f t="shared" si="9"/>
        <v/>
      </c>
      <c r="Q31" s="2" t="str">
        <f t="shared" si="4"/>
        <v/>
      </c>
      <c r="R31" s="3" t="str">
        <f t="shared" si="5"/>
        <v/>
      </c>
      <c r="S31" s="2" t="str">
        <f t="shared" si="10"/>
        <v/>
      </c>
      <c r="T31" s="15">
        <f t="shared" si="6"/>
        <v>0</v>
      </c>
      <c r="U31" s="10"/>
      <c r="V31" s="2">
        <f t="shared" si="23"/>
        <v>35</v>
      </c>
      <c r="W31" s="2">
        <v>11.52</v>
      </c>
      <c r="X31" s="236" cm="1">
        <f t="array" ref="X31">SUMPRODUCT((info!$H$4:$H$58=Feuil1!$E31)*(info!$K$4:$K$58&lt;=Feuil1!$W31)*(info!$L$4:$L$58&gt;=Feuil1!$W31),info!$M$4:$M$58)</f>
        <v>1.79</v>
      </c>
      <c r="Y31" s="236" cm="1">
        <f t="array" ref="Y31">SUMPRODUCT((info!$H$4:$H$58=Feuil1!$E31)*(info!$K$4:$K$58&lt;=Feuil1!$W31)*(info!$L$4:$L$58&gt;=Feuil1!$W31),info!$N$4:$N$58)</f>
        <v>1.78</v>
      </c>
      <c r="Z31" s="83">
        <f t="shared" si="12"/>
        <v>20.620799999999999</v>
      </c>
      <c r="AA31" s="83">
        <f t="shared" si="13"/>
        <v>20.505600000000001</v>
      </c>
      <c r="AB31" s="76" t="s">
        <v>36</v>
      </c>
      <c r="AC31" s="77">
        <f>IF(+VLOOKUP($E31,info!$H:$Z,7,FALSE),+VLOOKUP($E31,info!$H:$Z,7,FALSE),"")</f>
        <v>1.78</v>
      </c>
      <c r="AD31" s="77">
        <f>IF(+VLOOKUP($E31,info!$H:$Z,8,FALSE),+VLOOKUP($E31,info!$H:$Z,8,FALSE),"")</f>
        <v>0.06</v>
      </c>
      <c r="AE31" s="77">
        <f t="shared" si="14"/>
        <v>5.1264000000000003</v>
      </c>
      <c r="AF31" s="77">
        <f t="shared" si="15"/>
        <v>0.17279999999999998</v>
      </c>
      <c r="AG31" s="64" t="s">
        <v>36</v>
      </c>
      <c r="AH31" s="58">
        <f>IF(+VLOOKUP($E31,info!$H:$Z,10,FALSE),+VLOOKUP($E31,info!$H:$Z,10,FALSE),"")</f>
        <v>1.84</v>
      </c>
      <c r="AI31" s="58">
        <f>IF(+VLOOKUP($E31,info!$H:$Z,11,FALSE),+VLOOKUP($E31,info!$H:$Z,11,FALSE),"")</f>
        <v>0.06</v>
      </c>
      <c r="AJ31" s="58">
        <f t="shared" si="16"/>
        <v>10.5984</v>
      </c>
      <c r="AK31" s="58">
        <f t="shared" si="17"/>
        <v>0.34559999999999996</v>
      </c>
      <c r="AL31" s="81" t="s">
        <v>36</v>
      </c>
      <c r="AM31" s="82">
        <f>IF(+VLOOKUP($E31,info!$H:$Z,13,FALSE),+VLOOKUP($E31,info!$H:$Z,13,FALSE),"")</f>
        <v>1.84</v>
      </c>
      <c r="AN31" s="82">
        <f>IF(+VLOOKUP($E31,info!$H:$Z,14,FALSE),+VLOOKUP($E31,info!$H:$Z,14,FALSE),"")</f>
        <v>0.06</v>
      </c>
      <c r="AO31" s="82">
        <f t="shared" si="18"/>
        <v>26.495999999999999</v>
      </c>
      <c r="AP31" s="82">
        <f t="shared" si="19"/>
        <v>0.86399999999999988</v>
      </c>
      <c r="AQ31" s="79" t="s">
        <v>36</v>
      </c>
      <c r="AR31" s="80">
        <f>IF(+VLOOKUP($E31,info!$H:$Z,16,FALSE),+VLOOKUP($E31,info!$H:$Z,16,FALSE),"")</f>
        <v>1.84</v>
      </c>
      <c r="AS31" s="80">
        <f>IF(+VLOOKUP($E31,info!$H:$Z,17,FALSE),+VLOOKUP($E31,info!$H:$Z,17,FALSE),"")</f>
        <v>0.06</v>
      </c>
      <c r="AT31" s="80">
        <f t="shared" si="20"/>
        <v>4.2393600000000005</v>
      </c>
      <c r="AU31" s="80">
        <f t="shared" si="21"/>
        <v>0.13824</v>
      </c>
      <c r="AV31" s="57"/>
      <c r="AW31" s="57"/>
      <c r="AX31" s="57"/>
      <c r="AY31" s="57"/>
      <c r="AZ31" s="57"/>
      <c r="BA31" s="57"/>
      <c r="BB31" s="57"/>
    </row>
    <row r="32" spans="1:54" x14ac:dyDescent="0.25">
      <c r="A32" s="15" t="s">
        <v>36</v>
      </c>
      <c r="B32" s="3" t="s">
        <v>153</v>
      </c>
      <c r="C32" s="56" t="str">
        <f>+VLOOKUP(E32,info!H:I,2,FALSE)</f>
        <v>Armado</v>
      </c>
      <c r="D32" s="16" t="str">
        <f t="shared" si="22"/>
        <v>00-00-00</v>
      </c>
      <c r="E32" s="65" t="s">
        <v>138</v>
      </c>
      <c r="F32" s="17" t="s">
        <v>67</v>
      </c>
      <c r="G32" s="17" t="s">
        <v>66</v>
      </c>
      <c r="H32" s="66"/>
      <c r="I32" s="66"/>
      <c r="J32" s="4" t="str">
        <f t="shared" si="7"/>
        <v/>
      </c>
      <c r="K32" s="3" t="str">
        <f t="shared" si="8"/>
        <v/>
      </c>
      <c r="L32" s="3"/>
      <c r="M32" s="3" t="str">
        <f t="shared" si="1"/>
        <v/>
      </c>
      <c r="N32" s="3" t="str">
        <f t="shared" si="2"/>
        <v/>
      </c>
      <c r="O32" s="15" t="str">
        <f t="shared" si="3"/>
        <v/>
      </c>
      <c r="P32" s="2" t="str">
        <f t="shared" si="9"/>
        <v/>
      </c>
      <c r="Q32" s="2" t="str">
        <f t="shared" si="4"/>
        <v/>
      </c>
      <c r="R32" s="3" t="str">
        <f t="shared" si="5"/>
        <v/>
      </c>
      <c r="S32" s="2" t="str">
        <f t="shared" si="10"/>
        <v/>
      </c>
      <c r="T32" s="15">
        <f t="shared" si="6"/>
        <v>0</v>
      </c>
      <c r="U32" s="10"/>
      <c r="V32" s="2">
        <f t="shared" si="23"/>
        <v>35</v>
      </c>
      <c r="W32" s="2">
        <v>11.52</v>
      </c>
      <c r="X32" s="236" cm="1">
        <f t="array" ref="X32">SUMPRODUCT((info!$H$4:$H$58=Feuil1!$E32)*(info!$K$4:$K$58&lt;=Feuil1!$W32)*(info!$L$4:$L$58&gt;=Feuil1!$W32),info!$M$4:$M$58)</f>
        <v>1.82</v>
      </c>
      <c r="Y32" s="236" cm="1">
        <f t="array" ref="Y32">SUMPRODUCT((info!$H$4:$H$58=Feuil1!$E32)*(info!$K$4:$K$58&lt;=Feuil1!$W32)*(info!$L$4:$L$58&gt;=Feuil1!$W32),info!$N$4:$N$58)</f>
        <v>1.79</v>
      </c>
      <c r="Z32" s="83">
        <f t="shared" si="12"/>
        <v>20.9664</v>
      </c>
      <c r="AA32" s="83">
        <f t="shared" si="13"/>
        <v>20.620799999999999</v>
      </c>
      <c r="AB32" s="76" t="s">
        <v>36</v>
      </c>
      <c r="AC32" s="77">
        <f>IF(+VLOOKUP($E32,info!$H:$Z,7,FALSE),+VLOOKUP($E32,info!$H:$Z,7,FALSE),"")</f>
        <v>1.79</v>
      </c>
      <c r="AD32" s="77" t="str">
        <f>IF(+VLOOKUP($E32,info!$H:$Z,8,FALSE),+VLOOKUP($E32,info!$H:$Z,8,FALSE),"")</f>
        <v/>
      </c>
      <c r="AE32" s="77">
        <f t="shared" si="14"/>
        <v>5.1551999999999998</v>
      </c>
      <c r="AF32" s="77" t="str">
        <f t="shared" si="15"/>
        <v/>
      </c>
      <c r="AG32" s="64" t="s">
        <v>36</v>
      </c>
      <c r="AH32" s="58">
        <f>IF(+VLOOKUP($E32,info!$H:$Z,10,FALSE),+VLOOKUP($E32,info!$H:$Z,10,FALSE),"")</f>
        <v>1.79</v>
      </c>
      <c r="AI32" s="58" t="str">
        <f>IF(+VLOOKUP($E32,info!$H:$Z,11,FALSE),+VLOOKUP($E32,info!$H:$Z,11,FALSE),"")</f>
        <v/>
      </c>
      <c r="AJ32" s="58">
        <f t="shared" si="16"/>
        <v>10.3104</v>
      </c>
      <c r="AK32" s="58" t="str">
        <f t="shared" si="17"/>
        <v/>
      </c>
      <c r="AL32" s="81" t="s">
        <v>36</v>
      </c>
      <c r="AM32" s="82">
        <f>IF(+VLOOKUP($E32,info!$H:$Z,13,FALSE),+VLOOKUP($E32,info!$H:$Z,13,FALSE),"")</f>
        <v>1.79</v>
      </c>
      <c r="AN32" s="82" t="str">
        <f>IF(+VLOOKUP($E32,info!$H:$Z,14,FALSE),+VLOOKUP($E32,info!$H:$Z,14,FALSE),"")</f>
        <v/>
      </c>
      <c r="AO32" s="82">
        <f t="shared" si="18"/>
        <v>25.776</v>
      </c>
      <c r="AP32" s="82" t="str">
        <f t="shared" si="19"/>
        <v/>
      </c>
      <c r="AQ32" s="79" t="s">
        <v>36</v>
      </c>
      <c r="AR32" s="80">
        <f>IF(+VLOOKUP($E32,info!$H:$Z,16,FALSE),+VLOOKUP($E32,info!$H:$Z,16,FALSE),"")</f>
        <v>1.79</v>
      </c>
      <c r="AS32" s="80" t="str">
        <f>IF(+VLOOKUP($E32,info!$H:$Z,17,FALSE),+VLOOKUP($E32,info!$H:$Z,17,FALSE),"")</f>
        <v/>
      </c>
      <c r="AT32" s="80">
        <f t="shared" si="20"/>
        <v>4.1241599999999998</v>
      </c>
      <c r="AU32" s="80" t="str">
        <f t="shared" si="21"/>
        <v/>
      </c>
      <c r="AV32" s="57"/>
      <c r="AW32" s="57"/>
      <c r="AX32" s="57"/>
      <c r="AY32" s="57"/>
      <c r="AZ32" s="57"/>
      <c r="BA32" s="57"/>
      <c r="BB32" s="57"/>
    </row>
    <row r="33" spans="1:54" x14ac:dyDescent="0.25">
      <c r="A33" s="15" t="s">
        <v>36</v>
      </c>
      <c r="B33" s="3" t="s">
        <v>153</v>
      </c>
      <c r="C33" s="56" t="str">
        <f>+VLOOKUP(E33,info!H:I,2,FALSE)</f>
        <v>-</v>
      </c>
      <c r="D33" s="16" t="str">
        <f t="shared" si="22"/>
        <v>00-00-00</v>
      </c>
      <c r="E33" s="65" t="s">
        <v>36</v>
      </c>
      <c r="F33" s="65" t="s">
        <v>36</v>
      </c>
      <c r="G33" s="65" t="s">
        <v>36</v>
      </c>
      <c r="H33" s="65" t="s">
        <v>36</v>
      </c>
      <c r="I33" s="65" t="s">
        <v>108</v>
      </c>
      <c r="J33" s="4" t="str">
        <f t="shared" si="7"/>
        <v>/</v>
      </c>
      <c r="K33" s="3" t="str">
        <f t="shared" si="8"/>
        <v/>
      </c>
      <c r="L33" s="3"/>
      <c r="M33" s="3" t="str">
        <f t="shared" si="1"/>
        <v/>
      </c>
      <c r="N33" s="3" t="str">
        <f t="shared" si="2"/>
        <v/>
      </c>
      <c r="O33" s="15" t="str">
        <f t="shared" si="3"/>
        <v/>
      </c>
      <c r="P33" s="2" t="str">
        <f t="shared" si="9"/>
        <v/>
      </c>
      <c r="Q33" s="2" t="str">
        <f t="shared" si="4"/>
        <v/>
      </c>
      <c r="R33" s="3" t="str">
        <f t="shared" si="5"/>
        <v/>
      </c>
      <c r="S33" s="2" t="str">
        <f t="shared" si="10"/>
        <v/>
      </c>
      <c r="T33" s="15">
        <f t="shared" si="6"/>
        <v>0</v>
      </c>
      <c r="U33" s="10"/>
      <c r="V33" s="2" t="str">
        <f t="shared" si="23"/>
        <v>/</v>
      </c>
      <c r="W33" s="2"/>
      <c r="X33" s="236" cm="1">
        <f t="array" ref="X33">SUMPRODUCT((info!$H$4:$H$58=Feuil1!$E33)*(info!$K$4:$K$58&lt;=Feuil1!$W33)*(info!$L$4:$L$58&gt;=Feuil1!$W33),info!$M$4:$M$58)</f>
        <v>0</v>
      </c>
      <c r="Y33" s="236" cm="1">
        <f t="array" ref="Y33">SUMPRODUCT((info!$H$4:$H$58=Feuil1!$E33)*(info!$K$4:$K$58&lt;=Feuil1!$W33)*(info!$L$4:$L$58&gt;=Feuil1!$W33),info!$N$4:$N$58)</f>
        <v>0</v>
      </c>
      <c r="Z33" s="83">
        <f t="shared" si="12"/>
        <v>0</v>
      </c>
      <c r="AA33" s="83">
        <f t="shared" si="13"/>
        <v>0</v>
      </c>
      <c r="AB33" s="76" t="s">
        <v>36</v>
      </c>
      <c r="AC33" s="77" t="str">
        <f>IF(+VLOOKUP($E33,info!$H:$Z,7,FALSE),+VLOOKUP($E33,info!$H:$Z,7,FALSE),"")</f>
        <v/>
      </c>
      <c r="AD33" s="77" t="str">
        <f>IF(+VLOOKUP($E33,info!$H:$Z,8,FALSE),+VLOOKUP($E33,info!$H:$Z,8,FALSE),"")</f>
        <v/>
      </c>
      <c r="AE33" s="77" t="str">
        <f t="shared" si="14"/>
        <v/>
      </c>
      <c r="AF33" s="77" t="str">
        <f t="shared" si="15"/>
        <v/>
      </c>
      <c r="AG33" s="64" t="s">
        <v>36</v>
      </c>
      <c r="AH33" s="58" t="str">
        <f>IF(+VLOOKUP($E33,info!$H:$Z,10,FALSE),+VLOOKUP($E33,info!$H:$Z,10,FALSE),"")</f>
        <v/>
      </c>
      <c r="AI33" s="58" t="str">
        <f>IF(+VLOOKUP($E33,info!$H:$Z,11,FALSE),+VLOOKUP($E33,info!$H:$Z,11,FALSE),"")</f>
        <v/>
      </c>
      <c r="AJ33" s="58" t="str">
        <f t="shared" si="16"/>
        <v/>
      </c>
      <c r="AK33" s="58" t="str">
        <f t="shared" si="17"/>
        <v/>
      </c>
      <c r="AL33" s="81" t="s">
        <v>36</v>
      </c>
      <c r="AM33" s="82" t="str">
        <f>IF(+VLOOKUP($E33,info!$H:$Z,13,FALSE),+VLOOKUP($E33,info!$H:$Z,13,FALSE),"")</f>
        <v/>
      </c>
      <c r="AN33" s="82" t="str">
        <f>IF(+VLOOKUP($E33,info!$H:$Z,14,FALSE),+VLOOKUP($E33,info!$H:$Z,14,FALSE),"")</f>
        <v/>
      </c>
      <c r="AO33" s="82" t="str">
        <f t="shared" si="18"/>
        <v/>
      </c>
      <c r="AP33" s="82" t="str">
        <f t="shared" si="19"/>
        <v/>
      </c>
      <c r="AQ33" s="79" t="s">
        <v>36</v>
      </c>
      <c r="AR33" s="80" t="str">
        <f>IF(+VLOOKUP($E33,info!$H:$Z,16,FALSE),+VLOOKUP($E33,info!$H:$Z,16,FALSE),"")</f>
        <v/>
      </c>
      <c r="AS33" s="80" t="str">
        <f>IF(+VLOOKUP($E33,info!$H:$Z,17,FALSE),+VLOOKUP($E33,info!$H:$Z,17,FALSE),"")</f>
        <v/>
      </c>
      <c r="AT33" s="80" t="str">
        <f t="shared" si="20"/>
        <v/>
      </c>
      <c r="AU33" s="80" t="str">
        <f t="shared" si="21"/>
        <v/>
      </c>
      <c r="AV33" s="57"/>
      <c r="AW33" s="57"/>
      <c r="AX33" s="57"/>
      <c r="AY33" s="57"/>
      <c r="AZ33" s="57"/>
      <c r="BA33" s="57"/>
      <c r="BB33" s="57"/>
    </row>
    <row r="34" spans="1:54" x14ac:dyDescent="0.25">
      <c r="A34" s="15" t="s">
        <v>36</v>
      </c>
      <c r="B34" s="3" t="s">
        <v>153</v>
      </c>
      <c r="C34" s="56" t="str">
        <f>+VLOOKUP(E34,info!H:I,2,FALSE)</f>
        <v>-</v>
      </c>
      <c r="D34" s="16" t="str">
        <f t="shared" si="22"/>
        <v>00-00-00</v>
      </c>
      <c r="E34" s="65" t="s">
        <v>36</v>
      </c>
      <c r="F34" s="65" t="s">
        <v>36</v>
      </c>
      <c r="G34" s="65" t="s">
        <v>36</v>
      </c>
      <c r="H34" s="65" t="s">
        <v>36</v>
      </c>
      <c r="I34" s="65" t="s">
        <v>108</v>
      </c>
      <c r="J34" s="4" t="str">
        <f t="shared" si="7"/>
        <v>/</v>
      </c>
      <c r="K34" s="3" t="str">
        <f t="shared" si="8"/>
        <v/>
      </c>
      <c r="L34" s="3"/>
      <c r="M34" s="3" t="str">
        <f t="shared" si="1"/>
        <v/>
      </c>
      <c r="N34" s="3" t="str">
        <f t="shared" si="2"/>
        <v/>
      </c>
      <c r="O34" s="15" t="str">
        <f t="shared" si="3"/>
        <v/>
      </c>
      <c r="P34" s="2" t="str">
        <f t="shared" si="9"/>
        <v/>
      </c>
      <c r="Q34" s="2" t="str">
        <f t="shared" si="4"/>
        <v/>
      </c>
      <c r="R34" s="3" t="str">
        <f t="shared" si="5"/>
        <v/>
      </c>
      <c r="S34" s="2" t="str">
        <f t="shared" si="10"/>
        <v/>
      </c>
      <c r="T34" s="15">
        <f t="shared" si="6"/>
        <v>0</v>
      </c>
      <c r="U34" s="10"/>
      <c r="V34" s="2" t="str">
        <f t="shared" si="23"/>
        <v>/</v>
      </c>
      <c r="W34" s="2"/>
      <c r="X34" s="236" cm="1">
        <f t="array" ref="X34">SUMPRODUCT((info!$H$4:$H$58=Feuil1!$E34)*(info!$K$4:$K$58&lt;=Feuil1!$W34)*(info!$L$4:$L$58&gt;=Feuil1!$W34),info!$M$4:$M$58)</f>
        <v>0</v>
      </c>
      <c r="Y34" s="236" cm="1">
        <f t="array" ref="Y34">SUMPRODUCT((info!$H$4:$H$58=Feuil1!$E34)*(info!$K$4:$K$58&lt;=Feuil1!$W34)*(info!$L$4:$L$58&gt;=Feuil1!$W34),info!$N$4:$N$58)</f>
        <v>0</v>
      </c>
      <c r="Z34" s="83">
        <f t="shared" si="12"/>
        <v>0</v>
      </c>
      <c r="AA34" s="83">
        <f t="shared" si="13"/>
        <v>0</v>
      </c>
      <c r="AB34" s="76" t="s">
        <v>36</v>
      </c>
      <c r="AC34" s="77" t="str">
        <f>IF(+VLOOKUP($E34,info!$H:$Z,7,FALSE),+VLOOKUP($E34,info!$H:$Z,7,FALSE),"")</f>
        <v/>
      </c>
      <c r="AD34" s="77" t="str">
        <f>IF(+VLOOKUP($E34,info!$H:$Z,8,FALSE),+VLOOKUP($E34,info!$H:$Z,8,FALSE),"")</f>
        <v/>
      </c>
      <c r="AE34" s="77" t="str">
        <f t="shared" si="14"/>
        <v/>
      </c>
      <c r="AF34" s="77" t="str">
        <f t="shared" si="15"/>
        <v/>
      </c>
      <c r="AG34" s="64" t="s">
        <v>36</v>
      </c>
      <c r="AH34" s="58" t="str">
        <f>IF(+VLOOKUP($E34,info!$H:$Z,10,FALSE),+VLOOKUP($E34,info!$H:$Z,10,FALSE),"")</f>
        <v/>
      </c>
      <c r="AI34" s="58" t="str">
        <f>IF(+VLOOKUP($E34,info!$H:$Z,11,FALSE),+VLOOKUP($E34,info!$H:$Z,11,FALSE),"")</f>
        <v/>
      </c>
      <c r="AJ34" s="58" t="str">
        <f t="shared" si="16"/>
        <v/>
      </c>
      <c r="AK34" s="58" t="str">
        <f t="shared" si="17"/>
        <v/>
      </c>
      <c r="AL34" s="81" t="s">
        <v>36</v>
      </c>
      <c r="AM34" s="82" t="str">
        <f>IF(+VLOOKUP($E34,info!$H:$Z,13,FALSE),+VLOOKUP($E34,info!$H:$Z,13,FALSE),"")</f>
        <v/>
      </c>
      <c r="AN34" s="82" t="str">
        <f>IF(+VLOOKUP($E34,info!$H:$Z,14,FALSE),+VLOOKUP($E34,info!$H:$Z,14,FALSE),"")</f>
        <v/>
      </c>
      <c r="AO34" s="82" t="str">
        <f t="shared" si="18"/>
        <v/>
      </c>
      <c r="AP34" s="82" t="str">
        <f t="shared" si="19"/>
        <v/>
      </c>
      <c r="AQ34" s="79" t="s">
        <v>36</v>
      </c>
      <c r="AR34" s="80" t="str">
        <f>IF(+VLOOKUP($E34,info!$H:$Z,16,FALSE),+VLOOKUP($E34,info!$H:$Z,16,FALSE),"")</f>
        <v/>
      </c>
      <c r="AS34" s="80" t="str">
        <f>IF(+VLOOKUP($E34,info!$H:$Z,17,FALSE),+VLOOKUP($E34,info!$H:$Z,17,FALSE),"")</f>
        <v/>
      </c>
      <c r="AT34" s="80" t="str">
        <f t="shared" si="20"/>
        <v/>
      </c>
      <c r="AU34" s="80" t="str">
        <f t="shared" si="21"/>
        <v/>
      </c>
      <c r="AV34" s="57"/>
      <c r="AW34" s="57"/>
      <c r="AX34" s="57"/>
      <c r="AY34" s="57"/>
      <c r="AZ34" s="57"/>
      <c r="BA34" s="57"/>
      <c r="BB34" s="57"/>
    </row>
    <row r="35" spans="1:54" x14ac:dyDescent="0.25">
      <c r="A35" s="15" t="s">
        <v>36</v>
      </c>
      <c r="B35" s="3" t="s">
        <v>153</v>
      </c>
      <c r="C35" s="56" t="str">
        <f>+VLOOKUP(E35,info!H:I,2,FALSE)</f>
        <v>-</v>
      </c>
      <c r="D35" s="16" t="str">
        <f t="shared" si="22"/>
        <v>00-00-00</v>
      </c>
      <c r="E35" s="65" t="s">
        <v>36</v>
      </c>
      <c r="F35" s="65" t="s">
        <v>36</v>
      </c>
      <c r="G35" s="65" t="s">
        <v>36</v>
      </c>
      <c r="H35" s="65" t="s">
        <v>36</v>
      </c>
      <c r="I35" s="65" t="s">
        <v>108</v>
      </c>
      <c r="J35" s="4" t="str">
        <f t="shared" si="7"/>
        <v>/</v>
      </c>
      <c r="K35" s="3" t="str">
        <f t="shared" si="8"/>
        <v/>
      </c>
      <c r="L35" s="3"/>
      <c r="M35" s="3" t="str">
        <f t="shared" si="1"/>
        <v/>
      </c>
      <c r="N35" s="3" t="str">
        <f t="shared" si="2"/>
        <v/>
      </c>
      <c r="O35" s="15" t="str">
        <f t="shared" si="3"/>
        <v/>
      </c>
      <c r="P35" s="2" t="str">
        <f t="shared" si="9"/>
        <v/>
      </c>
      <c r="Q35" s="2" t="str">
        <f t="shared" si="4"/>
        <v/>
      </c>
      <c r="R35" s="3" t="str">
        <f t="shared" si="5"/>
        <v/>
      </c>
      <c r="S35" s="2" t="str">
        <f t="shared" si="10"/>
        <v/>
      </c>
      <c r="T35" s="15">
        <f t="shared" si="6"/>
        <v>0</v>
      </c>
      <c r="U35" s="10"/>
      <c r="V35" s="2" t="str">
        <f t="shared" si="23"/>
        <v>/</v>
      </c>
      <c r="W35" s="2"/>
      <c r="X35" s="236" cm="1">
        <f t="array" ref="X35">SUMPRODUCT((info!$H$4:$H$58=Feuil1!$E35)*(info!$K$4:$K$58&lt;=Feuil1!$W35)*(info!$L$4:$L$58&gt;=Feuil1!$W35),info!$M$4:$M$58)</f>
        <v>0</v>
      </c>
      <c r="Y35" s="236" cm="1">
        <f t="array" ref="Y35">SUMPRODUCT((info!$H$4:$H$58=Feuil1!$E35)*(info!$K$4:$K$58&lt;=Feuil1!$W35)*(info!$L$4:$L$58&gt;=Feuil1!$W35),info!$N$4:$N$58)</f>
        <v>0</v>
      </c>
      <c r="Z35" s="83">
        <f t="shared" si="12"/>
        <v>0</v>
      </c>
      <c r="AA35" s="83">
        <f t="shared" si="13"/>
        <v>0</v>
      </c>
      <c r="AB35" s="76" t="s">
        <v>36</v>
      </c>
      <c r="AC35" s="77" t="str">
        <f>IF(+VLOOKUP($E35,info!$H:$Z,7,FALSE),+VLOOKUP($E35,info!$H:$Z,7,FALSE),"")</f>
        <v/>
      </c>
      <c r="AD35" s="77" t="str">
        <f>IF(+VLOOKUP($E35,info!$H:$Z,8,FALSE),+VLOOKUP($E35,info!$H:$Z,8,FALSE),"")</f>
        <v/>
      </c>
      <c r="AE35" s="77" t="str">
        <f t="shared" si="14"/>
        <v/>
      </c>
      <c r="AF35" s="77" t="str">
        <f t="shared" si="15"/>
        <v/>
      </c>
      <c r="AG35" s="64" t="s">
        <v>36</v>
      </c>
      <c r="AH35" s="58" t="str">
        <f>IF(+VLOOKUP($E35,info!$H:$Z,10,FALSE),+VLOOKUP($E35,info!$H:$Z,10,FALSE),"")</f>
        <v/>
      </c>
      <c r="AI35" s="58" t="str">
        <f>IF(+VLOOKUP($E35,info!$H:$Z,11,FALSE),+VLOOKUP($E35,info!$H:$Z,11,FALSE),"")</f>
        <v/>
      </c>
      <c r="AJ35" s="58" t="str">
        <f t="shared" si="16"/>
        <v/>
      </c>
      <c r="AK35" s="58" t="str">
        <f t="shared" si="17"/>
        <v/>
      </c>
      <c r="AL35" s="81" t="s">
        <v>36</v>
      </c>
      <c r="AM35" s="82" t="str">
        <f>IF(+VLOOKUP($E35,info!$H:$Z,13,FALSE),+VLOOKUP($E35,info!$H:$Z,13,FALSE),"")</f>
        <v/>
      </c>
      <c r="AN35" s="82" t="str">
        <f>IF(+VLOOKUP($E35,info!$H:$Z,14,FALSE),+VLOOKUP($E35,info!$H:$Z,14,FALSE),"")</f>
        <v/>
      </c>
      <c r="AO35" s="82" t="str">
        <f t="shared" si="18"/>
        <v/>
      </c>
      <c r="AP35" s="82" t="str">
        <f t="shared" si="19"/>
        <v/>
      </c>
      <c r="AQ35" s="79" t="s">
        <v>36</v>
      </c>
      <c r="AR35" s="80" t="str">
        <f>IF(+VLOOKUP($E35,info!$H:$Z,16,FALSE),+VLOOKUP($E35,info!$H:$Z,16,FALSE),"")</f>
        <v/>
      </c>
      <c r="AS35" s="80" t="str">
        <f>IF(+VLOOKUP($E35,info!$H:$Z,17,FALSE),+VLOOKUP($E35,info!$H:$Z,17,FALSE),"")</f>
        <v/>
      </c>
      <c r="AT35" s="80" t="str">
        <f t="shared" si="20"/>
        <v/>
      </c>
      <c r="AU35" s="80" t="str">
        <f t="shared" si="21"/>
        <v/>
      </c>
      <c r="AV35" s="57"/>
      <c r="AW35" s="57"/>
      <c r="AX35" s="57"/>
      <c r="AY35" s="57"/>
      <c r="AZ35" s="57"/>
      <c r="BA35" s="57"/>
      <c r="BB35" s="57"/>
    </row>
    <row r="36" spans="1:54" x14ac:dyDescent="0.25">
      <c r="A36" s="15" t="s">
        <v>36</v>
      </c>
      <c r="B36" s="3" t="s">
        <v>153</v>
      </c>
      <c r="C36" s="56" t="str">
        <f>+VLOOKUP(E36,info!H:I,2,FALSE)</f>
        <v>PIXID</v>
      </c>
      <c r="D36" s="16" t="str">
        <f t="shared" si="22"/>
        <v>00-00-00</v>
      </c>
      <c r="E36" s="18" t="s">
        <v>113</v>
      </c>
      <c r="F36" s="17" t="s">
        <v>68</v>
      </c>
      <c r="G36" s="17" t="s">
        <v>69</v>
      </c>
      <c r="H36" s="17"/>
      <c r="I36" s="17"/>
      <c r="J36" s="4" t="str">
        <f t="shared" si="7"/>
        <v/>
      </c>
      <c r="K36" s="3" t="str">
        <f t="shared" si="8"/>
        <v/>
      </c>
      <c r="L36" s="3"/>
      <c r="M36" s="3" t="str">
        <f t="shared" si="1"/>
        <v/>
      </c>
      <c r="N36" s="3" t="str">
        <f t="shared" si="2"/>
        <v/>
      </c>
      <c r="O36" s="15" t="str">
        <f t="shared" si="3"/>
        <v/>
      </c>
      <c r="P36" s="2" t="str">
        <f t="shared" si="9"/>
        <v/>
      </c>
      <c r="Q36" s="2" t="str">
        <f t="shared" si="4"/>
        <v/>
      </c>
      <c r="R36" s="3" t="str">
        <f t="shared" si="5"/>
        <v/>
      </c>
      <c r="S36" s="2" t="str">
        <f t="shared" si="10"/>
        <v/>
      </c>
      <c r="T36" s="15">
        <f t="shared" si="6"/>
        <v>0</v>
      </c>
      <c r="U36" s="10"/>
      <c r="V36" s="2">
        <f t="shared" si="23"/>
        <v>35</v>
      </c>
      <c r="W36" s="2">
        <v>11.52</v>
      </c>
      <c r="X36" s="236" cm="1">
        <f t="array" ref="X36">SUMPRODUCT((info!$H$4:$H$58=Feuil1!$E36)*(info!$K$4:$K$58&lt;=Feuil1!$W36)*(info!$L$4:$L$58&gt;=Feuil1!$W36),info!$M$4:$M$58)</f>
        <v>1.83</v>
      </c>
      <c r="Y36" s="236" cm="1">
        <f t="array" ref="Y36">SUMPRODUCT((info!$H$4:$H$58=Feuil1!$E36)*(info!$K$4:$K$58&lt;=Feuil1!$W36)*(info!$L$4:$L$58&gt;=Feuil1!$W36),info!$N$4:$N$58)</f>
        <v>1.79</v>
      </c>
      <c r="Z36" s="83">
        <f t="shared" si="12"/>
        <v>21.081600000000002</v>
      </c>
      <c r="AA36" s="83">
        <f t="shared" si="13"/>
        <v>20.620799999999999</v>
      </c>
      <c r="AB36" s="76" t="s">
        <v>36</v>
      </c>
      <c r="AC36" s="77">
        <f>IF(+VLOOKUP($E36,info!$H:$Z,7,FALSE),+VLOOKUP($E36,info!$H:$Z,7,FALSE),"")</f>
        <v>1.79</v>
      </c>
      <c r="AD36" s="77" t="str">
        <f>IF(+VLOOKUP($E36,info!$H:$Z,8,FALSE),+VLOOKUP($E36,info!$H:$Z,8,FALSE),"")</f>
        <v/>
      </c>
      <c r="AE36" s="77">
        <f t="shared" si="14"/>
        <v>5.1551999999999998</v>
      </c>
      <c r="AF36" s="77" t="str">
        <f t="shared" si="15"/>
        <v/>
      </c>
      <c r="AG36" s="64" t="s">
        <v>36</v>
      </c>
      <c r="AH36" s="58">
        <f>IF(+VLOOKUP($E36,info!$H:$Z,10,FALSE),+VLOOKUP($E36,info!$H:$Z,10,FALSE),"")</f>
        <v>1.79</v>
      </c>
      <c r="AI36" s="58" t="str">
        <f>IF(+VLOOKUP($E36,info!$H:$Z,11,FALSE),+VLOOKUP($E36,info!$H:$Z,11,FALSE),"")</f>
        <v/>
      </c>
      <c r="AJ36" s="58">
        <f t="shared" si="16"/>
        <v>10.3104</v>
      </c>
      <c r="AK36" s="58" t="str">
        <f t="shared" si="17"/>
        <v/>
      </c>
      <c r="AL36" s="81" t="s">
        <v>36</v>
      </c>
      <c r="AM36" s="82">
        <f>IF(+VLOOKUP($E36,info!$H:$Z,13,FALSE),+VLOOKUP($E36,info!$H:$Z,13,FALSE),"")</f>
        <v>1.79</v>
      </c>
      <c r="AN36" s="82" t="str">
        <f>IF(+VLOOKUP($E36,info!$H:$Z,14,FALSE),+VLOOKUP($E36,info!$H:$Z,14,FALSE),"")</f>
        <v/>
      </c>
      <c r="AO36" s="82">
        <f t="shared" si="18"/>
        <v>25.776</v>
      </c>
      <c r="AP36" s="82" t="str">
        <f t="shared" si="19"/>
        <v/>
      </c>
      <c r="AQ36" s="79" t="s">
        <v>36</v>
      </c>
      <c r="AR36" s="80">
        <f>IF(+VLOOKUP($E36,info!$H:$Z,16,FALSE),+VLOOKUP($E36,info!$H:$Z,16,FALSE),"")</f>
        <v>1.79</v>
      </c>
      <c r="AS36" s="80" t="str">
        <f>IF(+VLOOKUP($E36,info!$H:$Z,17,FALSE),+VLOOKUP($E36,info!$H:$Z,17,FALSE),"")</f>
        <v/>
      </c>
      <c r="AT36" s="80">
        <f t="shared" si="20"/>
        <v>4.1241599999999998</v>
      </c>
      <c r="AU36" s="80" t="str">
        <f t="shared" si="21"/>
        <v/>
      </c>
      <c r="AV36" s="57"/>
      <c r="AW36" s="57"/>
      <c r="AX36" s="57"/>
      <c r="AY36" s="57"/>
      <c r="AZ36" s="57"/>
      <c r="BA36" s="57"/>
      <c r="BB36" s="57"/>
    </row>
    <row r="37" spans="1:54" x14ac:dyDescent="0.25">
      <c r="A37" s="15" t="s">
        <v>36</v>
      </c>
      <c r="B37" s="3" t="s">
        <v>153</v>
      </c>
      <c r="C37" s="56" t="str">
        <f>+VLOOKUP(E37,info!H:I,2,FALSE)</f>
        <v>Instant</v>
      </c>
      <c r="D37" s="16" t="str">
        <f t="shared" si="22"/>
        <v>00-00-00</v>
      </c>
      <c r="E37" s="65" t="s">
        <v>154</v>
      </c>
      <c r="F37" s="17" t="s">
        <v>68</v>
      </c>
      <c r="G37" s="17" t="s">
        <v>66</v>
      </c>
      <c r="H37" s="17"/>
      <c r="I37" s="17"/>
      <c r="J37" s="4" t="str">
        <f t="shared" si="7"/>
        <v/>
      </c>
      <c r="K37" s="3" t="str">
        <f t="shared" si="8"/>
        <v/>
      </c>
      <c r="L37" s="3"/>
      <c r="M37" s="3" t="str">
        <f t="shared" si="1"/>
        <v/>
      </c>
      <c r="N37" s="3" t="str">
        <f t="shared" si="2"/>
        <v/>
      </c>
      <c r="O37" s="15" t="str">
        <f t="shared" si="3"/>
        <v/>
      </c>
      <c r="P37" s="2" t="str">
        <f t="shared" si="9"/>
        <v/>
      </c>
      <c r="Q37" s="2" t="str">
        <f t="shared" si="4"/>
        <v/>
      </c>
      <c r="R37" s="3" t="str">
        <f t="shared" si="5"/>
        <v/>
      </c>
      <c r="S37" s="2" t="str">
        <f t="shared" si="10"/>
        <v/>
      </c>
      <c r="T37" s="15">
        <f t="shared" si="6"/>
        <v>0</v>
      </c>
      <c r="U37" s="10"/>
      <c r="V37" s="2">
        <f t="shared" si="23"/>
        <v>35</v>
      </c>
      <c r="W37" s="2">
        <v>11.52</v>
      </c>
      <c r="X37" s="236" cm="1">
        <f t="array" ref="X37">SUMPRODUCT((info!$H$4:$H$58=Feuil1!$E37)*(info!$K$4:$K$58&lt;=Feuil1!$W37)*(info!$L$4:$L$58&gt;=Feuil1!$W37),info!$M$4:$M$58)</f>
        <v>1.79</v>
      </c>
      <c r="Y37" s="236" cm="1">
        <f t="array" ref="Y37">SUMPRODUCT((info!$H$4:$H$58=Feuil1!$E37)*(info!$K$4:$K$58&lt;=Feuil1!$W37)*(info!$L$4:$L$58&gt;=Feuil1!$W37),info!$N$4:$N$58)</f>
        <v>1.78</v>
      </c>
      <c r="Z37" s="83">
        <f t="shared" si="12"/>
        <v>20.620799999999999</v>
      </c>
      <c r="AA37" s="83">
        <f t="shared" si="13"/>
        <v>20.505600000000001</v>
      </c>
      <c r="AB37" s="76" t="s">
        <v>36</v>
      </c>
      <c r="AC37" s="77">
        <f>IF(+VLOOKUP($E37,info!$H:$Z,7,FALSE),+VLOOKUP($E37,info!$H:$Z,7,FALSE),"")</f>
        <v>1.78</v>
      </c>
      <c r="AD37" s="77">
        <f>IF(+VLOOKUP($E37,info!$H:$Z,8,FALSE),+VLOOKUP($E37,info!$H:$Z,8,FALSE),"")</f>
        <v>0.06</v>
      </c>
      <c r="AE37" s="77">
        <f t="shared" si="14"/>
        <v>5.1264000000000003</v>
      </c>
      <c r="AF37" s="77">
        <f t="shared" si="15"/>
        <v>0.17279999999999998</v>
      </c>
      <c r="AG37" s="64" t="s">
        <v>36</v>
      </c>
      <c r="AH37" s="58">
        <f>IF(+VLOOKUP($E37,info!$H:$Z,10,FALSE),+VLOOKUP($E37,info!$H:$Z,10,FALSE),"")</f>
        <v>1.84</v>
      </c>
      <c r="AI37" s="58">
        <f>IF(+VLOOKUP($E37,info!$H:$Z,11,FALSE),+VLOOKUP($E37,info!$H:$Z,11,FALSE),"")</f>
        <v>0.06</v>
      </c>
      <c r="AJ37" s="58">
        <f t="shared" si="16"/>
        <v>10.5984</v>
      </c>
      <c r="AK37" s="58">
        <f t="shared" si="17"/>
        <v>0.34559999999999996</v>
      </c>
      <c r="AL37" s="81" t="s">
        <v>36</v>
      </c>
      <c r="AM37" s="82">
        <f>IF(+VLOOKUP($E37,info!$H:$Z,13,FALSE),+VLOOKUP($E37,info!$H:$Z,13,FALSE),"")</f>
        <v>1.84</v>
      </c>
      <c r="AN37" s="82">
        <f>IF(+VLOOKUP($E37,info!$H:$Z,14,FALSE),+VLOOKUP($E37,info!$H:$Z,14,FALSE),"")</f>
        <v>0.06</v>
      </c>
      <c r="AO37" s="82">
        <f t="shared" si="18"/>
        <v>26.495999999999999</v>
      </c>
      <c r="AP37" s="82">
        <f t="shared" si="19"/>
        <v>0.86399999999999988</v>
      </c>
      <c r="AQ37" s="79" t="s">
        <v>36</v>
      </c>
      <c r="AR37" s="80">
        <f>IF(+VLOOKUP($E37,info!$H:$Z,16,FALSE),+VLOOKUP($E37,info!$H:$Z,16,FALSE),"")</f>
        <v>1.84</v>
      </c>
      <c r="AS37" s="80">
        <f>IF(+VLOOKUP($E37,info!$H:$Z,17,FALSE),+VLOOKUP($E37,info!$H:$Z,17,FALSE),"")</f>
        <v>0.06</v>
      </c>
      <c r="AT37" s="80">
        <f t="shared" si="20"/>
        <v>4.2393600000000005</v>
      </c>
      <c r="AU37" s="80">
        <f t="shared" si="21"/>
        <v>0.13824</v>
      </c>
      <c r="AV37" s="57"/>
      <c r="AW37" s="57"/>
      <c r="AX37" s="57"/>
      <c r="AY37" s="57"/>
      <c r="AZ37" s="57"/>
      <c r="BA37" s="57"/>
      <c r="BB37" s="57"/>
    </row>
    <row r="38" spans="1:54" x14ac:dyDescent="0.25">
      <c r="A38" s="15" t="s">
        <v>36</v>
      </c>
      <c r="B38" s="3" t="s">
        <v>153</v>
      </c>
      <c r="C38" s="56" t="str">
        <f>+VLOOKUP(E38,info!H:I,2,FALSE)</f>
        <v>Instant</v>
      </c>
      <c r="D38" s="16" t="str">
        <f t="shared" si="22"/>
        <v>00-00-00</v>
      </c>
      <c r="E38" s="65" t="s">
        <v>154</v>
      </c>
      <c r="F38" s="17" t="s">
        <v>68</v>
      </c>
      <c r="G38" s="17" t="s">
        <v>70</v>
      </c>
      <c r="H38" s="17"/>
      <c r="I38" s="17"/>
      <c r="J38" s="4" t="str">
        <f t="shared" si="7"/>
        <v/>
      </c>
      <c r="K38" s="3" t="str">
        <f t="shared" si="8"/>
        <v/>
      </c>
      <c r="L38" s="3"/>
      <c r="M38" s="3" t="str">
        <f t="shared" si="1"/>
        <v/>
      </c>
      <c r="N38" s="3" t="str">
        <f t="shared" si="2"/>
        <v/>
      </c>
      <c r="O38" s="15" t="str">
        <f t="shared" si="3"/>
        <v/>
      </c>
      <c r="P38" s="2" t="str">
        <f t="shared" si="9"/>
        <v/>
      </c>
      <c r="Q38" s="2" t="str">
        <f t="shared" si="4"/>
        <v/>
      </c>
      <c r="R38" s="3" t="str">
        <f t="shared" si="5"/>
        <v/>
      </c>
      <c r="S38" s="2" t="str">
        <f t="shared" si="10"/>
        <v/>
      </c>
      <c r="T38" s="15">
        <f t="shared" si="6"/>
        <v>0</v>
      </c>
      <c r="U38" s="10"/>
      <c r="V38" s="2">
        <f t="shared" si="23"/>
        <v>35</v>
      </c>
      <c r="W38" s="2">
        <v>11.52</v>
      </c>
      <c r="X38" s="236" cm="1">
        <f t="array" ref="X38">SUMPRODUCT((info!$H$4:$H$58=Feuil1!$E38)*(info!$K$4:$K$58&lt;=Feuil1!$W38)*(info!$L$4:$L$58&gt;=Feuil1!$W38),info!$M$4:$M$58)</f>
        <v>1.79</v>
      </c>
      <c r="Y38" s="236" cm="1">
        <f t="array" ref="Y38">SUMPRODUCT((info!$H$4:$H$58=Feuil1!$E38)*(info!$K$4:$K$58&lt;=Feuil1!$W38)*(info!$L$4:$L$58&gt;=Feuil1!$W38),info!$N$4:$N$58)</f>
        <v>1.78</v>
      </c>
      <c r="Z38" s="83">
        <f t="shared" si="12"/>
        <v>20.620799999999999</v>
      </c>
      <c r="AA38" s="83">
        <f t="shared" si="13"/>
        <v>20.505600000000001</v>
      </c>
      <c r="AB38" s="76" t="s">
        <v>36</v>
      </c>
      <c r="AC38" s="77">
        <f>IF(+VLOOKUP($E38,info!$H:$Z,7,FALSE),+VLOOKUP($E38,info!$H:$Z,7,FALSE),"")</f>
        <v>1.78</v>
      </c>
      <c r="AD38" s="77">
        <f>IF(+VLOOKUP($E38,info!$H:$Z,8,FALSE),+VLOOKUP($E38,info!$H:$Z,8,FALSE),"")</f>
        <v>0.06</v>
      </c>
      <c r="AE38" s="77">
        <f t="shared" si="14"/>
        <v>5.1264000000000003</v>
      </c>
      <c r="AF38" s="77">
        <f t="shared" si="15"/>
        <v>0.17279999999999998</v>
      </c>
      <c r="AG38" s="64" t="s">
        <v>36</v>
      </c>
      <c r="AH38" s="58">
        <f>IF(+VLOOKUP($E38,info!$H:$Z,10,FALSE),+VLOOKUP($E38,info!$H:$Z,10,FALSE),"")</f>
        <v>1.84</v>
      </c>
      <c r="AI38" s="58">
        <f>IF(+VLOOKUP($E38,info!$H:$Z,11,FALSE),+VLOOKUP($E38,info!$H:$Z,11,FALSE),"")</f>
        <v>0.06</v>
      </c>
      <c r="AJ38" s="58">
        <f t="shared" si="16"/>
        <v>10.5984</v>
      </c>
      <c r="AK38" s="58">
        <f t="shared" si="17"/>
        <v>0.34559999999999996</v>
      </c>
      <c r="AL38" s="81" t="s">
        <v>36</v>
      </c>
      <c r="AM38" s="82">
        <f>IF(+VLOOKUP($E38,info!$H:$Z,13,FALSE),+VLOOKUP($E38,info!$H:$Z,13,FALSE),"")</f>
        <v>1.84</v>
      </c>
      <c r="AN38" s="82">
        <f>IF(+VLOOKUP($E38,info!$H:$Z,14,FALSE),+VLOOKUP($E38,info!$H:$Z,14,FALSE),"")</f>
        <v>0.06</v>
      </c>
      <c r="AO38" s="82">
        <f t="shared" si="18"/>
        <v>26.495999999999999</v>
      </c>
      <c r="AP38" s="82">
        <f t="shared" si="19"/>
        <v>0.86399999999999988</v>
      </c>
      <c r="AQ38" s="79" t="s">
        <v>36</v>
      </c>
      <c r="AR38" s="80">
        <f>IF(+VLOOKUP($E38,info!$H:$Z,16,FALSE),+VLOOKUP($E38,info!$H:$Z,16,FALSE),"")</f>
        <v>1.84</v>
      </c>
      <c r="AS38" s="80">
        <f>IF(+VLOOKUP($E38,info!$H:$Z,17,FALSE),+VLOOKUP($E38,info!$H:$Z,17,FALSE),"")</f>
        <v>0.06</v>
      </c>
      <c r="AT38" s="80">
        <f t="shared" si="20"/>
        <v>4.2393600000000005</v>
      </c>
      <c r="AU38" s="80">
        <f t="shared" si="21"/>
        <v>0.13824</v>
      </c>
      <c r="AV38" s="57"/>
      <c r="AW38" s="57"/>
      <c r="AX38" s="57"/>
      <c r="AY38" s="57"/>
      <c r="AZ38" s="57"/>
      <c r="BA38" s="57"/>
      <c r="BB38" s="57"/>
    </row>
    <row r="39" spans="1:54" x14ac:dyDescent="0.25">
      <c r="A39" s="15" t="s">
        <v>36</v>
      </c>
      <c r="B39" s="3" t="s">
        <v>153</v>
      </c>
      <c r="C39" s="56" t="str">
        <f>+VLOOKUP(E39,info!H:I,2,FALSE)</f>
        <v>-</v>
      </c>
      <c r="D39" s="16" t="str">
        <f t="shared" si="22"/>
        <v>00-00-00</v>
      </c>
      <c r="E39" s="65" t="s">
        <v>36</v>
      </c>
      <c r="F39" s="65" t="s">
        <v>36</v>
      </c>
      <c r="G39" s="65" t="s">
        <v>36</v>
      </c>
      <c r="H39" s="65" t="s">
        <v>36</v>
      </c>
      <c r="I39" s="65" t="s">
        <v>108</v>
      </c>
      <c r="J39" s="4" t="str">
        <f t="shared" si="7"/>
        <v>/</v>
      </c>
      <c r="K39" s="3" t="str">
        <f t="shared" si="8"/>
        <v/>
      </c>
      <c r="L39" s="3"/>
      <c r="M39" s="3" t="str">
        <f t="shared" si="1"/>
        <v/>
      </c>
      <c r="N39" s="3" t="str">
        <f t="shared" si="2"/>
        <v/>
      </c>
      <c r="O39" s="15" t="str">
        <f t="shared" si="3"/>
        <v/>
      </c>
      <c r="P39" s="2" t="str">
        <f t="shared" si="9"/>
        <v/>
      </c>
      <c r="Q39" s="2" t="str">
        <f t="shared" si="4"/>
        <v/>
      </c>
      <c r="R39" s="3" t="str">
        <f t="shared" si="5"/>
        <v/>
      </c>
      <c r="S39" s="2" t="str">
        <f t="shared" si="10"/>
        <v/>
      </c>
      <c r="T39" s="15">
        <f t="shared" si="6"/>
        <v>0</v>
      </c>
      <c r="U39" s="10"/>
      <c r="V39" s="2" t="str">
        <f t="shared" si="23"/>
        <v>/</v>
      </c>
      <c r="W39" s="2"/>
      <c r="X39" s="236" cm="1">
        <f t="array" ref="X39">SUMPRODUCT((info!$H$4:$H$58=Feuil1!$E39)*(info!$K$4:$K$58&lt;=Feuil1!$W39)*(info!$L$4:$L$58&gt;=Feuil1!$W39),info!$M$4:$M$58)</f>
        <v>0</v>
      </c>
      <c r="Y39" s="236" cm="1">
        <f t="array" ref="Y39">SUMPRODUCT((info!$H$4:$H$58=Feuil1!$E39)*(info!$K$4:$K$58&lt;=Feuil1!$W39)*(info!$L$4:$L$58&gt;=Feuil1!$W39),info!$N$4:$N$58)</f>
        <v>0</v>
      </c>
      <c r="Z39" s="83">
        <f t="shared" si="12"/>
        <v>0</v>
      </c>
      <c r="AA39" s="83">
        <f t="shared" si="13"/>
        <v>0</v>
      </c>
      <c r="AB39" s="76" t="s">
        <v>36</v>
      </c>
      <c r="AC39" s="77" t="str">
        <f>IF(+VLOOKUP($E39,info!$H:$Z,7,FALSE),+VLOOKUP($E39,info!$H:$Z,7,FALSE),"")</f>
        <v/>
      </c>
      <c r="AD39" s="77" t="str">
        <f>IF(+VLOOKUP($E39,info!$H:$Z,8,FALSE),+VLOOKUP($E39,info!$H:$Z,8,FALSE),"")</f>
        <v/>
      </c>
      <c r="AE39" s="77" t="str">
        <f t="shared" si="14"/>
        <v/>
      </c>
      <c r="AF39" s="77" t="str">
        <f t="shared" si="15"/>
        <v/>
      </c>
      <c r="AG39" s="64" t="s">
        <v>36</v>
      </c>
      <c r="AH39" s="58" t="str">
        <f>IF(+VLOOKUP($E39,info!$H:$Z,10,FALSE),+VLOOKUP($E39,info!$H:$Z,10,FALSE),"")</f>
        <v/>
      </c>
      <c r="AI39" s="58" t="str">
        <f>IF(+VLOOKUP($E39,info!$H:$Z,11,FALSE),+VLOOKUP($E39,info!$H:$Z,11,FALSE),"")</f>
        <v/>
      </c>
      <c r="AJ39" s="58" t="str">
        <f t="shared" si="16"/>
        <v/>
      </c>
      <c r="AK39" s="58" t="str">
        <f t="shared" si="17"/>
        <v/>
      </c>
      <c r="AL39" s="81" t="s">
        <v>36</v>
      </c>
      <c r="AM39" s="82" t="str">
        <f>IF(+VLOOKUP($E39,info!$H:$Z,13,FALSE),+VLOOKUP($E39,info!$H:$Z,13,FALSE),"")</f>
        <v/>
      </c>
      <c r="AN39" s="82" t="str">
        <f>IF(+VLOOKUP($E39,info!$H:$Z,14,FALSE),+VLOOKUP($E39,info!$H:$Z,14,FALSE),"")</f>
        <v/>
      </c>
      <c r="AO39" s="82" t="str">
        <f t="shared" si="18"/>
        <v/>
      </c>
      <c r="AP39" s="82" t="str">
        <f t="shared" si="19"/>
        <v/>
      </c>
      <c r="AQ39" s="79" t="s">
        <v>36</v>
      </c>
      <c r="AR39" s="80" t="str">
        <f>IF(+VLOOKUP($E39,info!$H:$Z,16,FALSE),+VLOOKUP($E39,info!$H:$Z,16,FALSE),"")</f>
        <v/>
      </c>
      <c r="AS39" s="80" t="str">
        <f>IF(+VLOOKUP($E39,info!$H:$Z,17,FALSE),+VLOOKUP($E39,info!$H:$Z,17,FALSE),"")</f>
        <v/>
      </c>
      <c r="AT39" s="80" t="str">
        <f t="shared" si="20"/>
        <v/>
      </c>
      <c r="AU39" s="80" t="str">
        <f t="shared" si="21"/>
        <v/>
      </c>
      <c r="AV39" s="57"/>
      <c r="AW39" s="57"/>
      <c r="AX39" s="57"/>
      <c r="AY39" s="57"/>
      <c r="AZ39" s="57"/>
      <c r="BA39" s="57"/>
      <c r="BB39" s="57"/>
    </row>
    <row r="40" spans="1:54" x14ac:dyDescent="0.25">
      <c r="A40" s="15" t="s">
        <v>36</v>
      </c>
      <c r="B40" s="3" t="s">
        <v>153</v>
      </c>
      <c r="C40" s="56" t="str">
        <f>+VLOOKUP(E40,info!H:I,2,FALSE)</f>
        <v>-</v>
      </c>
      <c r="D40" s="16" t="str">
        <f t="shared" si="22"/>
        <v>00-00-00</v>
      </c>
      <c r="E40" s="65" t="s">
        <v>36</v>
      </c>
      <c r="F40" s="65" t="s">
        <v>36</v>
      </c>
      <c r="G40" s="65" t="s">
        <v>36</v>
      </c>
      <c r="H40" s="65" t="s">
        <v>36</v>
      </c>
      <c r="I40" s="65" t="s">
        <v>108</v>
      </c>
      <c r="J40" s="4" t="str">
        <f t="shared" si="7"/>
        <v>/</v>
      </c>
      <c r="K40" s="3" t="str">
        <f t="shared" si="8"/>
        <v/>
      </c>
      <c r="L40" s="3"/>
      <c r="M40" s="3" t="str">
        <f t="shared" si="1"/>
        <v/>
      </c>
      <c r="N40" s="3" t="str">
        <f t="shared" si="2"/>
        <v/>
      </c>
      <c r="O40" s="15" t="str">
        <f t="shared" si="3"/>
        <v/>
      </c>
      <c r="P40" s="2" t="str">
        <f t="shared" si="9"/>
        <v/>
      </c>
      <c r="Q40" s="2" t="str">
        <f t="shared" si="4"/>
        <v/>
      </c>
      <c r="R40" s="3" t="str">
        <f t="shared" si="5"/>
        <v/>
      </c>
      <c r="S40" s="2" t="str">
        <f t="shared" si="10"/>
        <v/>
      </c>
      <c r="T40" s="15">
        <f t="shared" si="6"/>
        <v>0</v>
      </c>
      <c r="U40" s="10"/>
      <c r="V40" s="2" t="str">
        <f t="shared" si="23"/>
        <v>/</v>
      </c>
      <c r="W40" s="2"/>
      <c r="X40" s="236" cm="1">
        <f t="array" ref="X40">SUMPRODUCT((info!$H$4:$H$58=Feuil1!$E40)*(info!$K$4:$K$58&lt;=Feuil1!$W40)*(info!$L$4:$L$58&gt;=Feuil1!$W40),info!$M$4:$M$58)</f>
        <v>0</v>
      </c>
      <c r="Y40" s="236" cm="1">
        <f t="array" ref="Y40">SUMPRODUCT((info!$H$4:$H$58=Feuil1!$E40)*(info!$K$4:$K$58&lt;=Feuil1!$W40)*(info!$L$4:$L$58&gt;=Feuil1!$W40),info!$N$4:$N$58)</f>
        <v>0</v>
      </c>
      <c r="Z40" s="83">
        <f t="shared" si="12"/>
        <v>0</v>
      </c>
      <c r="AA40" s="83">
        <f t="shared" si="13"/>
        <v>0</v>
      </c>
      <c r="AB40" s="76" t="s">
        <v>36</v>
      </c>
      <c r="AC40" s="77" t="str">
        <f>IF(+VLOOKUP($E40,info!$H:$Z,7,FALSE),+VLOOKUP($E40,info!$H:$Z,7,FALSE),"")</f>
        <v/>
      </c>
      <c r="AD40" s="77" t="str">
        <f>IF(+VLOOKUP($E40,info!$H:$Z,8,FALSE),+VLOOKUP($E40,info!$H:$Z,8,FALSE),"")</f>
        <v/>
      </c>
      <c r="AE40" s="77" t="str">
        <f t="shared" si="14"/>
        <v/>
      </c>
      <c r="AF40" s="77" t="str">
        <f t="shared" si="15"/>
        <v/>
      </c>
      <c r="AG40" s="64" t="s">
        <v>36</v>
      </c>
      <c r="AH40" s="58" t="str">
        <f>IF(+VLOOKUP($E40,info!$H:$Z,10,FALSE),+VLOOKUP($E40,info!$H:$Z,10,FALSE),"")</f>
        <v/>
      </c>
      <c r="AI40" s="58" t="str">
        <f>IF(+VLOOKUP($E40,info!$H:$Z,11,FALSE),+VLOOKUP($E40,info!$H:$Z,11,FALSE),"")</f>
        <v/>
      </c>
      <c r="AJ40" s="58" t="str">
        <f t="shared" si="16"/>
        <v/>
      </c>
      <c r="AK40" s="58" t="str">
        <f t="shared" si="17"/>
        <v/>
      </c>
      <c r="AL40" s="81" t="s">
        <v>36</v>
      </c>
      <c r="AM40" s="82" t="str">
        <f>IF(+VLOOKUP($E40,info!$H:$Z,13,FALSE),+VLOOKUP($E40,info!$H:$Z,13,FALSE),"")</f>
        <v/>
      </c>
      <c r="AN40" s="82" t="str">
        <f>IF(+VLOOKUP($E40,info!$H:$Z,14,FALSE),+VLOOKUP($E40,info!$H:$Z,14,FALSE),"")</f>
        <v/>
      </c>
      <c r="AO40" s="82" t="str">
        <f t="shared" si="18"/>
        <v/>
      </c>
      <c r="AP40" s="82" t="str">
        <f t="shared" si="19"/>
        <v/>
      </c>
      <c r="AQ40" s="79" t="s">
        <v>36</v>
      </c>
      <c r="AR40" s="80" t="str">
        <f>IF(+VLOOKUP($E40,info!$H:$Z,16,FALSE),+VLOOKUP($E40,info!$H:$Z,16,FALSE),"")</f>
        <v/>
      </c>
      <c r="AS40" s="80" t="str">
        <f>IF(+VLOOKUP($E40,info!$H:$Z,17,FALSE),+VLOOKUP($E40,info!$H:$Z,17,FALSE),"")</f>
        <v/>
      </c>
      <c r="AT40" s="80" t="str">
        <f t="shared" si="20"/>
        <v/>
      </c>
      <c r="AU40" s="80" t="str">
        <f t="shared" si="21"/>
        <v/>
      </c>
      <c r="AV40" s="57"/>
      <c r="AW40" s="57"/>
      <c r="AX40" s="57"/>
      <c r="AY40" s="57"/>
      <c r="AZ40" s="57"/>
      <c r="BA40" s="57"/>
      <c r="BB40" s="57"/>
    </row>
    <row r="41" spans="1:54" x14ac:dyDescent="0.25">
      <c r="A41" s="15" t="s">
        <v>36</v>
      </c>
      <c r="B41" s="3" t="s">
        <v>153</v>
      </c>
      <c r="C41" s="56" t="str">
        <f>+VLOOKUP(E41,info!H:I,2,FALSE)</f>
        <v>Armado</v>
      </c>
      <c r="D41" s="16" t="str">
        <f t="shared" si="22"/>
        <v>00-00-00</v>
      </c>
      <c r="E41" s="65" t="s">
        <v>46</v>
      </c>
      <c r="F41" s="65" t="s">
        <v>65</v>
      </c>
      <c r="G41" s="65" t="s">
        <v>66</v>
      </c>
      <c r="H41" s="65"/>
      <c r="I41" s="65"/>
      <c r="J41" s="4" t="str">
        <f t="shared" si="7"/>
        <v/>
      </c>
      <c r="K41" s="3" t="str">
        <f t="shared" si="8"/>
        <v/>
      </c>
      <c r="L41" s="3"/>
      <c r="M41" s="3" t="str">
        <f t="shared" si="1"/>
        <v/>
      </c>
      <c r="N41" s="3" t="str">
        <f t="shared" si="2"/>
        <v/>
      </c>
      <c r="O41" s="15" t="str">
        <f t="shared" si="3"/>
        <v/>
      </c>
      <c r="P41" s="2" t="str">
        <f t="shared" si="9"/>
        <v/>
      </c>
      <c r="Q41" s="2" t="str">
        <f t="shared" si="4"/>
        <v/>
      </c>
      <c r="R41" s="3" t="str">
        <f t="shared" si="5"/>
        <v/>
      </c>
      <c r="S41" s="2" t="str">
        <f t="shared" si="10"/>
        <v/>
      </c>
      <c r="T41" s="15">
        <f t="shared" si="6"/>
        <v>0</v>
      </c>
      <c r="U41" s="10"/>
      <c r="V41" s="2">
        <f t="shared" si="23"/>
        <v>35</v>
      </c>
      <c r="W41" s="2">
        <v>11.52</v>
      </c>
      <c r="X41" s="236" cm="1">
        <f t="array" ref="X41">SUMPRODUCT((info!$H$4:$H$58=Feuil1!$E41)*(info!$K$4:$K$58&lt;=Feuil1!$W41)*(info!$L$4:$L$58&gt;=Feuil1!$W41),info!$M$4:$M$58)</f>
        <v>0</v>
      </c>
      <c r="Y41" s="236" cm="1">
        <f t="array" ref="Y41">SUMPRODUCT((info!$H$4:$H$58=Feuil1!$E41)*(info!$K$4:$K$58&lt;=Feuil1!$W41)*(info!$L$4:$L$58&gt;=Feuil1!$W41),info!$N$4:$N$58)</f>
        <v>0</v>
      </c>
      <c r="Z41" s="83">
        <f t="shared" si="12"/>
        <v>0</v>
      </c>
      <c r="AA41" s="83">
        <f t="shared" si="13"/>
        <v>0</v>
      </c>
      <c r="AB41" s="76" t="s">
        <v>36</v>
      </c>
      <c r="AC41" s="77" t="str">
        <f>IF(+VLOOKUP($E41,info!$H:$Z,7,FALSE),+VLOOKUP($E41,info!$H:$Z,7,FALSE),"")</f>
        <v/>
      </c>
      <c r="AD41" s="77" t="str">
        <f>IF(+VLOOKUP($E41,info!$H:$Z,8,FALSE),+VLOOKUP($E41,info!$H:$Z,8,FALSE),"")</f>
        <v/>
      </c>
      <c r="AE41" s="77" t="str">
        <f t="shared" si="14"/>
        <v/>
      </c>
      <c r="AF41" s="77" t="str">
        <f t="shared" si="15"/>
        <v/>
      </c>
      <c r="AG41" s="64" t="s">
        <v>36</v>
      </c>
      <c r="AH41" s="58" t="str">
        <f>IF(+VLOOKUP($E41,info!$H:$Z,10,FALSE),+VLOOKUP($E41,info!$H:$Z,10,FALSE),"")</f>
        <v/>
      </c>
      <c r="AI41" s="58" t="str">
        <f>IF(+VLOOKUP($E41,info!$H:$Z,11,FALSE),+VLOOKUP($E41,info!$H:$Z,11,FALSE),"")</f>
        <v/>
      </c>
      <c r="AJ41" s="58" t="str">
        <f t="shared" si="16"/>
        <v/>
      </c>
      <c r="AK41" s="58" t="str">
        <f t="shared" si="17"/>
        <v/>
      </c>
      <c r="AL41" s="81" t="s">
        <v>36</v>
      </c>
      <c r="AM41" s="82" t="str">
        <f>IF(+VLOOKUP($E41,info!$H:$Z,13,FALSE),+VLOOKUP($E41,info!$H:$Z,13,FALSE),"")</f>
        <v/>
      </c>
      <c r="AN41" s="82" t="str">
        <f>IF(+VLOOKUP($E41,info!$H:$Z,14,FALSE),+VLOOKUP($E41,info!$H:$Z,14,FALSE),"")</f>
        <v/>
      </c>
      <c r="AO41" s="82" t="str">
        <f t="shared" si="18"/>
        <v/>
      </c>
      <c r="AP41" s="82" t="str">
        <f t="shared" si="19"/>
        <v/>
      </c>
      <c r="AQ41" s="79" t="s">
        <v>36</v>
      </c>
      <c r="AR41" s="80" t="str">
        <f>IF(+VLOOKUP($E41,info!$H:$Z,16,FALSE),+VLOOKUP($E41,info!$H:$Z,16,FALSE),"")</f>
        <v/>
      </c>
      <c r="AS41" s="80" t="str">
        <f>IF(+VLOOKUP($E41,info!$H:$Z,17,FALSE),+VLOOKUP($E41,info!$H:$Z,17,FALSE),"")</f>
        <v/>
      </c>
      <c r="AT41" s="80" t="str">
        <f t="shared" si="20"/>
        <v/>
      </c>
      <c r="AU41" s="80" t="str">
        <f t="shared" si="21"/>
        <v/>
      </c>
      <c r="AV41" s="57"/>
      <c r="AW41" s="57"/>
      <c r="AX41" s="57"/>
      <c r="AY41" s="57"/>
      <c r="AZ41" s="57"/>
      <c r="BA41" s="57"/>
      <c r="BB41" s="57"/>
    </row>
    <row r="42" spans="1:54" x14ac:dyDescent="0.25">
      <c r="A42" s="15" t="s">
        <v>107</v>
      </c>
      <c r="B42" s="3" t="s">
        <v>36</v>
      </c>
      <c r="C42" s="56" t="str">
        <f>+VLOOKUP(E42,info!H:I,2,FALSE)</f>
        <v>-</v>
      </c>
      <c r="D42" s="16" t="str">
        <f t="shared" si="22"/>
        <v>00-00-00</v>
      </c>
      <c r="E42" s="65" t="s">
        <v>36</v>
      </c>
      <c r="F42" s="17" t="s">
        <v>36</v>
      </c>
      <c r="G42" s="17" t="s">
        <v>36</v>
      </c>
      <c r="H42" s="17" t="s">
        <v>36</v>
      </c>
      <c r="I42" s="17" t="s">
        <v>36</v>
      </c>
      <c r="J42" s="4" t="str">
        <f t="shared" si="7"/>
        <v/>
      </c>
      <c r="K42" s="3" t="str">
        <f t="shared" si="8"/>
        <v/>
      </c>
      <c r="L42" s="3"/>
      <c r="M42" s="3" t="str">
        <f t="shared" si="1"/>
        <v/>
      </c>
      <c r="N42" s="3" t="str">
        <f t="shared" si="2"/>
        <v/>
      </c>
      <c r="O42" s="15" t="str">
        <f t="shared" si="3"/>
        <v/>
      </c>
      <c r="P42" s="2" t="str">
        <f t="shared" si="9"/>
        <v/>
      </c>
      <c r="Q42" s="2" t="str">
        <f t="shared" si="4"/>
        <v/>
      </c>
      <c r="R42" s="3" t="str">
        <f t="shared" si="5"/>
        <v/>
      </c>
      <c r="S42" s="2" t="str">
        <f t="shared" si="10"/>
        <v/>
      </c>
      <c r="T42" s="15">
        <f t="shared" si="6"/>
        <v>0</v>
      </c>
      <c r="U42" s="10"/>
      <c r="V42" s="2">
        <f t="shared" si="23"/>
        <v>35</v>
      </c>
      <c r="W42" s="2"/>
      <c r="X42" s="236" cm="1">
        <f t="array" ref="X42">SUMPRODUCT((info!$H$4:$H$58=Feuil1!$E42)*(info!$K$4:$K$58&lt;=Feuil1!$W42)*(info!$L$4:$L$58&gt;=Feuil1!$W42),info!$M$4:$M$58)</f>
        <v>0</v>
      </c>
      <c r="Y42" s="236" cm="1">
        <f t="array" ref="Y42">SUMPRODUCT((info!$H$4:$H$58=Feuil1!$E42)*(info!$K$4:$K$58&lt;=Feuil1!$W42)*(info!$L$4:$L$58&gt;=Feuil1!$W42),info!$N$4:$N$58)</f>
        <v>0</v>
      </c>
      <c r="Z42" s="83">
        <f t="shared" si="12"/>
        <v>0</v>
      </c>
      <c r="AA42" s="83">
        <f t="shared" si="13"/>
        <v>0</v>
      </c>
      <c r="AB42" s="76" t="s">
        <v>36</v>
      </c>
      <c r="AC42" s="77" t="str">
        <f>IF(+VLOOKUP($E42,info!$H:$Z,7,FALSE),+VLOOKUP($E42,info!$H:$Z,7,FALSE),"")</f>
        <v/>
      </c>
      <c r="AD42" s="77" t="str">
        <f>IF(+VLOOKUP($E42,info!$H:$Z,8,FALSE),+VLOOKUP($E42,info!$H:$Z,8,FALSE),"")</f>
        <v/>
      </c>
      <c r="AE42" s="77" t="str">
        <f t="shared" si="14"/>
        <v/>
      </c>
      <c r="AF42" s="77" t="str">
        <f t="shared" si="15"/>
        <v/>
      </c>
      <c r="AG42" s="64" t="s">
        <v>36</v>
      </c>
      <c r="AH42" s="58" t="str">
        <f>IF(+VLOOKUP($E42,info!$H:$Z,10,FALSE),+VLOOKUP($E42,info!$H:$Z,10,FALSE),"")</f>
        <v/>
      </c>
      <c r="AI42" s="58" t="str">
        <f>IF(+VLOOKUP($E42,info!$H:$Z,11,FALSE),+VLOOKUP($E42,info!$H:$Z,11,FALSE),"")</f>
        <v/>
      </c>
      <c r="AJ42" s="58" t="str">
        <f t="shared" si="16"/>
        <v/>
      </c>
      <c r="AK42" s="58" t="str">
        <f t="shared" si="17"/>
        <v/>
      </c>
      <c r="AL42" s="81" t="s">
        <v>36</v>
      </c>
      <c r="AM42" s="82" t="str">
        <f>IF(+VLOOKUP($E42,info!$H:$Z,13,FALSE),+VLOOKUP($E42,info!$H:$Z,13,FALSE),"")</f>
        <v/>
      </c>
      <c r="AN42" s="82" t="str">
        <f>IF(+VLOOKUP($E42,info!$H:$Z,14,FALSE),+VLOOKUP($E42,info!$H:$Z,14,FALSE),"")</f>
        <v/>
      </c>
      <c r="AO42" s="82" t="str">
        <f t="shared" si="18"/>
        <v/>
      </c>
      <c r="AP42" s="82" t="str">
        <f t="shared" si="19"/>
        <v/>
      </c>
      <c r="AQ42" s="79" t="s">
        <v>36</v>
      </c>
      <c r="AR42" s="80" t="str">
        <f>IF(+VLOOKUP($E42,info!$H:$Z,16,FALSE),+VLOOKUP($E42,info!$H:$Z,16,FALSE),"")</f>
        <v/>
      </c>
      <c r="AS42" s="80" t="str">
        <f>IF(+VLOOKUP($E42,info!$H:$Z,17,FALSE),+VLOOKUP($E42,info!$H:$Z,17,FALSE),"")</f>
        <v/>
      </c>
      <c r="AT42" s="80" t="str">
        <f t="shared" si="20"/>
        <v/>
      </c>
      <c r="AU42" s="80" t="str">
        <f t="shared" si="21"/>
        <v/>
      </c>
      <c r="AV42" s="57"/>
      <c r="AW42" s="57"/>
      <c r="AX42" s="57"/>
      <c r="AY42" s="57"/>
      <c r="AZ42" s="57"/>
      <c r="BA42" s="57"/>
      <c r="BB42" s="57"/>
    </row>
    <row r="43" spans="1:54" x14ac:dyDescent="0.25">
      <c r="A43" s="15" t="s">
        <v>36</v>
      </c>
      <c r="B43" s="3" t="s">
        <v>151</v>
      </c>
      <c r="C43" s="56" t="str">
        <f>+VLOOKUP(E43,info!H:I,2,FALSE)</f>
        <v>Armado</v>
      </c>
      <c r="D43" s="16" t="str">
        <f t="shared" si="22"/>
        <v>00-00-00</v>
      </c>
      <c r="E43" s="69" t="s">
        <v>55</v>
      </c>
      <c r="F43" s="17" t="s">
        <v>158</v>
      </c>
      <c r="G43" s="17" t="s">
        <v>72</v>
      </c>
      <c r="H43" s="17"/>
      <c r="I43" s="17"/>
      <c r="J43" s="4" t="str">
        <f t="shared" si="7"/>
        <v/>
      </c>
      <c r="K43" s="3" t="str">
        <f t="shared" si="8"/>
        <v/>
      </c>
      <c r="L43" s="3"/>
      <c r="M43" s="3" t="str">
        <f t="shared" si="1"/>
        <v/>
      </c>
      <c r="N43" s="3" t="str">
        <f t="shared" si="2"/>
        <v/>
      </c>
      <c r="O43" s="15" t="str">
        <f t="shared" si="3"/>
        <v/>
      </c>
      <c r="P43" s="2" t="str">
        <f t="shared" si="9"/>
        <v/>
      </c>
      <c r="Q43" s="2" t="str">
        <f t="shared" si="4"/>
        <v/>
      </c>
      <c r="R43" s="3" t="str">
        <f t="shared" si="5"/>
        <v/>
      </c>
      <c r="S43" s="2" t="str">
        <f t="shared" si="10"/>
        <v/>
      </c>
      <c r="T43" s="15">
        <f t="shared" si="6"/>
        <v>0</v>
      </c>
      <c r="U43" s="10"/>
      <c r="V43" s="2">
        <f t="shared" si="23"/>
        <v>35</v>
      </c>
      <c r="W43" s="84"/>
      <c r="X43" s="236" cm="1">
        <f t="array" ref="X43">SUMPRODUCT((info!$H$4:$H$58=Feuil1!$E43)*(info!$K$4:$K$58&lt;=Feuil1!$W43)*(info!$L$4:$L$58&gt;=Feuil1!$W43),info!$M$4:$M$58)</f>
        <v>3.6100000000000003</v>
      </c>
      <c r="Y43" s="236" cm="1">
        <f t="array" ref="Y43">SUMPRODUCT((info!$H$4:$H$58=Feuil1!$E43)*(info!$K$4:$K$58&lt;=Feuil1!$W43)*(info!$L$4:$L$58&gt;=Feuil1!$W43),info!$N$4:$N$58)</f>
        <v>0</v>
      </c>
      <c r="Z43" s="83">
        <f t="shared" si="12"/>
        <v>0</v>
      </c>
      <c r="AA43" s="83">
        <f t="shared" si="13"/>
        <v>0</v>
      </c>
      <c r="AB43" s="76" t="s">
        <v>36</v>
      </c>
      <c r="AC43" s="77" t="str">
        <f>IF(+VLOOKUP($E43,info!$H:$Z,7,FALSE),+VLOOKUP($E43,info!$H:$Z,7,FALSE),"")</f>
        <v/>
      </c>
      <c r="AD43" s="77" t="str">
        <f>IF(+VLOOKUP($E43,info!$H:$Z,8,FALSE),+VLOOKUP($E43,info!$H:$Z,8,FALSE),"")</f>
        <v/>
      </c>
      <c r="AE43" s="77" t="str">
        <f t="shared" si="14"/>
        <v/>
      </c>
      <c r="AF43" s="77" t="str">
        <f t="shared" si="15"/>
        <v/>
      </c>
      <c r="AG43" s="64" t="s">
        <v>36</v>
      </c>
      <c r="AH43" s="58" t="str">
        <f>IF(+VLOOKUP($E43,info!$H:$Z,10,FALSE),+VLOOKUP($E43,info!$H:$Z,10,FALSE),"")</f>
        <v/>
      </c>
      <c r="AI43" s="58" t="str">
        <f>IF(+VLOOKUP($E43,info!$H:$Z,11,FALSE),+VLOOKUP($E43,info!$H:$Z,11,FALSE),"")</f>
        <v/>
      </c>
      <c r="AJ43" s="58" t="str">
        <f t="shared" si="16"/>
        <v/>
      </c>
      <c r="AK43" s="58" t="str">
        <f t="shared" si="17"/>
        <v/>
      </c>
      <c r="AL43" s="81" t="s">
        <v>36</v>
      </c>
      <c r="AM43" s="82" t="str">
        <f>IF(+VLOOKUP($E43,info!$H:$Z,13,FALSE),+VLOOKUP($E43,info!$H:$Z,13,FALSE),"")</f>
        <v/>
      </c>
      <c r="AN43" s="82" t="str">
        <f>IF(+VLOOKUP($E43,info!$H:$Z,14,FALSE),+VLOOKUP($E43,info!$H:$Z,14,FALSE),"")</f>
        <v/>
      </c>
      <c r="AO43" s="82" t="str">
        <f t="shared" si="18"/>
        <v/>
      </c>
      <c r="AP43" s="82" t="str">
        <f t="shared" si="19"/>
        <v/>
      </c>
      <c r="AQ43" s="79" t="s">
        <v>36</v>
      </c>
      <c r="AR43" s="80" t="str">
        <f>IF(+VLOOKUP($E43,info!$H:$Z,16,FALSE),+VLOOKUP($E43,info!$H:$Z,16,FALSE),"")</f>
        <v/>
      </c>
      <c r="AS43" s="80" t="str">
        <f>IF(+VLOOKUP($E43,info!$H:$Z,17,FALSE),+VLOOKUP($E43,info!$H:$Z,17,FALSE),"")</f>
        <v/>
      </c>
      <c r="AT43" s="80" t="str">
        <f t="shared" si="20"/>
        <v/>
      </c>
      <c r="AU43" s="80" t="str">
        <f t="shared" si="21"/>
        <v/>
      </c>
      <c r="AV43" s="57"/>
      <c r="AW43" s="57"/>
      <c r="AX43" s="57"/>
      <c r="AY43" s="57"/>
      <c r="AZ43" s="57"/>
      <c r="BA43" s="57"/>
      <c r="BB43" s="57"/>
    </row>
    <row r="44" spans="1:54" x14ac:dyDescent="0.25">
      <c r="A44" s="15" t="s">
        <v>36</v>
      </c>
      <c r="B44" s="3" t="s">
        <v>151</v>
      </c>
      <c r="C44" s="56" t="str">
        <f>+VLOOKUP(E44,info!H:I,2,FALSE)</f>
        <v>Armado</v>
      </c>
      <c r="D44" s="16" t="str">
        <f t="shared" si="22"/>
        <v>00-00-00</v>
      </c>
      <c r="E44" s="18" t="s">
        <v>46</v>
      </c>
      <c r="F44" s="17" t="s">
        <v>158</v>
      </c>
      <c r="G44" s="17" t="s">
        <v>56</v>
      </c>
      <c r="H44" s="66"/>
      <c r="I44" s="66"/>
      <c r="J44" s="4" t="str">
        <f t="shared" si="7"/>
        <v/>
      </c>
      <c r="K44" s="3" t="str">
        <f t="shared" si="8"/>
        <v/>
      </c>
      <c r="L44" s="3"/>
      <c r="M44" s="3" t="str">
        <f t="shared" si="1"/>
        <v/>
      </c>
      <c r="N44" s="3" t="str">
        <f t="shared" si="2"/>
        <v/>
      </c>
      <c r="O44" s="15" t="str">
        <f t="shared" si="3"/>
        <v/>
      </c>
      <c r="P44" s="2" t="str">
        <f t="shared" si="9"/>
        <v/>
      </c>
      <c r="Q44" s="2" t="str">
        <f t="shared" si="4"/>
        <v/>
      </c>
      <c r="R44" s="3" t="str">
        <f t="shared" si="5"/>
        <v/>
      </c>
      <c r="S44" s="2" t="str">
        <f t="shared" si="10"/>
        <v/>
      </c>
      <c r="T44" s="15">
        <f t="shared" si="6"/>
        <v>0</v>
      </c>
      <c r="U44" s="10"/>
      <c r="V44" s="2">
        <f t="shared" si="23"/>
        <v>35</v>
      </c>
      <c r="W44" s="2">
        <v>12</v>
      </c>
      <c r="X44" s="236" cm="1">
        <f t="array" ref="X44">SUMPRODUCT((info!$H$4:$H$58=Feuil1!$E44)*(info!$K$4:$K$58&lt;=Feuil1!$W44)*(info!$L$4:$L$58&gt;=Feuil1!$W44),info!$M$4:$M$58)</f>
        <v>0</v>
      </c>
      <c r="Y44" s="236" cm="1">
        <f t="array" ref="Y44">SUMPRODUCT((info!$H$4:$H$58=Feuil1!$E44)*(info!$K$4:$K$58&lt;=Feuil1!$W44)*(info!$L$4:$L$58&gt;=Feuil1!$W44),info!$N$4:$N$58)</f>
        <v>0</v>
      </c>
      <c r="Z44" s="83">
        <f t="shared" si="12"/>
        <v>0</v>
      </c>
      <c r="AA44" s="83">
        <f t="shared" si="13"/>
        <v>0</v>
      </c>
      <c r="AB44" s="76" t="s">
        <v>36</v>
      </c>
      <c r="AC44" s="77" t="str">
        <f>IF(+VLOOKUP($E44,info!$H:$Z,7,FALSE),+VLOOKUP($E44,info!$H:$Z,7,FALSE),"")</f>
        <v/>
      </c>
      <c r="AD44" s="77" t="str">
        <f>IF(+VLOOKUP($E44,info!$H:$Z,8,FALSE),+VLOOKUP($E44,info!$H:$Z,8,FALSE),"")</f>
        <v/>
      </c>
      <c r="AE44" s="77" t="str">
        <f t="shared" si="14"/>
        <v/>
      </c>
      <c r="AF44" s="77" t="str">
        <f t="shared" si="15"/>
        <v/>
      </c>
      <c r="AG44" s="64" t="s">
        <v>36</v>
      </c>
      <c r="AH44" s="58" t="str">
        <f>IF(+VLOOKUP($E44,info!$H:$Z,10,FALSE),+VLOOKUP($E44,info!$H:$Z,10,FALSE),"")</f>
        <v/>
      </c>
      <c r="AI44" s="58" t="str">
        <f>IF(+VLOOKUP($E44,info!$H:$Z,11,FALSE),+VLOOKUP($E44,info!$H:$Z,11,FALSE),"")</f>
        <v/>
      </c>
      <c r="AJ44" s="58" t="str">
        <f t="shared" si="16"/>
        <v/>
      </c>
      <c r="AK44" s="58" t="str">
        <f t="shared" si="17"/>
        <v/>
      </c>
      <c r="AL44" s="81" t="s">
        <v>36</v>
      </c>
      <c r="AM44" s="82" t="str">
        <f>IF(+VLOOKUP($E44,info!$H:$Z,13,FALSE),+VLOOKUP($E44,info!$H:$Z,13,FALSE),"")</f>
        <v/>
      </c>
      <c r="AN44" s="82" t="str">
        <f>IF(+VLOOKUP($E44,info!$H:$Z,14,FALSE),+VLOOKUP($E44,info!$H:$Z,14,FALSE),"")</f>
        <v/>
      </c>
      <c r="AO44" s="82" t="str">
        <f t="shared" si="18"/>
        <v/>
      </c>
      <c r="AP44" s="82" t="str">
        <f t="shared" si="19"/>
        <v/>
      </c>
      <c r="AQ44" s="79" t="s">
        <v>36</v>
      </c>
      <c r="AR44" s="80" t="str">
        <f>IF(+VLOOKUP($E44,info!$H:$Z,16,FALSE),+VLOOKUP($E44,info!$H:$Z,16,FALSE),"")</f>
        <v/>
      </c>
      <c r="AS44" s="80" t="str">
        <f>IF(+VLOOKUP($E44,info!$H:$Z,17,FALSE),+VLOOKUP($E44,info!$H:$Z,17,FALSE),"")</f>
        <v/>
      </c>
      <c r="AT44" s="80" t="str">
        <f t="shared" si="20"/>
        <v/>
      </c>
      <c r="AU44" s="80" t="str">
        <f t="shared" si="21"/>
        <v/>
      </c>
      <c r="AV44" s="57"/>
      <c r="AW44" s="57"/>
      <c r="AX44" s="57"/>
      <c r="AY44" s="57"/>
      <c r="AZ44" s="57"/>
      <c r="BA44" s="57"/>
      <c r="BB44" s="57"/>
    </row>
    <row r="45" spans="1:54" x14ac:dyDescent="0.25">
      <c r="A45" s="15" t="s">
        <v>36</v>
      </c>
      <c r="B45" s="3" t="s">
        <v>151</v>
      </c>
      <c r="C45" s="56" t="str">
        <f>+VLOOKUP(E45,info!H:I,2,FALSE)</f>
        <v>Armado</v>
      </c>
      <c r="D45" s="16" t="str">
        <f t="shared" si="22"/>
        <v>00-00-00</v>
      </c>
      <c r="E45" s="69" t="s">
        <v>46</v>
      </c>
      <c r="F45" s="17" t="s">
        <v>158</v>
      </c>
      <c r="G45" s="17" t="s">
        <v>56</v>
      </c>
      <c r="H45" s="17"/>
      <c r="I45" s="17"/>
      <c r="J45" s="4" t="str">
        <f t="shared" si="7"/>
        <v/>
      </c>
      <c r="K45" s="3" t="str">
        <f t="shared" si="8"/>
        <v/>
      </c>
      <c r="L45" s="3"/>
      <c r="M45" s="3" t="str">
        <f t="shared" si="1"/>
        <v/>
      </c>
      <c r="N45" s="3" t="str">
        <f t="shared" si="2"/>
        <v/>
      </c>
      <c r="O45" s="15" t="str">
        <f t="shared" si="3"/>
        <v/>
      </c>
      <c r="P45" s="2" t="str">
        <f t="shared" si="9"/>
        <v/>
      </c>
      <c r="Q45" s="2" t="str">
        <f t="shared" si="4"/>
        <v/>
      </c>
      <c r="R45" s="3" t="str">
        <f t="shared" si="5"/>
        <v/>
      </c>
      <c r="S45" s="2" t="str">
        <f t="shared" si="10"/>
        <v/>
      </c>
      <c r="T45" s="15">
        <f t="shared" si="6"/>
        <v>0</v>
      </c>
      <c r="U45" s="10"/>
      <c r="V45" s="2">
        <f t="shared" si="23"/>
        <v>35</v>
      </c>
      <c r="W45" s="2">
        <v>12</v>
      </c>
      <c r="X45" s="236" cm="1">
        <f t="array" ref="X45">SUMPRODUCT((info!$H$4:$H$58=Feuil1!$E45)*(info!$K$4:$K$58&lt;=Feuil1!$W45)*(info!$L$4:$L$58&gt;=Feuil1!$W45),info!$M$4:$M$58)</f>
        <v>0</v>
      </c>
      <c r="Y45" s="236" cm="1">
        <f t="array" ref="Y45">SUMPRODUCT((info!$H$4:$H$58=Feuil1!$E45)*(info!$K$4:$K$58&lt;=Feuil1!$W45)*(info!$L$4:$L$58&gt;=Feuil1!$W45),info!$N$4:$N$58)</f>
        <v>0</v>
      </c>
      <c r="Z45" s="83">
        <f t="shared" si="12"/>
        <v>0</v>
      </c>
      <c r="AA45" s="83">
        <f t="shared" si="13"/>
        <v>0</v>
      </c>
      <c r="AB45" s="76" t="s">
        <v>36</v>
      </c>
      <c r="AC45" s="77" t="str">
        <f>IF(+VLOOKUP($E45,info!$H:$Z,7,FALSE),+VLOOKUP($E45,info!$H:$Z,7,FALSE),"")</f>
        <v/>
      </c>
      <c r="AD45" s="77" t="str">
        <f>IF(+VLOOKUP($E45,info!$H:$Z,8,FALSE),+VLOOKUP($E45,info!$H:$Z,8,FALSE),"")</f>
        <v/>
      </c>
      <c r="AE45" s="77" t="str">
        <f t="shared" si="14"/>
        <v/>
      </c>
      <c r="AF45" s="77" t="str">
        <f t="shared" si="15"/>
        <v/>
      </c>
      <c r="AG45" s="64" t="s">
        <v>36</v>
      </c>
      <c r="AH45" s="58" t="str">
        <f>IF(+VLOOKUP($E45,info!$H:$Z,10,FALSE),+VLOOKUP($E45,info!$H:$Z,10,FALSE),"")</f>
        <v/>
      </c>
      <c r="AI45" s="58" t="str">
        <f>IF(+VLOOKUP($E45,info!$H:$Z,11,FALSE),+VLOOKUP($E45,info!$H:$Z,11,FALSE),"")</f>
        <v/>
      </c>
      <c r="AJ45" s="58" t="str">
        <f t="shared" si="16"/>
        <v/>
      </c>
      <c r="AK45" s="58" t="str">
        <f t="shared" si="17"/>
        <v/>
      </c>
      <c r="AL45" s="81" t="s">
        <v>36</v>
      </c>
      <c r="AM45" s="82" t="str">
        <f>IF(+VLOOKUP($E45,info!$H:$Z,13,FALSE),+VLOOKUP($E45,info!$H:$Z,13,FALSE),"")</f>
        <v/>
      </c>
      <c r="AN45" s="82" t="str">
        <f>IF(+VLOOKUP($E45,info!$H:$Z,14,FALSE),+VLOOKUP($E45,info!$H:$Z,14,FALSE),"")</f>
        <v/>
      </c>
      <c r="AO45" s="82" t="str">
        <f t="shared" si="18"/>
        <v/>
      </c>
      <c r="AP45" s="82" t="str">
        <f t="shared" si="19"/>
        <v/>
      </c>
      <c r="AQ45" s="79" t="s">
        <v>36</v>
      </c>
      <c r="AR45" s="80" t="str">
        <f>IF(+VLOOKUP($E45,info!$H:$Z,16,FALSE),+VLOOKUP($E45,info!$H:$Z,16,FALSE),"")</f>
        <v/>
      </c>
      <c r="AS45" s="80" t="str">
        <f>IF(+VLOOKUP($E45,info!$H:$Z,17,FALSE),+VLOOKUP($E45,info!$H:$Z,17,FALSE),"")</f>
        <v/>
      </c>
      <c r="AT45" s="80" t="str">
        <f t="shared" si="20"/>
        <v/>
      </c>
      <c r="AU45" s="80" t="str">
        <f t="shared" si="21"/>
        <v/>
      </c>
      <c r="AV45" s="57"/>
      <c r="AW45" s="57"/>
      <c r="AX45" s="57"/>
      <c r="AY45" s="57"/>
      <c r="AZ45" s="57"/>
      <c r="BA45" s="57"/>
      <c r="BB45" s="57"/>
    </row>
    <row r="46" spans="1:54" x14ac:dyDescent="0.25">
      <c r="A46" s="15" t="s">
        <v>36</v>
      </c>
      <c r="B46" s="3" t="s">
        <v>151</v>
      </c>
      <c r="C46" s="56" t="str">
        <f>+VLOOKUP(E46,info!H:I,2,FALSE)</f>
        <v>Armado</v>
      </c>
      <c r="D46" s="16" t="str">
        <f t="shared" si="22"/>
        <v>00-00-00</v>
      </c>
      <c r="E46" s="69" t="s">
        <v>73</v>
      </c>
      <c r="F46" s="17" t="s">
        <v>158</v>
      </c>
      <c r="G46" s="17" t="s">
        <v>56</v>
      </c>
      <c r="H46" s="17"/>
      <c r="I46" s="17"/>
      <c r="J46" s="4" t="str">
        <f t="shared" si="7"/>
        <v/>
      </c>
      <c r="K46" s="3" t="str">
        <f t="shared" si="8"/>
        <v/>
      </c>
      <c r="L46" s="3"/>
      <c r="M46" s="3" t="str">
        <f t="shared" si="1"/>
        <v/>
      </c>
      <c r="N46" s="3" t="str">
        <f t="shared" si="2"/>
        <v/>
      </c>
      <c r="O46" s="15" t="str">
        <f t="shared" si="3"/>
        <v/>
      </c>
      <c r="P46" s="2" t="str">
        <f t="shared" si="9"/>
        <v/>
      </c>
      <c r="Q46" s="2" t="str">
        <f t="shared" si="4"/>
        <v/>
      </c>
      <c r="R46" s="3" t="str">
        <f t="shared" si="5"/>
        <v/>
      </c>
      <c r="S46" s="2" t="str">
        <f t="shared" si="10"/>
        <v/>
      </c>
      <c r="T46" s="15">
        <f t="shared" si="6"/>
        <v>0</v>
      </c>
      <c r="U46" s="10"/>
      <c r="V46" s="2">
        <f t="shared" si="23"/>
        <v>35</v>
      </c>
      <c r="W46" s="2">
        <v>12</v>
      </c>
      <c r="X46" s="236" cm="1">
        <f t="array" ref="X46">SUMPRODUCT((info!$H$4:$H$58=Feuil1!$E46)*(info!$K$4:$K$58&lt;=Feuil1!$W46)*(info!$L$4:$L$58&gt;=Feuil1!$W46),info!$M$4:$M$58)</f>
        <v>1.83</v>
      </c>
      <c r="Y46" s="236" cm="1">
        <f t="array" ref="Y46">SUMPRODUCT((info!$H$4:$H$58=Feuil1!$E46)*(info!$K$4:$K$58&lt;=Feuil1!$W46)*(info!$L$4:$L$58&gt;=Feuil1!$W46),info!$N$4:$N$58)</f>
        <v>0</v>
      </c>
      <c r="Z46" s="83">
        <f t="shared" si="12"/>
        <v>21.96</v>
      </c>
      <c r="AA46" s="83">
        <f t="shared" si="13"/>
        <v>0</v>
      </c>
      <c r="AB46" s="76" t="s">
        <v>36</v>
      </c>
      <c r="AC46" s="77" t="str">
        <f>IF(+VLOOKUP($E46,info!$H:$Z,7,FALSE),+VLOOKUP($E46,info!$H:$Z,7,FALSE),"")</f>
        <v/>
      </c>
      <c r="AD46" s="77" t="str">
        <f>IF(+VLOOKUP($E46,info!$H:$Z,8,FALSE),+VLOOKUP($E46,info!$H:$Z,8,FALSE),"")</f>
        <v/>
      </c>
      <c r="AE46" s="77" t="str">
        <f t="shared" si="14"/>
        <v/>
      </c>
      <c r="AF46" s="77" t="str">
        <f t="shared" si="15"/>
        <v/>
      </c>
      <c r="AG46" s="64" t="s">
        <v>36</v>
      </c>
      <c r="AH46" s="58" t="str">
        <f>IF(+VLOOKUP($E46,info!$H:$Z,10,FALSE),+VLOOKUP($E46,info!$H:$Z,10,FALSE),"")</f>
        <v/>
      </c>
      <c r="AI46" s="58" t="str">
        <f>IF(+VLOOKUP($E46,info!$H:$Z,11,FALSE),+VLOOKUP($E46,info!$H:$Z,11,FALSE),"")</f>
        <v/>
      </c>
      <c r="AJ46" s="58" t="str">
        <f t="shared" si="16"/>
        <v/>
      </c>
      <c r="AK46" s="58" t="str">
        <f t="shared" si="17"/>
        <v/>
      </c>
      <c r="AL46" s="81" t="s">
        <v>36</v>
      </c>
      <c r="AM46" s="82" t="str">
        <f>IF(+VLOOKUP($E46,info!$H:$Z,13,FALSE),+VLOOKUP($E46,info!$H:$Z,13,FALSE),"")</f>
        <v/>
      </c>
      <c r="AN46" s="82" t="str">
        <f>IF(+VLOOKUP($E46,info!$H:$Z,14,FALSE),+VLOOKUP($E46,info!$H:$Z,14,FALSE),"")</f>
        <v/>
      </c>
      <c r="AO46" s="82" t="str">
        <f t="shared" si="18"/>
        <v/>
      </c>
      <c r="AP46" s="82" t="str">
        <f t="shared" si="19"/>
        <v/>
      </c>
      <c r="AQ46" s="79" t="s">
        <v>36</v>
      </c>
      <c r="AR46" s="80" t="str">
        <f>IF(+VLOOKUP($E46,info!$H:$Z,16,FALSE),+VLOOKUP($E46,info!$H:$Z,16,FALSE),"")</f>
        <v/>
      </c>
      <c r="AS46" s="80" t="str">
        <f>IF(+VLOOKUP($E46,info!$H:$Z,17,FALSE),+VLOOKUP($E46,info!$H:$Z,17,FALSE),"")</f>
        <v/>
      </c>
      <c r="AT46" s="80" t="str">
        <f t="shared" si="20"/>
        <v/>
      </c>
      <c r="AU46" s="80" t="str">
        <f t="shared" si="21"/>
        <v/>
      </c>
      <c r="AV46" s="57"/>
      <c r="AW46" s="57"/>
      <c r="AX46" s="57"/>
      <c r="AY46" s="57"/>
      <c r="AZ46" s="57"/>
      <c r="BA46" s="57"/>
      <c r="BB46" s="57"/>
    </row>
    <row r="47" spans="1:54" x14ac:dyDescent="0.25">
      <c r="A47" s="15" t="s">
        <v>36</v>
      </c>
      <c r="B47" s="3" t="s">
        <v>151</v>
      </c>
      <c r="C47" s="56" t="str">
        <f>+VLOOKUP(E47,info!H:I,2,FALSE)</f>
        <v>Rh en ligne</v>
      </c>
      <c r="D47" s="16" t="str">
        <f t="shared" si="22"/>
        <v>00-00-00</v>
      </c>
      <c r="E47" s="65" t="s">
        <v>109</v>
      </c>
      <c r="F47" s="17" t="s">
        <v>158</v>
      </c>
      <c r="G47" s="17" t="s">
        <v>56</v>
      </c>
      <c r="H47" s="17"/>
      <c r="I47" s="66"/>
      <c r="J47" s="4" t="str">
        <f t="shared" si="7"/>
        <v/>
      </c>
      <c r="K47" s="3" t="str">
        <f t="shared" si="8"/>
        <v/>
      </c>
      <c r="L47" s="3"/>
      <c r="M47" s="3" t="str">
        <f t="shared" si="1"/>
        <v/>
      </c>
      <c r="N47" s="3" t="str">
        <f t="shared" si="2"/>
        <v/>
      </c>
      <c r="O47" s="15" t="str">
        <f t="shared" si="3"/>
        <v/>
      </c>
      <c r="P47" s="2" t="str">
        <f t="shared" si="9"/>
        <v/>
      </c>
      <c r="Q47" s="2" t="str">
        <f t="shared" si="4"/>
        <v/>
      </c>
      <c r="R47" s="3" t="str">
        <f t="shared" si="5"/>
        <v/>
      </c>
      <c r="S47" s="2" t="str">
        <f t="shared" si="10"/>
        <v/>
      </c>
      <c r="T47" s="15">
        <f t="shared" si="6"/>
        <v>0</v>
      </c>
      <c r="U47" s="10"/>
      <c r="V47" s="2">
        <f t="shared" si="23"/>
        <v>35</v>
      </c>
      <c r="W47" s="2">
        <v>11.7</v>
      </c>
      <c r="X47" s="236" cm="1">
        <f t="array" ref="X47">SUMPRODUCT((info!$H$4:$H$58=Feuil1!$E47)*(info!$K$4:$K$58&lt;=Feuil1!$W47)*(info!$L$4:$L$58&gt;=Feuil1!$W47),info!$M$4:$M$58)</f>
        <v>1.82</v>
      </c>
      <c r="Y47" s="236" cm="1">
        <f t="array" ref="Y47">SUMPRODUCT((info!$H$4:$H$58=Feuil1!$E47)*(info!$K$4:$K$58&lt;=Feuil1!$W47)*(info!$L$4:$L$58&gt;=Feuil1!$W47),info!$N$4:$N$58)</f>
        <v>1.79</v>
      </c>
      <c r="Z47" s="83">
        <f t="shared" si="12"/>
        <v>21.294</v>
      </c>
      <c r="AA47" s="83">
        <f t="shared" si="13"/>
        <v>20.942999999999998</v>
      </c>
      <c r="AB47" s="76" t="s">
        <v>36</v>
      </c>
      <c r="AC47" s="77">
        <f>IF(+VLOOKUP($E47,info!$H:$Z,7,FALSE),+VLOOKUP($E47,info!$H:$Z,7,FALSE),"")</f>
        <v>1.79</v>
      </c>
      <c r="AD47" s="77" t="str">
        <f>IF(+VLOOKUP($E47,info!$H:$Z,8,FALSE),+VLOOKUP($E47,info!$H:$Z,8,FALSE),"")</f>
        <v/>
      </c>
      <c r="AE47" s="77">
        <f t="shared" si="14"/>
        <v>5.2357499999999995</v>
      </c>
      <c r="AF47" s="77" t="str">
        <f t="shared" si="15"/>
        <v/>
      </c>
      <c r="AG47" s="64" t="s">
        <v>36</v>
      </c>
      <c r="AH47" s="58">
        <f>IF(+VLOOKUP($E47,info!$H:$Z,10,FALSE),+VLOOKUP($E47,info!$H:$Z,10,FALSE),"")</f>
        <v>1.79</v>
      </c>
      <c r="AI47" s="58" t="str">
        <f>IF(+VLOOKUP($E47,info!$H:$Z,11,FALSE),+VLOOKUP($E47,info!$H:$Z,11,FALSE),"")</f>
        <v/>
      </c>
      <c r="AJ47" s="58">
        <f t="shared" si="16"/>
        <v>10.471499999999999</v>
      </c>
      <c r="AK47" s="58" t="str">
        <f t="shared" si="17"/>
        <v/>
      </c>
      <c r="AL47" s="81" t="s">
        <v>36</v>
      </c>
      <c r="AM47" s="82" t="str">
        <f>IF(+VLOOKUP($E47,info!$H:$Z,13,FALSE),+VLOOKUP($E47,info!$H:$Z,13,FALSE),"")</f>
        <v/>
      </c>
      <c r="AN47" s="82" t="str">
        <f>IF(+VLOOKUP($E47,info!$H:$Z,14,FALSE),+VLOOKUP($E47,info!$H:$Z,14,FALSE),"")</f>
        <v/>
      </c>
      <c r="AO47" s="82" t="str">
        <f t="shared" si="18"/>
        <v/>
      </c>
      <c r="AP47" s="82" t="str">
        <f t="shared" si="19"/>
        <v/>
      </c>
      <c r="AQ47" s="79" t="s">
        <v>36</v>
      </c>
      <c r="AR47" s="80" t="str">
        <f>IF(+VLOOKUP($E47,info!$H:$Z,16,FALSE),+VLOOKUP($E47,info!$H:$Z,16,FALSE),"")</f>
        <v/>
      </c>
      <c r="AS47" s="80" t="str">
        <f>IF(+VLOOKUP($E47,info!$H:$Z,17,FALSE),+VLOOKUP($E47,info!$H:$Z,17,FALSE),"")</f>
        <v/>
      </c>
      <c r="AT47" s="80" t="str">
        <f t="shared" si="20"/>
        <v/>
      </c>
      <c r="AU47" s="80" t="str">
        <f t="shared" si="21"/>
        <v/>
      </c>
      <c r="AV47" s="57"/>
      <c r="AW47" s="57"/>
      <c r="AX47" s="57"/>
      <c r="AY47" s="57"/>
      <c r="AZ47" s="57"/>
      <c r="BA47" s="57"/>
      <c r="BB47" s="57"/>
    </row>
    <row r="48" spans="1:54" x14ac:dyDescent="0.25">
      <c r="A48" s="15" t="s">
        <v>36</v>
      </c>
      <c r="B48" s="3" t="s">
        <v>151</v>
      </c>
      <c r="C48" s="56" t="str">
        <f>+VLOOKUP(E48,info!H:I,2,FALSE)</f>
        <v>PIXID</v>
      </c>
      <c r="D48" s="16" t="str">
        <f t="shared" si="22"/>
        <v>00-00-00</v>
      </c>
      <c r="E48" s="18" t="s">
        <v>135</v>
      </c>
      <c r="F48" s="17" t="s">
        <v>158</v>
      </c>
      <c r="G48" s="17" t="s">
        <v>56</v>
      </c>
      <c r="H48" s="66"/>
      <c r="I48" s="17"/>
      <c r="J48" s="4" t="str">
        <f t="shared" si="7"/>
        <v/>
      </c>
      <c r="K48" s="3" t="str">
        <f t="shared" si="8"/>
        <v/>
      </c>
      <c r="L48" s="3"/>
      <c r="M48" s="3" t="str">
        <f t="shared" si="1"/>
        <v/>
      </c>
      <c r="N48" s="3" t="str">
        <f t="shared" si="2"/>
        <v/>
      </c>
      <c r="O48" s="15" t="str">
        <f t="shared" si="3"/>
        <v/>
      </c>
      <c r="P48" s="2" t="str">
        <f t="shared" si="9"/>
        <v/>
      </c>
      <c r="Q48" s="2" t="str">
        <f t="shared" si="4"/>
        <v/>
      </c>
      <c r="R48" s="3" t="str">
        <f t="shared" si="5"/>
        <v/>
      </c>
      <c r="S48" s="2" t="str">
        <f t="shared" si="10"/>
        <v/>
      </c>
      <c r="T48" s="15">
        <f t="shared" si="6"/>
        <v>0</v>
      </c>
      <c r="U48" s="10"/>
      <c r="V48" s="2">
        <f t="shared" si="23"/>
        <v>35</v>
      </c>
      <c r="W48" s="2">
        <v>11.7</v>
      </c>
      <c r="X48" s="236" cm="1">
        <f t="array" ref="X48">SUMPRODUCT((info!$H$4:$H$58=Feuil1!$E48)*(info!$K$4:$K$58&lt;=Feuil1!$W48)*(info!$L$4:$L$58&gt;=Feuil1!$W48),info!$M$4:$M$58)</f>
        <v>0</v>
      </c>
      <c r="Y48" s="236" cm="1">
        <f t="array" ref="Y48">SUMPRODUCT((info!$H$4:$H$58=Feuil1!$E48)*(info!$K$4:$K$58&lt;=Feuil1!$W48)*(info!$L$4:$L$58&gt;=Feuil1!$W48),info!$N$4:$N$58)</f>
        <v>0</v>
      </c>
      <c r="Z48" s="83">
        <f t="shared" si="12"/>
        <v>0</v>
      </c>
      <c r="AA48" s="83">
        <f t="shared" si="13"/>
        <v>0</v>
      </c>
      <c r="AB48" s="76" t="s">
        <v>36</v>
      </c>
      <c r="AC48" s="77">
        <f>IF(+VLOOKUP($E48,info!$H:$Z,7,FALSE),+VLOOKUP($E48,info!$H:$Z,7,FALSE),"")</f>
        <v>1.76</v>
      </c>
      <c r="AD48" s="77" t="str">
        <f>IF(+VLOOKUP($E48,info!$H:$Z,8,FALSE),+VLOOKUP($E48,info!$H:$Z,8,FALSE),"")</f>
        <v/>
      </c>
      <c r="AE48" s="77">
        <f t="shared" si="14"/>
        <v>5.1479999999999997</v>
      </c>
      <c r="AF48" s="77" t="str">
        <f t="shared" si="15"/>
        <v/>
      </c>
      <c r="AG48" s="64" t="s">
        <v>36</v>
      </c>
      <c r="AH48" s="58">
        <f>IF(+VLOOKUP($E48,info!$H:$Z,10,FALSE),+VLOOKUP($E48,info!$H:$Z,10,FALSE),"")</f>
        <v>1.76</v>
      </c>
      <c r="AI48" s="58" t="str">
        <f>IF(+VLOOKUP($E48,info!$H:$Z,11,FALSE),+VLOOKUP($E48,info!$H:$Z,11,FALSE),"")</f>
        <v/>
      </c>
      <c r="AJ48" s="58">
        <f t="shared" si="16"/>
        <v>10.295999999999999</v>
      </c>
      <c r="AK48" s="58" t="str">
        <f t="shared" si="17"/>
        <v/>
      </c>
      <c r="AL48" s="81" t="s">
        <v>36</v>
      </c>
      <c r="AM48" s="82">
        <f>IF(+VLOOKUP($E48,info!$H:$Z,13,FALSE),+VLOOKUP($E48,info!$H:$Z,13,FALSE),"")</f>
        <v>1.76</v>
      </c>
      <c r="AN48" s="82" t="str">
        <f>IF(+VLOOKUP($E48,info!$H:$Z,14,FALSE),+VLOOKUP($E48,info!$H:$Z,14,FALSE),"")</f>
        <v/>
      </c>
      <c r="AO48" s="82">
        <f t="shared" si="18"/>
        <v>25.74</v>
      </c>
      <c r="AP48" s="82" t="str">
        <f t="shared" si="19"/>
        <v/>
      </c>
      <c r="AQ48" s="79" t="s">
        <v>36</v>
      </c>
      <c r="AR48" s="80">
        <f>IF(+VLOOKUP($E48,info!$H:$Z,16,FALSE),+VLOOKUP($E48,info!$H:$Z,16,FALSE),"")</f>
        <v>1.76</v>
      </c>
      <c r="AS48" s="80" t="str">
        <f>IF(+VLOOKUP($E48,info!$H:$Z,17,FALSE),+VLOOKUP($E48,info!$H:$Z,17,FALSE),"")</f>
        <v/>
      </c>
      <c r="AT48" s="80">
        <f t="shared" si="20"/>
        <v>4.1184000000000003</v>
      </c>
      <c r="AU48" s="80" t="str">
        <f t="shared" si="21"/>
        <v/>
      </c>
      <c r="AV48" s="57"/>
      <c r="AW48" s="57"/>
      <c r="AX48" s="57"/>
      <c r="AY48" s="57"/>
      <c r="AZ48" s="57"/>
      <c r="BA48" s="57"/>
      <c r="BB48" s="57"/>
    </row>
    <row r="49" spans="1:54" x14ac:dyDescent="0.25">
      <c r="A49" s="15" t="s">
        <v>36</v>
      </c>
      <c r="B49" s="3" t="s">
        <v>151</v>
      </c>
      <c r="C49" s="56" t="str">
        <f>+VLOOKUP(E49,info!H:I,2,FALSE)</f>
        <v>PIXID</v>
      </c>
      <c r="D49" s="16" t="str">
        <f t="shared" si="22"/>
        <v>00-00-00</v>
      </c>
      <c r="E49" s="69" t="s">
        <v>64</v>
      </c>
      <c r="F49" s="17" t="s">
        <v>158</v>
      </c>
      <c r="G49" s="17" t="s">
        <v>56</v>
      </c>
      <c r="H49" s="17"/>
      <c r="I49" s="17"/>
      <c r="J49" s="4" t="str">
        <f t="shared" si="7"/>
        <v/>
      </c>
      <c r="K49" s="3" t="str">
        <f t="shared" si="8"/>
        <v/>
      </c>
      <c r="L49" s="3"/>
      <c r="M49" s="3" t="str">
        <f t="shared" si="1"/>
        <v/>
      </c>
      <c r="N49" s="3" t="str">
        <f t="shared" si="2"/>
        <v/>
      </c>
      <c r="O49" s="15" t="str">
        <f t="shared" si="3"/>
        <v/>
      </c>
      <c r="P49" s="2" t="str">
        <f t="shared" si="9"/>
        <v/>
      </c>
      <c r="Q49" s="2" t="str">
        <f t="shared" si="4"/>
        <v/>
      </c>
      <c r="R49" s="3" t="str">
        <f t="shared" si="5"/>
        <v/>
      </c>
      <c r="S49" s="2" t="str">
        <f t="shared" si="10"/>
        <v/>
      </c>
      <c r="T49" s="15">
        <f t="shared" si="6"/>
        <v>0</v>
      </c>
      <c r="U49" s="10"/>
      <c r="V49" s="2">
        <f t="shared" si="23"/>
        <v>35</v>
      </c>
      <c r="W49" s="2">
        <v>12</v>
      </c>
      <c r="X49" s="236" cm="1">
        <f t="array" ref="X49">SUMPRODUCT((info!$H$4:$H$58=Feuil1!$E49)*(info!$K$4:$K$58&lt;=Feuil1!$W49)*(info!$L$4:$L$58&gt;=Feuil1!$W49),info!$M$4:$M$58)</f>
        <v>1.83</v>
      </c>
      <c r="Y49" s="236" cm="1">
        <f t="array" ref="Y49">SUMPRODUCT((info!$H$4:$H$58=Feuil1!$E49)*(info!$K$4:$K$58&lt;=Feuil1!$W49)*(info!$L$4:$L$58&gt;=Feuil1!$W49),info!$N$4:$N$58)</f>
        <v>1.79</v>
      </c>
      <c r="Z49" s="83">
        <f t="shared" si="12"/>
        <v>21.96</v>
      </c>
      <c r="AA49" s="83">
        <f t="shared" si="13"/>
        <v>21.48</v>
      </c>
      <c r="AB49" s="76" t="s">
        <v>36</v>
      </c>
      <c r="AC49" s="77">
        <f>IF(+VLOOKUP($E49,info!$H:$Z,7,FALSE),+VLOOKUP($E49,info!$H:$Z,7,FALSE),"")</f>
        <v>1.79</v>
      </c>
      <c r="AD49" s="77" t="str">
        <f>IF(+VLOOKUP($E49,info!$H:$Z,8,FALSE),+VLOOKUP($E49,info!$H:$Z,8,FALSE),"")</f>
        <v/>
      </c>
      <c r="AE49" s="77">
        <f t="shared" si="14"/>
        <v>5.37</v>
      </c>
      <c r="AF49" s="77" t="str">
        <f t="shared" si="15"/>
        <v/>
      </c>
      <c r="AG49" s="64" t="s">
        <v>36</v>
      </c>
      <c r="AH49" s="58">
        <f>IF(+VLOOKUP($E49,info!$H:$Z,10,FALSE),+VLOOKUP($E49,info!$H:$Z,10,FALSE),"")</f>
        <v>1.79</v>
      </c>
      <c r="AI49" s="58" t="str">
        <f>IF(+VLOOKUP($E49,info!$H:$Z,11,FALSE),+VLOOKUP($E49,info!$H:$Z,11,FALSE),"")</f>
        <v/>
      </c>
      <c r="AJ49" s="58">
        <f t="shared" si="16"/>
        <v>10.74</v>
      </c>
      <c r="AK49" s="58" t="str">
        <f t="shared" si="17"/>
        <v/>
      </c>
      <c r="AL49" s="81" t="s">
        <v>36</v>
      </c>
      <c r="AM49" s="82">
        <f>IF(+VLOOKUP($E49,info!$H:$Z,13,FALSE),+VLOOKUP($E49,info!$H:$Z,13,FALSE),"")</f>
        <v>1.79</v>
      </c>
      <c r="AN49" s="82" t="str">
        <f>IF(+VLOOKUP($E49,info!$H:$Z,14,FALSE),+VLOOKUP($E49,info!$H:$Z,14,FALSE),"")</f>
        <v/>
      </c>
      <c r="AO49" s="82">
        <f t="shared" si="18"/>
        <v>26.85</v>
      </c>
      <c r="AP49" s="82" t="str">
        <f t="shared" si="19"/>
        <v/>
      </c>
      <c r="AQ49" s="79" t="s">
        <v>36</v>
      </c>
      <c r="AR49" s="80">
        <f>IF(+VLOOKUP($E49,info!$H:$Z,16,FALSE),+VLOOKUP($E49,info!$H:$Z,16,FALSE),"")</f>
        <v>1.79</v>
      </c>
      <c r="AS49" s="80" t="str">
        <f>IF(+VLOOKUP($E49,info!$H:$Z,17,FALSE),+VLOOKUP($E49,info!$H:$Z,17,FALSE),"")</f>
        <v/>
      </c>
      <c r="AT49" s="80">
        <f t="shared" si="20"/>
        <v>4.2960000000000003</v>
      </c>
      <c r="AU49" s="80" t="str">
        <f t="shared" si="21"/>
        <v/>
      </c>
      <c r="AV49" s="57"/>
      <c r="AW49" s="57"/>
      <c r="AX49" s="57"/>
      <c r="AY49" s="57"/>
      <c r="AZ49" s="57"/>
      <c r="BA49" s="57"/>
      <c r="BB49" s="57"/>
    </row>
    <row r="50" spans="1:54" x14ac:dyDescent="0.25">
      <c r="A50" s="15" t="s">
        <v>36</v>
      </c>
      <c r="B50" s="3" t="s">
        <v>151</v>
      </c>
      <c r="C50" s="56" t="str">
        <f>+VLOOKUP(E50,info!H:I,2,FALSE)</f>
        <v>PIXID</v>
      </c>
      <c r="D50" s="16" t="str">
        <f t="shared" si="22"/>
        <v>00-00-00</v>
      </c>
      <c r="E50" s="18" t="s">
        <v>113</v>
      </c>
      <c r="F50" s="17" t="s">
        <v>158</v>
      </c>
      <c r="G50" s="17" t="s">
        <v>56</v>
      </c>
      <c r="H50" s="66"/>
      <c r="I50" s="66"/>
      <c r="J50" s="4" t="str">
        <f t="shared" si="7"/>
        <v/>
      </c>
      <c r="K50" s="3" t="str">
        <f t="shared" si="8"/>
        <v/>
      </c>
      <c r="L50" s="3"/>
      <c r="M50" s="3" t="str">
        <f t="shared" si="1"/>
        <v/>
      </c>
      <c r="N50" s="3" t="str">
        <f t="shared" si="2"/>
        <v/>
      </c>
      <c r="O50" s="15" t="str">
        <f t="shared" si="3"/>
        <v/>
      </c>
      <c r="P50" s="2" t="str">
        <f t="shared" si="9"/>
        <v/>
      </c>
      <c r="Q50" s="2" t="str">
        <f t="shared" si="4"/>
        <v/>
      </c>
      <c r="R50" s="3" t="str">
        <f t="shared" si="5"/>
        <v/>
      </c>
      <c r="S50" s="2" t="str">
        <f t="shared" si="10"/>
        <v/>
      </c>
      <c r="T50" s="15">
        <f t="shared" si="6"/>
        <v>0</v>
      </c>
      <c r="U50" s="10"/>
      <c r="V50" s="2">
        <f t="shared" si="23"/>
        <v>35</v>
      </c>
      <c r="W50" s="2">
        <v>11.7</v>
      </c>
      <c r="X50" s="236" cm="1">
        <f t="array" ref="X50">SUMPRODUCT((info!$H$4:$H$58=Feuil1!$E50)*(info!$K$4:$K$58&lt;=Feuil1!$W50)*(info!$L$4:$L$58&gt;=Feuil1!$W50),info!$M$4:$M$58)</f>
        <v>1.91</v>
      </c>
      <c r="Y50" s="236" cm="1">
        <f t="array" ref="Y50">SUMPRODUCT((info!$H$4:$H$58=Feuil1!$E50)*(info!$K$4:$K$58&lt;=Feuil1!$W50)*(info!$L$4:$L$58&gt;=Feuil1!$W50),info!$N$4:$N$58)</f>
        <v>1.88</v>
      </c>
      <c r="Z50" s="83">
        <f t="shared" si="12"/>
        <v>22.346999999999998</v>
      </c>
      <c r="AA50" s="83">
        <f t="shared" si="13"/>
        <v>21.995999999999999</v>
      </c>
      <c r="AB50" s="76" t="s">
        <v>36</v>
      </c>
      <c r="AC50" s="77">
        <f>IF(+VLOOKUP($E50,info!$H:$Z,7,FALSE),+VLOOKUP($E50,info!$H:$Z,7,FALSE),"")</f>
        <v>1.79</v>
      </c>
      <c r="AD50" s="77" t="str">
        <f>IF(+VLOOKUP($E50,info!$H:$Z,8,FALSE),+VLOOKUP($E50,info!$H:$Z,8,FALSE),"")</f>
        <v/>
      </c>
      <c r="AE50" s="77">
        <f t="shared" si="14"/>
        <v>5.2357499999999995</v>
      </c>
      <c r="AF50" s="77" t="str">
        <f t="shared" si="15"/>
        <v/>
      </c>
      <c r="AG50" s="64" t="s">
        <v>36</v>
      </c>
      <c r="AH50" s="58">
        <f>IF(+VLOOKUP($E50,info!$H:$Z,10,FALSE),+VLOOKUP($E50,info!$H:$Z,10,FALSE),"")</f>
        <v>1.79</v>
      </c>
      <c r="AI50" s="58" t="str">
        <f>IF(+VLOOKUP($E50,info!$H:$Z,11,FALSE),+VLOOKUP($E50,info!$H:$Z,11,FALSE),"")</f>
        <v/>
      </c>
      <c r="AJ50" s="58">
        <f t="shared" si="16"/>
        <v>10.471499999999999</v>
      </c>
      <c r="AK50" s="58" t="str">
        <f t="shared" si="17"/>
        <v/>
      </c>
      <c r="AL50" s="81" t="s">
        <v>36</v>
      </c>
      <c r="AM50" s="82">
        <f>IF(+VLOOKUP($E50,info!$H:$Z,13,FALSE),+VLOOKUP($E50,info!$H:$Z,13,FALSE),"")</f>
        <v>1.79</v>
      </c>
      <c r="AN50" s="82" t="str">
        <f>IF(+VLOOKUP($E50,info!$H:$Z,14,FALSE),+VLOOKUP($E50,info!$H:$Z,14,FALSE),"")</f>
        <v/>
      </c>
      <c r="AO50" s="82">
        <f t="shared" si="18"/>
        <v>26.178749999999997</v>
      </c>
      <c r="AP50" s="82" t="str">
        <f t="shared" si="19"/>
        <v/>
      </c>
      <c r="AQ50" s="79" t="s">
        <v>36</v>
      </c>
      <c r="AR50" s="80">
        <f>IF(+VLOOKUP($E50,info!$H:$Z,16,FALSE),+VLOOKUP($E50,info!$H:$Z,16,FALSE),"")</f>
        <v>1.79</v>
      </c>
      <c r="AS50" s="80" t="str">
        <f>IF(+VLOOKUP($E50,info!$H:$Z,17,FALSE),+VLOOKUP($E50,info!$H:$Z,17,FALSE),"")</f>
        <v/>
      </c>
      <c r="AT50" s="80">
        <f t="shared" si="20"/>
        <v>4.1886000000000001</v>
      </c>
      <c r="AU50" s="80" t="str">
        <f t="shared" si="21"/>
        <v/>
      </c>
      <c r="AV50" s="57"/>
      <c r="AW50" s="57"/>
      <c r="AX50" s="57"/>
      <c r="AY50" s="57"/>
      <c r="AZ50" s="57"/>
      <c r="BA50" s="57"/>
      <c r="BB50" s="57"/>
    </row>
    <row r="51" spans="1:54" x14ac:dyDescent="0.25">
      <c r="A51" s="15" t="s">
        <v>36</v>
      </c>
      <c r="B51" s="3" t="s">
        <v>151</v>
      </c>
      <c r="C51" s="56" t="str">
        <f>+VLOOKUP(E51,info!H:I,2,FALSE)</f>
        <v>PIXID</v>
      </c>
      <c r="D51" s="16" t="str">
        <f t="shared" si="22"/>
        <v>00-00-00</v>
      </c>
      <c r="E51" s="69" t="s">
        <v>74</v>
      </c>
      <c r="F51" s="17" t="s">
        <v>158</v>
      </c>
      <c r="G51" s="17" t="s">
        <v>56</v>
      </c>
      <c r="H51" s="17"/>
      <c r="I51" s="17"/>
      <c r="J51" s="4" t="str">
        <f t="shared" si="7"/>
        <v/>
      </c>
      <c r="K51" s="3" t="str">
        <f t="shared" si="8"/>
        <v/>
      </c>
      <c r="L51" s="3"/>
      <c r="M51" s="3" t="str">
        <f t="shared" si="1"/>
        <v/>
      </c>
      <c r="N51" s="3" t="str">
        <f t="shared" si="2"/>
        <v/>
      </c>
      <c r="O51" s="15" t="str">
        <f t="shared" si="3"/>
        <v/>
      </c>
      <c r="P51" s="2" t="str">
        <f t="shared" si="9"/>
        <v/>
      </c>
      <c r="Q51" s="2" t="str">
        <f t="shared" si="4"/>
        <v/>
      </c>
      <c r="R51" s="3" t="str">
        <f t="shared" si="5"/>
        <v/>
      </c>
      <c r="S51" s="2" t="str">
        <f t="shared" si="10"/>
        <v/>
      </c>
      <c r="T51" s="15">
        <f t="shared" si="6"/>
        <v>0</v>
      </c>
      <c r="U51" s="10"/>
      <c r="V51" s="2">
        <f t="shared" si="23"/>
        <v>35</v>
      </c>
      <c r="W51" s="2">
        <v>12</v>
      </c>
      <c r="X51" s="236" cm="1">
        <f t="array" ref="X51">SUMPRODUCT((info!$H$4:$H$58=Feuil1!$E51)*(info!$K$4:$K$58&lt;=Feuil1!$W51)*(info!$L$4:$L$58&gt;=Feuil1!$W51),info!$M$4:$M$58)</f>
        <v>1.79</v>
      </c>
      <c r="Y51" s="236" cm="1">
        <f t="array" ref="Y51">SUMPRODUCT((info!$H$4:$H$58=Feuil1!$E51)*(info!$K$4:$K$58&lt;=Feuil1!$W51)*(info!$L$4:$L$58&gt;=Feuil1!$W51),info!$N$4:$N$58)</f>
        <v>0</v>
      </c>
      <c r="Z51" s="83">
        <f t="shared" si="12"/>
        <v>21.48</v>
      </c>
      <c r="AA51" s="83">
        <f t="shared" si="13"/>
        <v>0</v>
      </c>
      <c r="AB51" s="76" t="s">
        <v>36</v>
      </c>
      <c r="AC51" s="77" t="str">
        <f>IF(+VLOOKUP($E51,info!$H:$Z,7,FALSE),+VLOOKUP($E51,info!$H:$Z,7,FALSE),"")</f>
        <v/>
      </c>
      <c r="AD51" s="77" t="str">
        <f>IF(+VLOOKUP($E51,info!$H:$Z,8,FALSE),+VLOOKUP($E51,info!$H:$Z,8,FALSE),"")</f>
        <v/>
      </c>
      <c r="AE51" s="77" t="str">
        <f t="shared" si="14"/>
        <v/>
      </c>
      <c r="AF51" s="77" t="str">
        <f t="shared" si="15"/>
        <v/>
      </c>
      <c r="AG51" s="64" t="s">
        <v>36</v>
      </c>
      <c r="AH51" s="58" t="str">
        <f>IF(+VLOOKUP($E51,info!$H:$Z,10,FALSE),+VLOOKUP($E51,info!$H:$Z,10,FALSE),"")</f>
        <v/>
      </c>
      <c r="AI51" s="58" t="str">
        <f>IF(+VLOOKUP($E51,info!$H:$Z,11,FALSE),+VLOOKUP($E51,info!$H:$Z,11,FALSE),"")</f>
        <v/>
      </c>
      <c r="AJ51" s="58" t="str">
        <f t="shared" si="16"/>
        <v/>
      </c>
      <c r="AK51" s="58" t="str">
        <f t="shared" si="17"/>
        <v/>
      </c>
      <c r="AL51" s="81" t="s">
        <v>36</v>
      </c>
      <c r="AM51" s="82" t="str">
        <f>IF(+VLOOKUP($E51,info!$H:$Z,13,FALSE),+VLOOKUP($E51,info!$H:$Z,13,FALSE),"")</f>
        <v/>
      </c>
      <c r="AN51" s="82" t="str">
        <f>IF(+VLOOKUP($E51,info!$H:$Z,14,FALSE),+VLOOKUP($E51,info!$H:$Z,14,FALSE),"")</f>
        <v/>
      </c>
      <c r="AO51" s="82" t="str">
        <f t="shared" si="18"/>
        <v/>
      </c>
      <c r="AP51" s="82" t="str">
        <f t="shared" si="19"/>
        <v/>
      </c>
      <c r="AQ51" s="79" t="s">
        <v>36</v>
      </c>
      <c r="AR51" s="80" t="str">
        <f>IF(+VLOOKUP($E51,info!$H:$Z,16,FALSE),+VLOOKUP($E51,info!$H:$Z,16,FALSE),"")</f>
        <v/>
      </c>
      <c r="AS51" s="80" t="str">
        <f>IF(+VLOOKUP($E51,info!$H:$Z,17,FALSE),+VLOOKUP($E51,info!$H:$Z,17,FALSE),"")</f>
        <v/>
      </c>
      <c r="AT51" s="80" t="str">
        <f t="shared" si="20"/>
        <v/>
      </c>
      <c r="AU51" s="80" t="str">
        <f t="shared" si="21"/>
        <v/>
      </c>
      <c r="AV51" s="57"/>
      <c r="AW51" s="57"/>
      <c r="AX51" s="57"/>
      <c r="AY51" s="57"/>
      <c r="AZ51" s="57"/>
      <c r="BA51" s="57"/>
      <c r="BB51" s="57"/>
    </row>
    <row r="52" spans="1:54" x14ac:dyDescent="0.25">
      <c r="A52" s="15" t="s">
        <v>36</v>
      </c>
      <c r="B52" s="3" t="s">
        <v>151</v>
      </c>
      <c r="C52" s="56" t="str">
        <f>+VLOOKUP(E52,info!H:I,2,FALSE)</f>
        <v>Armado</v>
      </c>
      <c r="D52" s="16" t="str">
        <f t="shared" si="22"/>
        <v>00-00-00</v>
      </c>
      <c r="E52" s="69" t="s">
        <v>55</v>
      </c>
      <c r="F52" s="17" t="s">
        <v>158</v>
      </c>
      <c r="G52" s="17" t="s">
        <v>56</v>
      </c>
      <c r="H52" s="17"/>
      <c r="I52" s="17"/>
      <c r="J52" s="4" t="str">
        <f t="shared" si="7"/>
        <v/>
      </c>
      <c r="K52" s="3" t="str">
        <f t="shared" si="8"/>
        <v/>
      </c>
      <c r="L52" s="3"/>
      <c r="M52" s="3" t="str">
        <f t="shared" si="1"/>
        <v/>
      </c>
      <c r="N52" s="3" t="str">
        <f t="shared" si="2"/>
        <v/>
      </c>
      <c r="O52" s="15" t="str">
        <f t="shared" si="3"/>
        <v/>
      </c>
      <c r="P52" s="2" t="str">
        <f t="shared" si="9"/>
        <v/>
      </c>
      <c r="Q52" s="2" t="str">
        <f t="shared" si="4"/>
        <v/>
      </c>
      <c r="R52" s="3" t="str">
        <f t="shared" si="5"/>
        <v/>
      </c>
      <c r="S52" s="2" t="str">
        <f t="shared" si="10"/>
        <v/>
      </c>
      <c r="T52" s="15">
        <f t="shared" si="6"/>
        <v>0</v>
      </c>
      <c r="U52" s="10"/>
      <c r="V52" s="2">
        <f t="shared" si="23"/>
        <v>35</v>
      </c>
      <c r="W52" s="2">
        <v>11.75</v>
      </c>
      <c r="X52" s="236" cm="1">
        <f t="array" ref="X52">SUMPRODUCT((info!$H$4:$H$58=Feuil1!$E52)*(info!$K$4:$K$58&lt;=Feuil1!$W52)*(info!$L$4:$L$58&gt;=Feuil1!$W52),info!$M$4:$M$58)</f>
        <v>0</v>
      </c>
      <c r="Y52" s="236" cm="1">
        <f t="array" ref="Y52">SUMPRODUCT((info!$H$4:$H$58=Feuil1!$E52)*(info!$K$4:$K$58&lt;=Feuil1!$W52)*(info!$L$4:$L$58&gt;=Feuil1!$W52),info!$N$4:$N$58)</f>
        <v>0</v>
      </c>
      <c r="Z52" s="83">
        <f t="shared" si="12"/>
        <v>0</v>
      </c>
      <c r="AA52" s="83">
        <f t="shared" si="13"/>
        <v>0</v>
      </c>
      <c r="AB52" s="76" t="s">
        <v>36</v>
      </c>
      <c r="AC52" s="77" t="str">
        <f>IF(+VLOOKUP($E52,info!$H:$Z,7,FALSE),+VLOOKUP($E52,info!$H:$Z,7,FALSE),"")</f>
        <v/>
      </c>
      <c r="AD52" s="77" t="str">
        <f>IF(+VLOOKUP($E52,info!$H:$Z,8,FALSE),+VLOOKUP($E52,info!$H:$Z,8,FALSE),"")</f>
        <v/>
      </c>
      <c r="AE52" s="77" t="str">
        <f t="shared" si="14"/>
        <v/>
      </c>
      <c r="AF52" s="77" t="str">
        <f t="shared" si="15"/>
        <v/>
      </c>
      <c r="AG52" s="64" t="s">
        <v>36</v>
      </c>
      <c r="AH52" s="58" t="str">
        <f>IF(+VLOOKUP($E52,info!$H:$Z,10,FALSE),+VLOOKUP($E52,info!$H:$Z,10,FALSE),"")</f>
        <v/>
      </c>
      <c r="AI52" s="58" t="str">
        <f>IF(+VLOOKUP($E52,info!$H:$Z,11,FALSE),+VLOOKUP($E52,info!$H:$Z,11,FALSE),"")</f>
        <v/>
      </c>
      <c r="AJ52" s="58" t="str">
        <f t="shared" si="16"/>
        <v/>
      </c>
      <c r="AK52" s="58" t="str">
        <f t="shared" si="17"/>
        <v/>
      </c>
      <c r="AL52" s="81" t="s">
        <v>36</v>
      </c>
      <c r="AM52" s="82" t="str">
        <f>IF(+VLOOKUP($E52,info!$H:$Z,13,FALSE),+VLOOKUP($E52,info!$H:$Z,13,FALSE),"")</f>
        <v/>
      </c>
      <c r="AN52" s="82" t="str">
        <f>IF(+VLOOKUP($E52,info!$H:$Z,14,FALSE),+VLOOKUP($E52,info!$H:$Z,14,FALSE),"")</f>
        <v/>
      </c>
      <c r="AO52" s="82" t="str">
        <f t="shared" si="18"/>
        <v/>
      </c>
      <c r="AP52" s="82" t="str">
        <f t="shared" si="19"/>
        <v/>
      </c>
      <c r="AQ52" s="79" t="s">
        <v>36</v>
      </c>
      <c r="AR52" s="80" t="str">
        <f>IF(+VLOOKUP($E52,info!$H:$Z,16,FALSE),+VLOOKUP($E52,info!$H:$Z,16,FALSE),"")</f>
        <v/>
      </c>
      <c r="AS52" s="80" t="str">
        <f>IF(+VLOOKUP($E52,info!$H:$Z,17,FALSE),+VLOOKUP($E52,info!$H:$Z,17,FALSE),"")</f>
        <v/>
      </c>
      <c r="AT52" s="80" t="str">
        <f t="shared" si="20"/>
        <v/>
      </c>
      <c r="AU52" s="80" t="str">
        <f t="shared" si="21"/>
        <v/>
      </c>
      <c r="AV52" s="57"/>
      <c r="AW52" s="57"/>
      <c r="AX52" s="57"/>
      <c r="AY52" s="57"/>
      <c r="AZ52" s="57"/>
      <c r="BA52" s="57"/>
      <c r="BB52" s="57"/>
    </row>
    <row r="53" spans="1:54" x14ac:dyDescent="0.25">
      <c r="A53" s="15" t="s">
        <v>36</v>
      </c>
      <c r="B53" s="3" t="s">
        <v>151</v>
      </c>
      <c r="C53" s="56" t="str">
        <f>+VLOOKUP(E53,info!H:I,2,FALSE)</f>
        <v>Armado</v>
      </c>
      <c r="D53" s="16" t="str">
        <f t="shared" si="22"/>
        <v>00-00-00</v>
      </c>
      <c r="E53" s="18" t="s">
        <v>46</v>
      </c>
      <c r="F53" s="17" t="s">
        <v>158</v>
      </c>
      <c r="G53" s="17" t="s">
        <v>56</v>
      </c>
      <c r="H53" s="66"/>
      <c r="I53" s="66"/>
      <c r="J53" s="4" t="str">
        <f t="shared" si="7"/>
        <v/>
      </c>
      <c r="K53" s="3" t="str">
        <f t="shared" si="8"/>
        <v/>
      </c>
      <c r="L53" s="3"/>
      <c r="M53" s="3" t="str">
        <f t="shared" si="1"/>
        <v/>
      </c>
      <c r="N53" s="3" t="str">
        <f t="shared" si="2"/>
        <v/>
      </c>
      <c r="O53" s="15" t="str">
        <f t="shared" si="3"/>
        <v/>
      </c>
      <c r="P53" s="2" t="str">
        <f t="shared" si="9"/>
        <v/>
      </c>
      <c r="Q53" s="2" t="str">
        <f t="shared" si="4"/>
        <v/>
      </c>
      <c r="R53" s="3" t="str">
        <f t="shared" si="5"/>
        <v/>
      </c>
      <c r="S53" s="2" t="str">
        <f t="shared" si="10"/>
        <v/>
      </c>
      <c r="T53" s="15">
        <f t="shared" si="6"/>
        <v>0</v>
      </c>
      <c r="U53" s="10"/>
      <c r="V53" s="2">
        <f t="shared" si="23"/>
        <v>35</v>
      </c>
      <c r="W53" s="2">
        <v>12</v>
      </c>
      <c r="X53" s="236" cm="1">
        <f t="array" ref="X53">SUMPRODUCT((info!$H$4:$H$58=Feuil1!$E53)*(info!$K$4:$K$58&lt;=Feuil1!$W53)*(info!$L$4:$L$58&gt;=Feuil1!$W53),info!$M$4:$M$58)</f>
        <v>0</v>
      </c>
      <c r="Y53" s="236" cm="1">
        <f t="array" ref="Y53">SUMPRODUCT((info!$H$4:$H$58=Feuil1!$E53)*(info!$K$4:$K$58&lt;=Feuil1!$W53)*(info!$L$4:$L$58&gt;=Feuil1!$W53),info!$N$4:$N$58)</f>
        <v>0</v>
      </c>
      <c r="Z53" s="83">
        <f t="shared" si="12"/>
        <v>0</v>
      </c>
      <c r="AA53" s="83">
        <f t="shared" si="13"/>
        <v>0</v>
      </c>
      <c r="AB53" s="76" t="s">
        <v>36</v>
      </c>
      <c r="AC53" s="77" t="str">
        <f>IF(+VLOOKUP($E53,info!$H:$Z,7,FALSE),+VLOOKUP($E53,info!$H:$Z,7,FALSE),"")</f>
        <v/>
      </c>
      <c r="AD53" s="77" t="str">
        <f>IF(+VLOOKUP($E53,info!$H:$Z,8,FALSE),+VLOOKUP($E53,info!$H:$Z,8,FALSE),"")</f>
        <v/>
      </c>
      <c r="AE53" s="77" t="str">
        <f t="shared" si="14"/>
        <v/>
      </c>
      <c r="AF53" s="77" t="str">
        <f t="shared" si="15"/>
        <v/>
      </c>
      <c r="AG53" s="64" t="s">
        <v>36</v>
      </c>
      <c r="AH53" s="58" t="str">
        <f>IF(+VLOOKUP($E53,info!$H:$Z,10,FALSE),+VLOOKUP($E53,info!$H:$Z,10,FALSE),"")</f>
        <v/>
      </c>
      <c r="AI53" s="58" t="str">
        <f>IF(+VLOOKUP($E53,info!$H:$Z,11,FALSE),+VLOOKUP($E53,info!$H:$Z,11,FALSE),"")</f>
        <v/>
      </c>
      <c r="AJ53" s="58" t="str">
        <f t="shared" si="16"/>
        <v/>
      </c>
      <c r="AK53" s="58" t="str">
        <f t="shared" si="17"/>
        <v/>
      </c>
      <c r="AL53" s="81" t="s">
        <v>36</v>
      </c>
      <c r="AM53" s="82" t="str">
        <f>IF(+VLOOKUP($E53,info!$H:$Z,13,FALSE),+VLOOKUP($E53,info!$H:$Z,13,FALSE),"")</f>
        <v/>
      </c>
      <c r="AN53" s="82" t="str">
        <f>IF(+VLOOKUP($E53,info!$H:$Z,14,FALSE),+VLOOKUP($E53,info!$H:$Z,14,FALSE),"")</f>
        <v/>
      </c>
      <c r="AO53" s="82" t="str">
        <f t="shared" si="18"/>
        <v/>
      </c>
      <c r="AP53" s="82" t="str">
        <f t="shared" si="19"/>
        <v/>
      </c>
      <c r="AQ53" s="79" t="s">
        <v>36</v>
      </c>
      <c r="AR53" s="80" t="str">
        <f>IF(+VLOOKUP($E53,info!$H:$Z,16,FALSE),+VLOOKUP($E53,info!$H:$Z,16,FALSE),"")</f>
        <v/>
      </c>
      <c r="AS53" s="80" t="str">
        <f>IF(+VLOOKUP($E53,info!$H:$Z,17,FALSE),+VLOOKUP($E53,info!$H:$Z,17,FALSE),"")</f>
        <v/>
      </c>
      <c r="AT53" s="80" t="str">
        <f t="shared" si="20"/>
        <v/>
      </c>
      <c r="AU53" s="80" t="str">
        <f t="shared" si="21"/>
        <v/>
      </c>
      <c r="AV53" s="57"/>
      <c r="AW53" s="57"/>
      <c r="AX53" s="57"/>
      <c r="AY53" s="57"/>
      <c r="AZ53" s="57"/>
      <c r="BA53" s="57"/>
      <c r="BB53" s="57"/>
    </row>
    <row r="54" spans="1:54" x14ac:dyDescent="0.25">
      <c r="A54" s="15" t="s">
        <v>36</v>
      </c>
      <c r="B54" s="3" t="s">
        <v>151</v>
      </c>
      <c r="C54" s="56" t="str">
        <f>+VLOOKUP(E54,info!H:I,2,FALSE)</f>
        <v>Instant</v>
      </c>
      <c r="D54" s="16" t="str">
        <f t="shared" si="22"/>
        <v>00-00-00</v>
      </c>
      <c r="E54" s="65" t="s">
        <v>154</v>
      </c>
      <c r="F54" s="17" t="s">
        <v>158</v>
      </c>
      <c r="G54" s="17" t="s">
        <v>56</v>
      </c>
      <c r="H54" s="66"/>
      <c r="I54" s="66"/>
      <c r="J54" s="4" t="str">
        <f t="shared" si="7"/>
        <v/>
      </c>
      <c r="K54" s="3" t="str">
        <f t="shared" si="8"/>
        <v/>
      </c>
      <c r="L54" s="3"/>
      <c r="M54" s="3" t="str">
        <f t="shared" si="1"/>
        <v/>
      </c>
      <c r="N54" s="3" t="str">
        <f t="shared" si="2"/>
        <v/>
      </c>
      <c r="O54" s="15" t="str">
        <f t="shared" si="3"/>
        <v/>
      </c>
      <c r="P54" s="2" t="str">
        <f t="shared" si="9"/>
        <v/>
      </c>
      <c r="Q54" s="2" t="str">
        <f t="shared" si="4"/>
        <v/>
      </c>
      <c r="R54" s="3" t="str">
        <f t="shared" si="5"/>
        <v/>
      </c>
      <c r="S54" s="2" t="str">
        <f t="shared" si="10"/>
        <v/>
      </c>
      <c r="T54" s="15">
        <f t="shared" si="6"/>
        <v>0</v>
      </c>
      <c r="U54" s="10"/>
      <c r="V54" s="2">
        <f t="shared" si="23"/>
        <v>35</v>
      </c>
      <c r="W54" s="2">
        <v>11.7</v>
      </c>
      <c r="X54" s="236" cm="1">
        <f t="array" ref="X54">SUMPRODUCT((info!$H$4:$H$58=Feuil1!$E54)*(info!$K$4:$K$58&lt;=Feuil1!$W54)*(info!$L$4:$L$58&gt;=Feuil1!$W54),info!$M$4:$M$58)</f>
        <v>1.79</v>
      </c>
      <c r="Y54" s="236" cm="1">
        <f t="array" ref="Y54">SUMPRODUCT((info!$H$4:$H$58=Feuil1!$E54)*(info!$K$4:$K$58&lt;=Feuil1!$W54)*(info!$L$4:$L$58&gt;=Feuil1!$W54),info!$N$4:$N$58)</f>
        <v>1.78</v>
      </c>
      <c r="Z54" s="83">
        <f t="shared" si="12"/>
        <v>20.942999999999998</v>
      </c>
      <c r="AA54" s="83">
        <f t="shared" si="13"/>
        <v>20.826000000000001</v>
      </c>
      <c r="AB54" s="76" t="s">
        <v>36</v>
      </c>
      <c r="AC54" s="77">
        <f>IF(+VLOOKUP($E54,info!$H:$Z,7,FALSE),+VLOOKUP($E54,info!$H:$Z,7,FALSE),"")</f>
        <v>1.78</v>
      </c>
      <c r="AD54" s="77">
        <f>IF(+VLOOKUP($E54,info!$H:$Z,8,FALSE),+VLOOKUP($E54,info!$H:$Z,8,FALSE),"")</f>
        <v>0.06</v>
      </c>
      <c r="AE54" s="77">
        <f t="shared" si="14"/>
        <v>5.2065000000000001</v>
      </c>
      <c r="AF54" s="77">
        <f t="shared" si="15"/>
        <v>0.17549999999999999</v>
      </c>
      <c r="AG54" s="64" t="s">
        <v>36</v>
      </c>
      <c r="AH54" s="58">
        <f>IF(+VLOOKUP($E54,info!$H:$Z,10,FALSE),+VLOOKUP($E54,info!$H:$Z,10,FALSE),"")</f>
        <v>1.84</v>
      </c>
      <c r="AI54" s="58">
        <f>IF(+VLOOKUP($E54,info!$H:$Z,11,FALSE),+VLOOKUP($E54,info!$H:$Z,11,FALSE),"")</f>
        <v>0.06</v>
      </c>
      <c r="AJ54" s="58">
        <f t="shared" si="16"/>
        <v>10.763999999999999</v>
      </c>
      <c r="AK54" s="58">
        <f t="shared" si="17"/>
        <v>0.35099999999999998</v>
      </c>
      <c r="AL54" s="81" t="s">
        <v>36</v>
      </c>
      <c r="AM54" s="82">
        <f>IF(+VLOOKUP($E54,info!$H:$Z,13,FALSE),+VLOOKUP($E54,info!$H:$Z,13,FALSE),"")</f>
        <v>1.84</v>
      </c>
      <c r="AN54" s="82">
        <f>IF(+VLOOKUP($E54,info!$H:$Z,14,FALSE),+VLOOKUP($E54,info!$H:$Z,14,FALSE),"")</f>
        <v>0.06</v>
      </c>
      <c r="AO54" s="82">
        <f t="shared" si="18"/>
        <v>26.909999999999997</v>
      </c>
      <c r="AP54" s="82">
        <f t="shared" si="19"/>
        <v>0.87749999999999995</v>
      </c>
      <c r="AQ54" s="79" t="s">
        <v>36</v>
      </c>
      <c r="AR54" s="80">
        <f>IF(+VLOOKUP($E54,info!$H:$Z,16,FALSE),+VLOOKUP($E54,info!$H:$Z,16,FALSE),"")</f>
        <v>1.84</v>
      </c>
      <c r="AS54" s="80">
        <f>IF(+VLOOKUP($E54,info!$H:$Z,17,FALSE),+VLOOKUP($E54,info!$H:$Z,17,FALSE),"")</f>
        <v>0.06</v>
      </c>
      <c r="AT54" s="80">
        <f t="shared" si="20"/>
        <v>4.3056000000000001</v>
      </c>
      <c r="AU54" s="80">
        <f t="shared" si="21"/>
        <v>0.1404</v>
      </c>
      <c r="AV54" s="57"/>
      <c r="AW54" s="57"/>
      <c r="AX54" s="57"/>
      <c r="AY54" s="57"/>
      <c r="AZ54" s="57"/>
      <c r="BA54" s="57"/>
      <c r="BB54" s="57"/>
    </row>
    <row r="55" spans="1:54" x14ac:dyDescent="0.25">
      <c r="A55" s="15" t="s">
        <v>36</v>
      </c>
      <c r="B55" s="3" t="s">
        <v>151</v>
      </c>
      <c r="C55" s="56" t="str">
        <f>+VLOOKUP(E55,info!H:I,2,FALSE)</f>
        <v>PIXID</v>
      </c>
      <c r="D55" s="16" t="str">
        <f t="shared" si="22"/>
        <v>00-00-00</v>
      </c>
      <c r="E55" s="18" t="s">
        <v>64</v>
      </c>
      <c r="F55" s="17" t="s">
        <v>158</v>
      </c>
      <c r="G55" s="17" t="s">
        <v>56</v>
      </c>
      <c r="H55" s="66"/>
      <c r="I55" s="66"/>
      <c r="J55" s="4" t="str">
        <f t="shared" si="7"/>
        <v/>
      </c>
      <c r="K55" s="3" t="str">
        <f t="shared" si="8"/>
        <v/>
      </c>
      <c r="L55" s="3"/>
      <c r="M55" s="3" t="str">
        <f t="shared" si="1"/>
        <v/>
      </c>
      <c r="N55" s="3" t="str">
        <f t="shared" si="2"/>
        <v/>
      </c>
      <c r="O55" s="15" t="str">
        <f t="shared" si="3"/>
        <v/>
      </c>
      <c r="P55" s="2" t="str">
        <f t="shared" si="9"/>
        <v/>
      </c>
      <c r="Q55" s="2" t="str">
        <f t="shared" si="4"/>
        <v/>
      </c>
      <c r="R55" s="3" t="str">
        <f t="shared" si="5"/>
        <v/>
      </c>
      <c r="S55" s="2" t="str">
        <f t="shared" si="10"/>
        <v/>
      </c>
      <c r="T55" s="15">
        <f t="shared" si="6"/>
        <v>0</v>
      </c>
      <c r="U55" s="10"/>
      <c r="V55" s="2">
        <f t="shared" si="23"/>
        <v>35</v>
      </c>
      <c r="W55" s="2">
        <v>11.7</v>
      </c>
      <c r="X55" s="236" cm="1">
        <f t="array" ref="X55">SUMPRODUCT((info!$H$4:$H$58=Feuil1!$E55)*(info!$K$4:$K$58&lt;=Feuil1!$W55)*(info!$L$4:$L$58&gt;=Feuil1!$W55),info!$M$4:$M$58)</f>
        <v>1.83</v>
      </c>
      <c r="Y55" s="236" cm="1">
        <f t="array" ref="Y55">SUMPRODUCT((info!$H$4:$H$58=Feuil1!$E55)*(info!$K$4:$K$58&lt;=Feuil1!$W55)*(info!$L$4:$L$58&gt;=Feuil1!$W55),info!$N$4:$N$58)</f>
        <v>1.79</v>
      </c>
      <c r="Z55" s="83">
        <f t="shared" si="12"/>
        <v>21.410999999999998</v>
      </c>
      <c r="AA55" s="83">
        <f t="shared" si="13"/>
        <v>20.942999999999998</v>
      </c>
      <c r="AB55" s="76" t="s">
        <v>36</v>
      </c>
      <c r="AC55" s="77">
        <f>IF(+VLOOKUP($E55,info!$H:$Z,7,FALSE),+VLOOKUP($E55,info!$H:$Z,7,FALSE),"")</f>
        <v>1.79</v>
      </c>
      <c r="AD55" s="77" t="str">
        <f>IF(+VLOOKUP($E55,info!$H:$Z,8,FALSE),+VLOOKUP($E55,info!$H:$Z,8,FALSE),"")</f>
        <v/>
      </c>
      <c r="AE55" s="77">
        <f t="shared" si="14"/>
        <v>5.2357499999999995</v>
      </c>
      <c r="AF55" s="77" t="str">
        <f t="shared" si="15"/>
        <v/>
      </c>
      <c r="AG55" s="64" t="s">
        <v>36</v>
      </c>
      <c r="AH55" s="58">
        <f>IF(+VLOOKUP($E55,info!$H:$Z,10,FALSE),+VLOOKUP($E55,info!$H:$Z,10,FALSE),"")</f>
        <v>1.79</v>
      </c>
      <c r="AI55" s="58" t="str">
        <f>IF(+VLOOKUP($E55,info!$H:$Z,11,FALSE),+VLOOKUP($E55,info!$H:$Z,11,FALSE),"")</f>
        <v/>
      </c>
      <c r="AJ55" s="58">
        <f t="shared" si="16"/>
        <v>10.471499999999999</v>
      </c>
      <c r="AK55" s="58" t="str">
        <f t="shared" si="17"/>
        <v/>
      </c>
      <c r="AL55" s="81" t="s">
        <v>36</v>
      </c>
      <c r="AM55" s="82">
        <f>IF(+VLOOKUP($E55,info!$H:$Z,13,FALSE),+VLOOKUP($E55,info!$H:$Z,13,FALSE),"")</f>
        <v>1.79</v>
      </c>
      <c r="AN55" s="82" t="str">
        <f>IF(+VLOOKUP($E55,info!$H:$Z,14,FALSE),+VLOOKUP($E55,info!$H:$Z,14,FALSE),"")</f>
        <v/>
      </c>
      <c r="AO55" s="82">
        <f t="shared" si="18"/>
        <v>26.178749999999997</v>
      </c>
      <c r="AP55" s="82" t="str">
        <f t="shared" si="19"/>
        <v/>
      </c>
      <c r="AQ55" s="79" t="s">
        <v>36</v>
      </c>
      <c r="AR55" s="80">
        <f>IF(+VLOOKUP($E55,info!$H:$Z,16,FALSE),+VLOOKUP($E55,info!$H:$Z,16,FALSE),"")</f>
        <v>1.79</v>
      </c>
      <c r="AS55" s="80" t="str">
        <f>IF(+VLOOKUP($E55,info!$H:$Z,17,FALSE),+VLOOKUP($E55,info!$H:$Z,17,FALSE),"")</f>
        <v/>
      </c>
      <c r="AT55" s="80">
        <f t="shared" si="20"/>
        <v>4.1886000000000001</v>
      </c>
      <c r="AU55" s="80" t="str">
        <f t="shared" si="21"/>
        <v/>
      </c>
      <c r="AV55" s="57"/>
      <c r="AW55" s="57"/>
      <c r="AX55" s="57"/>
      <c r="AY55" s="57"/>
      <c r="AZ55" s="57"/>
      <c r="BA55" s="57"/>
      <c r="BB55" s="57"/>
    </row>
    <row r="56" spans="1:54" x14ac:dyDescent="0.25">
      <c r="A56" s="15" t="s">
        <v>36</v>
      </c>
      <c r="B56" s="3" t="s">
        <v>151</v>
      </c>
      <c r="C56" s="56" t="str">
        <f>+VLOOKUP(E56,info!H:I,2,FALSE)</f>
        <v>Armado</v>
      </c>
      <c r="D56" s="16" t="str">
        <f t="shared" si="22"/>
        <v>00-00-00</v>
      </c>
      <c r="E56" s="18" t="s">
        <v>156</v>
      </c>
      <c r="F56" s="17" t="s">
        <v>158</v>
      </c>
      <c r="G56" s="17" t="s">
        <v>56</v>
      </c>
      <c r="H56" s="66"/>
      <c r="I56" s="66"/>
      <c r="J56" s="4" t="str">
        <f t="shared" si="7"/>
        <v/>
      </c>
      <c r="K56" s="3" t="str">
        <f t="shared" si="8"/>
        <v/>
      </c>
      <c r="L56" s="3"/>
      <c r="M56" s="3" t="str">
        <f t="shared" si="1"/>
        <v/>
      </c>
      <c r="N56" s="3" t="str">
        <f t="shared" si="2"/>
        <v/>
      </c>
      <c r="O56" s="15" t="str">
        <f t="shared" si="3"/>
        <v/>
      </c>
      <c r="P56" s="2" t="str">
        <f t="shared" si="9"/>
        <v/>
      </c>
      <c r="Q56" s="2" t="str">
        <f t="shared" si="4"/>
        <v/>
      </c>
      <c r="R56" s="3" t="str">
        <f t="shared" si="5"/>
        <v/>
      </c>
      <c r="S56" s="2" t="str">
        <f t="shared" si="10"/>
        <v/>
      </c>
      <c r="T56" s="15">
        <f t="shared" si="6"/>
        <v>0</v>
      </c>
      <c r="U56" s="10"/>
      <c r="V56" s="2">
        <f t="shared" si="23"/>
        <v>35</v>
      </c>
      <c r="W56" s="2">
        <v>12</v>
      </c>
      <c r="X56" s="236" cm="1">
        <f t="array" ref="X56">SUMPRODUCT((info!$H$4:$H$58=Feuil1!$E56)*(info!$K$4:$K$58&lt;=Feuil1!$W56)*(info!$L$4:$L$58&gt;=Feuil1!$W56),info!$M$4:$M$58)</f>
        <v>1.79</v>
      </c>
      <c r="Y56" s="236" cm="1">
        <f t="array" ref="Y56">SUMPRODUCT((info!$H$4:$H$58=Feuil1!$E56)*(info!$K$4:$K$58&lt;=Feuil1!$W56)*(info!$L$4:$L$58&gt;=Feuil1!$W56),info!$N$4:$N$58)</f>
        <v>1.7</v>
      </c>
      <c r="Z56" s="83">
        <f t="shared" si="12"/>
        <v>21.48</v>
      </c>
      <c r="AA56" s="83">
        <f t="shared" si="13"/>
        <v>20.399999999999999</v>
      </c>
      <c r="AB56" s="76" t="s">
        <v>36</v>
      </c>
      <c r="AC56" s="77">
        <f>IF(+VLOOKUP($E56,info!$H:$Z,7,FALSE),+VLOOKUP($E56,info!$H:$Z,7,FALSE),"")</f>
        <v>1.7</v>
      </c>
      <c r="AD56" s="77" t="str">
        <f>IF(+VLOOKUP($E56,info!$H:$Z,8,FALSE),+VLOOKUP($E56,info!$H:$Z,8,FALSE),"")</f>
        <v/>
      </c>
      <c r="AE56" s="77">
        <f t="shared" si="14"/>
        <v>5.0999999999999996</v>
      </c>
      <c r="AF56" s="77" t="str">
        <f t="shared" si="15"/>
        <v/>
      </c>
      <c r="AG56" s="64" t="s">
        <v>36</v>
      </c>
      <c r="AH56" s="58">
        <f>IF(+VLOOKUP($E56,info!$H:$Z,10,FALSE),+VLOOKUP($E56,info!$H:$Z,10,FALSE),"")</f>
        <v>1.7</v>
      </c>
      <c r="AI56" s="58" t="str">
        <f>IF(+VLOOKUP($E56,info!$H:$Z,11,FALSE),+VLOOKUP($E56,info!$H:$Z,11,FALSE),"")</f>
        <v/>
      </c>
      <c r="AJ56" s="58">
        <f t="shared" si="16"/>
        <v>10.199999999999999</v>
      </c>
      <c r="AK56" s="58" t="str">
        <f t="shared" si="17"/>
        <v/>
      </c>
      <c r="AL56" s="81" t="s">
        <v>36</v>
      </c>
      <c r="AM56" s="82">
        <f>IF(+VLOOKUP($E56,info!$H:$Z,13,FALSE),+VLOOKUP($E56,info!$H:$Z,13,FALSE),"")</f>
        <v>1.7</v>
      </c>
      <c r="AN56" s="82" t="str">
        <f>IF(+VLOOKUP($E56,info!$H:$Z,14,FALSE),+VLOOKUP($E56,info!$H:$Z,14,FALSE),"")</f>
        <v/>
      </c>
      <c r="AO56" s="82">
        <f t="shared" si="18"/>
        <v>25.5</v>
      </c>
      <c r="AP56" s="82" t="str">
        <f t="shared" si="19"/>
        <v/>
      </c>
      <c r="AQ56" s="79" t="s">
        <v>36</v>
      </c>
      <c r="AR56" s="80">
        <f>IF(+VLOOKUP($E56,info!$H:$Z,16,FALSE),+VLOOKUP($E56,info!$H:$Z,16,FALSE),"")</f>
        <v>1.7</v>
      </c>
      <c r="AS56" s="80" t="str">
        <f>IF(+VLOOKUP($E56,info!$H:$Z,17,FALSE),+VLOOKUP($E56,info!$H:$Z,17,FALSE),"")</f>
        <v/>
      </c>
      <c r="AT56" s="80">
        <f t="shared" si="20"/>
        <v>4.08</v>
      </c>
      <c r="AU56" s="80" t="str">
        <f t="shared" si="21"/>
        <v/>
      </c>
      <c r="AV56" s="57"/>
      <c r="AW56" s="57"/>
      <c r="AX56" s="57"/>
      <c r="AY56" s="57"/>
      <c r="AZ56" s="57"/>
      <c r="BA56" s="57"/>
      <c r="BB56" s="57"/>
    </row>
    <row r="57" spans="1:54" x14ac:dyDescent="0.25">
      <c r="A57" s="15" t="s">
        <v>36</v>
      </c>
      <c r="B57" s="3" t="s">
        <v>151</v>
      </c>
      <c r="C57" s="56" t="str">
        <f>+VLOOKUP(E57,info!H:I,2,FALSE)</f>
        <v>Armado</v>
      </c>
      <c r="D57" s="16" t="str">
        <f t="shared" si="22"/>
        <v>00-00-00</v>
      </c>
      <c r="E57" s="69" t="s">
        <v>55</v>
      </c>
      <c r="F57" s="17" t="s">
        <v>158</v>
      </c>
      <c r="G57" s="17" t="s">
        <v>56</v>
      </c>
      <c r="H57" s="17"/>
      <c r="I57" s="17"/>
      <c r="J57" s="4" t="str">
        <f t="shared" si="7"/>
        <v/>
      </c>
      <c r="K57" s="3" t="str">
        <f t="shared" si="8"/>
        <v/>
      </c>
      <c r="L57" s="3"/>
      <c r="M57" s="3" t="str">
        <f t="shared" si="1"/>
        <v/>
      </c>
      <c r="N57" s="3" t="str">
        <f t="shared" si="2"/>
        <v/>
      </c>
      <c r="O57" s="15" t="str">
        <f t="shared" si="3"/>
        <v/>
      </c>
      <c r="P57" s="2" t="str">
        <f t="shared" si="9"/>
        <v/>
      </c>
      <c r="Q57" s="2" t="str">
        <f t="shared" si="4"/>
        <v/>
      </c>
      <c r="R57" s="3" t="str">
        <f t="shared" si="5"/>
        <v/>
      </c>
      <c r="S57" s="2" t="str">
        <f t="shared" si="10"/>
        <v/>
      </c>
      <c r="T57" s="15">
        <f t="shared" si="6"/>
        <v>0</v>
      </c>
      <c r="U57" s="10"/>
      <c r="V57" s="2">
        <f t="shared" si="23"/>
        <v>35</v>
      </c>
      <c r="W57" s="2">
        <v>12</v>
      </c>
      <c r="X57" s="236" cm="1">
        <f t="array" ref="X57">SUMPRODUCT((info!$H$4:$H$58=Feuil1!$E57)*(info!$K$4:$K$58&lt;=Feuil1!$W57)*(info!$L$4:$L$58&gt;=Feuil1!$W57),info!$M$4:$M$58)</f>
        <v>0</v>
      </c>
      <c r="Y57" s="236" cm="1">
        <f t="array" ref="Y57">SUMPRODUCT((info!$H$4:$H$58=Feuil1!$E57)*(info!$K$4:$K$58&lt;=Feuil1!$W57)*(info!$L$4:$L$58&gt;=Feuil1!$W57),info!$N$4:$N$58)</f>
        <v>0</v>
      </c>
      <c r="Z57" s="83">
        <f t="shared" si="12"/>
        <v>0</v>
      </c>
      <c r="AA57" s="83">
        <f t="shared" si="13"/>
        <v>0</v>
      </c>
      <c r="AB57" s="76" t="s">
        <v>36</v>
      </c>
      <c r="AC57" s="77" t="str">
        <f>IF(+VLOOKUP($E57,info!$H:$Z,7,FALSE),+VLOOKUP($E57,info!$H:$Z,7,FALSE),"")</f>
        <v/>
      </c>
      <c r="AD57" s="77" t="str">
        <f>IF(+VLOOKUP($E57,info!$H:$Z,8,FALSE),+VLOOKUP($E57,info!$H:$Z,8,FALSE),"")</f>
        <v/>
      </c>
      <c r="AE57" s="77" t="str">
        <f t="shared" si="14"/>
        <v/>
      </c>
      <c r="AF57" s="77" t="str">
        <f t="shared" si="15"/>
        <v/>
      </c>
      <c r="AG57" s="64" t="s">
        <v>36</v>
      </c>
      <c r="AH57" s="58" t="str">
        <f>IF(+VLOOKUP($E57,info!$H:$Z,10,FALSE),+VLOOKUP($E57,info!$H:$Z,10,FALSE),"")</f>
        <v/>
      </c>
      <c r="AI57" s="58" t="str">
        <f>IF(+VLOOKUP($E57,info!$H:$Z,11,FALSE),+VLOOKUP($E57,info!$H:$Z,11,FALSE),"")</f>
        <v/>
      </c>
      <c r="AJ57" s="58" t="str">
        <f t="shared" si="16"/>
        <v/>
      </c>
      <c r="AK57" s="58" t="str">
        <f t="shared" si="17"/>
        <v/>
      </c>
      <c r="AL57" s="81" t="s">
        <v>36</v>
      </c>
      <c r="AM57" s="82" t="str">
        <f>IF(+VLOOKUP($E57,info!$H:$Z,13,FALSE),+VLOOKUP($E57,info!$H:$Z,13,FALSE),"")</f>
        <v/>
      </c>
      <c r="AN57" s="82" t="str">
        <f>IF(+VLOOKUP($E57,info!$H:$Z,14,FALSE),+VLOOKUP($E57,info!$H:$Z,14,FALSE),"")</f>
        <v/>
      </c>
      <c r="AO57" s="82" t="str">
        <f t="shared" si="18"/>
        <v/>
      </c>
      <c r="AP57" s="82" t="str">
        <f t="shared" si="19"/>
        <v/>
      </c>
      <c r="AQ57" s="79" t="s">
        <v>36</v>
      </c>
      <c r="AR57" s="80" t="str">
        <f>IF(+VLOOKUP($E57,info!$H:$Z,16,FALSE),+VLOOKUP($E57,info!$H:$Z,16,FALSE),"")</f>
        <v/>
      </c>
      <c r="AS57" s="80" t="str">
        <f>IF(+VLOOKUP($E57,info!$H:$Z,17,FALSE),+VLOOKUP($E57,info!$H:$Z,17,FALSE),"")</f>
        <v/>
      </c>
      <c r="AT57" s="80" t="str">
        <f t="shared" si="20"/>
        <v/>
      </c>
      <c r="AU57" s="80" t="str">
        <f t="shared" si="21"/>
        <v/>
      </c>
      <c r="AV57" s="57"/>
      <c r="AW57" s="57"/>
      <c r="AX57" s="57"/>
      <c r="AY57" s="57"/>
      <c r="AZ57" s="57"/>
      <c r="BA57" s="57"/>
      <c r="BB57" s="57"/>
    </row>
    <row r="58" spans="1:54" x14ac:dyDescent="0.25">
      <c r="A58" s="15" t="s">
        <v>36</v>
      </c>
      <c r="B58" s="3" t="s">
        <v>151</v>
      </c>
      <c r="C58" s="56" t="str">
        <f>+VLOOKUP(E58,info!H:I,2,FALSE)</f>
        <v>PIXID</v>
      </c>
      <c r="D58" s="16" t="str">
        <f t="shared" si="22"/>
        <v>00-00-00</v>
      </c>
      <c r="E58" s="18" t="s">
        <v>113</v>
      </c>
      <c r="F58" s="17" t="s">
        <v>158</v>
      </c>
      <c r="G58" s="17" t="s">
        <v>56</v>
      </c>
      <c r="H58" s="17"/>
      <c r="I58" s="17"/>
      <c r="J58" s="4" t="str">
        <f t="shared" si="7"/>
        <v/>
      </c>
      <c r="K58" s="3" t="str">
        <f t="shared" si="8"/>
        <v/>
      </c>
      <c r="L58" s="3"/>
      <c r="M58" s="3" t="str">
        <f t="shared" si="1"/>
        <v/>
      </c>
      <c r="N58" s="3" t="str">
        <f t="shared" si="2"/>
        <v/>
      </c>
      <c r="O58" s="15" t="str">
        <f t="shared" si="3"/>
        <v/>
      </c>
      <c r="P58" s="2" t="str">
        <f t="shared" si="9"/>
        <v/>
      </c>
      <c r="Q58" s="2" t="str">
        <f t="shared" si="4"/>
        <v/>
      </c>
      <c r="R58" s="3" t="str">
        <f t="shared" si="5"/>
        <v/>
      </c>
      <c r="S58" s="2" t="str">
        <f t="shared" si="10"/>
        <v/>
      </c>
      <c r="T58" s="15">
        <f t="shared" si="6"/>
        <v>0</v>
      </c>
      <c r="U58" s="10"/>
      <c r="V58" s="2">
        <f t="shared" si="23"/>
        <v>35</v>
      </c>
      <c r="W58" s="2">
        <v>12</v>
      </c>
      <c r="X58" s="236" cm="1">
        <f t="array" ref="X58">SUMPRODUCT((info!$H$4:$H$58=Feuil1!$E58)*(info!$K$4:$K$58&lt;=Feuil1!$W58)*(info!$L$4:$L$58&gt;=Feuil1!$W58),info!$M$4:$M$58)</f>
        <v>1.91</v>
      </c>
      <c r="Y58" s="236" cm="1">
        <f t="array" ref="Y58">SUMPRODUCT((info!$H$4:$H$58=Feuil1!$E58)*(info!$K$4:$K$58&lt;=Feuil1!$W58)*(info!$L$4:$L$58&gt;=Feuil1!$W58),info!$N$4:$N$58)</f>
        <v>1.88</v>
      </c>
      <c r="Z58" s="83">
        <f t="shared" si="12"/>
        <v>22.919999999999998</v>
      </c>
      <c r="AA58" s="83">
        <f t="shared" si="13"/>
        <v>22.56</v>
      </c>
      <c r="AB58" s="76" t="s">
        <v>36</v>
      </c>
      <c r="AC58" s="77">
        <f>IF(+VLOOKUP($E58,info!$H:$Z,7,FALSE),+VLOOKUP($E58,info!$H:$Z,7,FALSE),"")</f>
        <v>1.79</v>
      </c>
      <c r="AD58" s="77" t="str">
        <f>IF(+VLOOKUP($E58,info!$H:$Z,8,FALSE),+VLOOKUP($E58,info!$H:$Z,8,FALSE),"")</f>
        <v/>
      </c>
      <c r="AE58" s="77">
        <f t="shared" si="14"/>
        <v>5.37</v>
      </c>
      <c r="AF58" s="77" t="str">
        <f t="shared" si="15"/>
        <v/>
      </c>
      <c r="AG58" s="64" t="s">
        <v>36</v>
      </c>
      <c r="AH58" s="58">
        <f>IF(+VLOOKUP($E58,info!$H:$Z,10,FALSE),+VLOOKUP($E58,info!$H:$Z,10,FALSE),"")</f>
        <v>1.79</v>
      </c>
      <c r="AI58" s="58" t="str">
        <f>IF(+VLOOKUP($E58,info!$H:$Z,11,FALSE),+VLOOKUP($E58,info!$H:$Z,11,FALSE),"")</f>
        <v/>
      </c>
      <c r="AJ58" s="58">
        <f t="shared" si="16"/>
        <v>10.74</v>
      </c>
      <c r="AK58" s="58" t="str">
        <f t="shared" si="17"/>
        <v/>
      </c>
      <c r="AL58" s="81" t="s">
        <v>36</v>
      </c>
      <c r="AM58" s="82">
        <f>IF(+VLOOKUP($E58,info!$H:$Z,13,FALSE),+VLOOKUP($E58,info!$H:$Z,13,FALSE),"")</f>
        <v>1.79</v>
      </c>
      <c r="AN58" s="82" t="str">
        <f>IF(+VLOOKUP($E58,info!$H:$Z,14,FALSE),+VLOOKUP($E58,info!$H:$Z,14,FALSE),"")</f>
        <v/>
      </c>
      <c r="AO58" s="82">
        <f t="shared" si="18"/>
        <v>26.85</v>
      </c>
      <c r="AP58" s="82" t="str">
        <f t="shared" si="19"/>
        <v/>
      </c>
      <c r="AQ58" s="79" t="s">
        <v>36</v>
      </c>
      <c r="AR58" s="80">
        <f>IF(+VLOOKUP($E58,info!$H:$Z,16,FALSE),+VLOOKUP($E58,info!$H:$Z,16,FALSE),"")</f>
        <v>1.79</v>
      </c>
      <c r="AS58" s="80" t="str">
        <f>IF(+VLOOKUP($E58,info!$H:$Z,17,FALSE),+VLOOKUP($E58,info!$H:$Z,17,FALSE),"")</f>
        <v/>
      </c>
      <c r="AT58" s="80">
        <f t="shared" si="20"/>
        <v>4.2960000000000003</v>
      </c>
      <c r="AU58" s="80" t="str">
        <f t="shared" si="21"/>
        <v/>
      </c>
      <c r="AV58" s="57"/>
      <c r="AW58" s="57"/>
      <c r="AX58" s="57"/>
      <c r="AY58" s="57"/>
      <c r="AZ58" s="57"/>
      <c r="BA58" s="57"/>
      <c r="BB58" s="57"/>
    </row>
    <row r="59" spans="1:54" x14ac:dyDescent="0.25">
      <c r="A59" s="15" t="s">
        <v>36</v>
      </c>
      <c r="B59" s="3" t="s">
        <v>151</v>
      </c>
      <c r="C59" s="56" t="str">
        <f>+VLOOKUP(E59,info!H:I,2,FALSE)</f>
        <v>Instant</v>
      </c>
      <c r="D59" s="16" t="str">
        <f t="shared" si="22"/>
        <v>00-00-00</v>
      </c>
      <c r="E59" s="65" t="s">
        <v>154</v>
      </c>
      <c r="F59" s="17" t="s">
        <v>158</v>
      </c>
      <c r="G59" s="17" t="s">
        <v>56</v>
      </c>
      <c r="H59" s="17"/>
      <c r="I59" s="17"/>
      <c r="J59" s="4" t="str">
        <f t="shared" si="7"/>
        <v/>
      </c>
      <c r="K59" s="3" t="str">
        <f t="shared" si="8"/>
        <v/>
      </c>
      <c r="L59" s="3"/>
      <c r="M59" s="3" t="str">
        <f t="shared" si="1"/>
        <v/>
      </c>
      <c r="N59" s="3" t="str">
        <f t="shared" si="2"/>
        <v/>
      </c>
      <c r="O59" s="15" t="str">
        <f t="shared" si="3"/>
        <v/>
      </c>
      <c r="P59" s="2" t="str">
        <f t="shared" si="9"/>
        <v/>
      </c>
      <c r="Q59" s="2" t="str">
        <f t="shared" si="4"/>
        <v/>
      </c>
      <c r="R59" s="3" t="str">
        <f t="shared" si="5"/>
        <v/>
      </c>
      <c r="S59" s="2" t="str">
        <f t="shared" si="10"/>
        <v/>
      </c>
      <c r="T59" s="15">
        <f t="shared" si="6"/>
        <v>0</v>
      </c>
      <c r="U59" s="10"/>
      <c r="V59" s="2">
        <f t="shared" si="23"/>
        <v>35</v>
      </c>
      <c r="W59" s="2">
        <v>12</v>
      </c>
      <c r="X59" s="236" cm="1">
        <f t="array" ref="X59">SUMPRODUCT((info!$H$4:$H$58=Feuil1!$E59)*(info!$K$4:$K$58&lt;=Feuil1!$W59)*(info!$L$4:$L$58&gt;=Feuil1!$W59),info!$M$4:$M$58)</f>
        <v>1.84</v>
      </c>
      <c r="Y59" s="236" cm="1">
        <f t="array" ref="Y59">SUMPRODUCT((info!$H$4:$H$58=Feuil1!$E59)*(info!$K$4:$K$58&lt;=Feuil1!$W59)*(info!$L$4:$L$58&gt;=Feuil1!$W59),info!$N$4:$N$58)</f>
        <v>1.82</v>
      </c>
      <c r="Z59" s="83">
        <f t="shared" si="12"/>
        <v>22.080000000000002</v>
      </c>
      <c r="AA59" s="83">
        <f t="shared" si="13"/>
        <v>21.84</v>
      </c>
      <c r="AB59" s="76" t="s">
        <v>36</v>
      </c>
      <c r="AC59" s="77">
        <f>IF(+VLOOKUP($E59,info!$H:$Z,7,FALSE),+VLOOKUP($E59,info!$H:$Z,7,FALSE),"")</f>
        <v>1.78</v>
      </c>
      <c r="AD59" s="77">
        <f>IF(+VLOOKUP($E59,info!$H:$Z,8,FALSE),+VLOOKUP($E59,info!$H:$Z,8,FALSE),"")</f>
        <v>0.06</v>
      </c>
      <c r="AE59" s="77">
        <f t="shared" si="14"/>
        <v>5.34</v>
      </c>
      <c r="AF59" s="77">
        <f t="shared" si="15"/>
        <v>0.18</v>
      </c>
      <c r="AG59" s="64" t="s">
        <v>36</v>
      </c>
      <c r="AH59" s="58">
        <f>IF(+VLOOKUP($E59,info!$H:$Z,10,FALSE),+VLOOKUP($E59,info!$H:$Z,10,FALSE),"")</f>
        <v>1.84</v>
      </c>
      <c r="AI59" s="58">
        <f>IF(+VLOOKUP($E59,info!$H:$Z,11,FALSE),+VLOOKUP($E59,info!$H:$Z,11,FALSE),"")</f>
        <v>0.06</v>
      </c>
      <c r="AJ59" s="58">
        <f t="shared" si="16"/>
        <v>11.040000000000001</v>
      </c>
      <c r="AK59" s="58">
        <f t="shared" si="17"/>
        <v>0.36</v>
      </c>
      <c r="AL59" s="81" t="s">
        <v>36</v>
      </c>
      <c r="AM59" s="82">
        <f>IF(+VLOOKUP($E59,info!$H:$Z,13,FALSE),+VLOOKUP($E59,info!$H:$Z,13,FALSE),"")</f>
        <v>1.84</v>
      </c>
      <c r="AN59" s="82">
        <f>IF(+VLOOKUP($E59,info!$H:$Z,14,FALSE),+VLOOKUP($E59,info!$H:$Z,14,FALSE),"")</f>
        <v>0.06</v>
      </c>
      <c r="AO59" s="82">
        <f t="shared" si="18"/>
        <v>27.6</v>
      </c>
      <c r="AP59" s="82">
        <f t="shared" si="19"/>
        <v>0.89999999999999991</v>
      </c>
      <c r="AQ59" s="79" t="s">
        <v>36</v>
      </c>
      <c r="AR59" s="80">
        <f>IF(+VLOOKUP($E59,info!$H:$Z,16,FALSE),+VLOOKUP($E59,info!$H:$Z,16,FALSE),"")</f>
        <v>1.84</v>
      </c>
      <c r="AS59" s="80">
        <f>IF(+VLOOKUP($E59,info!$H:$Z,17,FALSE),+VLOOKUP($E59,info!$H:$Z,17,FALSE),"")</f>
        <v>0.06</v>
      </c>
      <c r="AT59" s="80">
        <f t="shared" si="20"/>
        <v>4.4160000000000004</v>
      </c>
      <c r="AU59" s="80">
        <f t="shared" si="21"/>
        <v>0.14399999999999999</v>
      </c>
      <c r="AV59" s="57"/>
      <c r="AW59" s="57"/>
      <c r="AX59" s="57"/>
      <c r="AY59" s="57"/>
      <c r="AZ59" s="57"/>
      <c r="BA59" s="57"/>
      <c r="BB59" s="57"/>
    </row>
    <row r="60" spans="1:54" x14ac:dyDescent="0.25">
      <c r="A60" s="15" t="s">
        <v>36</v>
      </c>
      <c r="B60" s="3" t="s">
        <v>151</v>
      </c>
      <c r="C60" s="56" t="str">
        <f>+VLOOKUP(E60,info!H:I,2,FALSE)</f>
        <v>Armado</v>
      </c>
      <c r="D60" s="16" t="str">
        <f t="shared" si="22"/>
        <v>00-00-00</v>
      </c>
      <c r="E60" s="69" t="s">
        <v>55</v>
      </c>
      <c r="F60" s="17" t="s">
        <v>158</v>
      </c>
      <c r="G60" s="17" t="s">
        <v>56</v>
      </c>
      <c r="H60" s="17"/>
      <c r="I60" s="17"/>
      <c r="J60" s="4" t="str">
        <f t="shared" si="7"/>
        <v/>
      </c>
      <c r="K60" s="3" t="str">
        <f t="shared" si="8"/>
        <v/>
      </c>
      <c r="L60" s="3"/>
      <c r="M60" s="3" t="str">
        <f t="shared" si="1"/>
        <v/>
      </c>
      <c r="N60" s="3" t="str">
        <f t="shared" si="2"/>
        <v/>
      </c>
      <c r="O60" s="15" t="str">
        <f t="shared" si="3"/>
        <v/>
      </c>
      <c r="P60" s="2" t="str">
        <f t="shared" si="9"/>
        <v/>
      </c>
      <c r="Q60" s="2" t="str">
        <f t="shared" si="4"/>
        <v/>
      </c>
      <c r="R60" s="3" t="str">
        <f t="shared" si="5"/>
        <v/>
      </c>
      <c r="S60" s="2" t="str">
        <f t="shared" si="10"/>
        <v/>
      </c>
      <c r="T60" s="15">
        <f t="shared" si="6"/>
        <v>0</v>
      </c>
      <c r="U60" s="10"/>
      <c r="V60" s="2">
        <f t="shared" si="23"/>
        <v>35</v>
      </c>
      <c r="W60" s="2">
        <v>12</v>
      </c>
      <c r="X60" s="236" cm="1">
        <f t="array" ref="X60">SUMPRODUCT((info!$H$4:$H$58=Feuil1!$E60)*(info!$K$4:$K$58&lt;=Feuil1!$W60)*(info!$L$4:$L$58&gt;=Feuil1!$W60),info!$M$4:$M$58)</f>
        <v>0</v>
      </c>
      <c r="Y60" s="236" cm="1">
        <f t="array" ref="Y60">SUMPRODUCT((info!$H$4:$H$58=Feuil1!$E60)*(info!$K$4:$K$58&lt;=Feuil1!$W60)*(info!$L$4:$L$58&gt;=Feuil1!$W60),info!$N$4:$N$58)</f>
        <v>0</v>
      </c>
      <c r="Z60" s="83">
        <f t="shared" si="12"/>
        <v>0</v>
      </c>
      <c r="AA60" s="83">
        <f t="shared" si="13"/>
        <v>0</v>
      </c>
      <c r="AB60" s="76" t="s">
        <v>36</v>
      </c>
      <c r="AC60" s="77" t="str">
        <f>IF(+VLOOKUP($E60,info!$H:$Z,7,FALSE),+VLOOKUP($E60,info!$H:$Z,7,FALSE),"")</f>
        <v/>
      </c>
      <c r="AD60" s="77" t="str">
        <f>IF(+VLOOKUP($E60,info!$H:$Z,8,FALSE),+VLOOKUP($E60,info!$H:$Z,8,FALSE),"")</f>
        <v/>
      </c>
      <c r="AE60" s="77" t="str">
        <f t="shared" si="14"/>
        <v/>
      </c>
      <c r="AF60" s="77" t="str">
        <f t="shared" si="15"/>
        <v/>
      </c>
      <c r="AG60" s="64" t="s">
        <v>36</v>
      </c>
      <c r="AH60" s="58" t="str">
        <f>IF(+VLOOKUP($E60,info!$H:$Z,10,FALSE),+VLOOKUP($E60,info!$H:$Z,10,FALSE),"")</f>
        <v/>
      </c>
      <c r="AI60" s="58" t="str">
        <f>IF(+VLOOKUP($E60,info!$H:$Z,11,FALSE),+VLOOKUP($E60,info!$H:$Z,11,FALSE),"")</f>
        <v/>
      </c>
      <c r="AJ60" s="58" t="str">
        <f t="shared" si="16"/>
        <v/>
      </c>
      <c r="AK60" s="58" t="str">
        <f t="shared" si="17"/>
        <v/>
      </c>
      <c r="AL60" s="81" t="s">
        <v>36</v>
      </c>
      <c r="AM60" s="82" t="str">
        <f>IF(+VLOOKUP($E60,info!$H:$Z,13,FALSE),+VLOOKUP($E60,info!$H:$Z,13,FALSE),"")</f>
        <v/>
      </c>
      <c r="AN60" s="82" t="str">
        <f>IF(+VLOOKUP($E60,info!$H:$Z,14,FALSE),+VLOOKUP($E60,info!$H:$Z,14,FALSE),"")</f>
        <v/>
      </c>
      <c r="AO60" s="82" t="str">
        <f t="shared" si="18"/>
        <v/>
      </c>
      <c r="AP60" s="82" t="str">
        <f t="shared" si="19"/>
        <v/>
      </c>
      <c r="AQ60" s="79" t="s">
        <v>36</v>
      </c>
      <c r="AR60" s="80" t="str">
        <f>IF(+VLOOKUP($E60,info!$H:$Z,16,FALSE),+VLOOKUP($E60,info!$H:$Z,16,FALSE),"")</f>
        <v/>
      </c>
      <c r="AS60" s="80" t="str">
        <f>IF(+VLOOKUP($E60,info!$H:$Z,17,FALSE),+VLOOKUP($E60,info!$H:$Z,17,FALSE),"")</f>
        <v/>
      </c>
      <c r="AT60" s="80" t="str">
        <f t="shared" si="20"/>
        <v/>
      </c>
      <c r="AU60" s="80" t="str">
        <f t="shared" si="21"/>
        <v/>
      </c>
      <c r="AV60" s="57"/>
      <c r="AW60" s="57"/>
      <c r="AX60" s="57"/>
      <c r="AY60" s="57"/>
      <c r="AZ60" s="57"/>
      <c r="BA60" s="57"/>
      <c r="BB60" s="57"/>
    </row>
    <row r="61" spans="1:54" x14ac:dyDescent="0.25">
      <c r="A61" s="15" t="s">
        <v>36</v>
      </c>
      <c r="B61" s="3" t="s">
        <v>151</v>
      </c>
      <c r="C61" s="56" t="str">
        <f>+VLOOKUP(E61,info!H:I,2,FALSE)</f>
        <v>Armado</v>
      </c>
      <c r="D61" s="16" t="str">
        <f t="shared" si="22"/>
        <v>00-00-00</v>
      </c>
      <c r="E61" s="69" t="s">
        <v>55</v>
      </c>
      <c r="F61" s="17" t="s">
        <v>158</v>
      </c>
      <c r="G61" s="17" t="s">
        <v>56</v>
      </c>
      <c r="H61" s="17"/>
      <c r="I61" s="17"/>
      <c r="J61" s="4" t="str">
        <f t="shared" si="7"/>
        <v/>
      </c>
      <c r="K61" s="3" t="str">
        <f t="shared" si="8"/>
        <v/>
      </c>
      <c r="L61" s="3"/>
      <c r="M61" s="3" t="str">
        <f t="shared" si="1"/>
        <v/>
      </c>
      <c r="N61" s="3" t="str">
        <f t="shared" si="2"/>
        <v/>
      </c>
      <c r="O61" s="15" t="str">
        <f t="shared" si="3"/>
        <v/>
      </c>
      <c r="P61" s="2" t="str">
        <f t="shared" si="9"/>
        <v/>
      </c>
      <c r="Q61" s="2" t="str">
        <f t="shared" si="4"/>
        <v/>
      </c>
      <c r="R61" s="3" t="str">
        <f t="shared" si="5"/>
        <v/>
      </c>
      <c r="S61" s="2" t="str">
        <f t="shared" si="10"/>
        <v/>
      </c>
      <c r="T61" s="15">
        <f t="shared" si="6"/>
        <v>0</v>
      </c>
      <c r="U61" s="10"/>
      <c r="V61" s="2">
        <f t="shared" si="23"/>
        <v>35</v>
      </c>
      <c r="W61" s="2">
        <v>12</v>
      </c>
      <c r="X61" s="236" cm="1">
        <f t="array" ref="X61">SUMPRODUCT((info!$H$4:$H$58=Feuil1!$E61)*(info!$K$4:$K$58&lt;=Feuil1!$W61)*(info!$L$4:$L$58&gt;=Feuil1!$W61),info!$M$4:$M$58)</f>
        <v>0</v>
      </c>
      <c r="Y61" s="236" cm="1">
        <f t="array" ref="Y61">SUMPRODUCT((info!$H$4:$H$58=Feuil1!$E61)*(info!$K$4:$K$58&lt;=Feuil1!$W61)*(info!$L$4:$L$58&gt;=Feuil1!$W61),info!$N$4:$N$58)</f>
        <v>0</v>
      </c>
      <c r="Z61" s="83">
        <f>IFERROR(+$W61*X61,"")</f>
        <v>0</v>
      </c>
      <c r="AA61" s="83">
        <f t="shared" si="13"/>
        <v>0</v>
      </c>
      <c r="AB61" s="76" t="s">
        <v>36</v>
      </c>
      <c r="AC61" s="77" t="str">
        <f>IF(+VLOOKUP($E61,info!$H:$Z,7,FALSE),+VLOOKUP($E61,info!$H:$Z,7,FALSE),"")</f>
        <v/>
      </c>
      <c r="AD61" s="77" t="str">
        <f>IF(+VLOOKUP($E61,info!$H:$Z,8,FALSE),+VLOOKUP($E61,info!$H:$Z,8,FALSE),"")</f>
        <v/>
      </c>
      <c r="AE61" s="77" t="str">
        <f t="shared" si="14"/>
        <v/>
      </c>
      <c r="AF61" s="77" t="str">
        <f t="shared" si="15"/>
        <v/>
      </c>
      <c r="AG61" s="64" t="s">
        <v>36</v>
      </c>
      <c r="AH61" s="58" t="str">
        <f>IF(+VLOOKUP($E61,info!$H:$Z,10,FALSE),+VLOOKUP($E61,info!$H:$Z,10,FALSE),"")</f>
        <v/>
      </c>
      <c r="AI61" s="58" t="str">
        <f>IF(+VLOOKUP($E61,info!$H:$Z,11,FALSE),+VLOOKUP($E61,info!$H:$Z,11,FALSE),"")</f>
        <v/>
      </c>
      <c r="AJ61" s="58" t="str">
        <f t="shared" si="16"/>
        <v/>
      </c>
      <c r="AK61" s="58" t="str">
        <f t="shared" si="17"/>
        <v/>
      </c>
      <c r="AL61" s="81" t="s">
        <v>36</v>
      </c>
      <c r="AM61" s="82" t="str">
        <f>IF(+VLOOKUP($E61,info!$H:$Z,13,FALSE),+VLOOKUP($E61,info!$H:$Z,13,FALSE),"")</f>
        <v/>
      </c>
      <c r="AN61" s="82" t="str">
        <f>IF(+VLOOKUP($E61,info!$H:$Z,14,FALSE),+VLOOKUP($E61,info!$H:$Z,14,FALSE),"")</f>
        <v/>
      </c>
      <c r="AO61" s="82" t="str">
        <f t="shared" si="18"/>
        <v/>
      </c>
      <c r="AP61" s="82" t="str">
        <f t="shared" si="19"/>
        <v/>
      </c>
      <c r="AQ61" s="79" t="s">
        <v>36</v>
      </c>
      <c r="AR61" s="80" t="str">
        <f>IF(+VLOOKUP($E61,info!$H:$Z,16,FALSE),+VLOOKUP($E61,info!$H:$Z,16,FALSE),"")</f>
        <v/>
      </c>
      <c r="AS61" s="80" t="str">
        <f>IF(+VLOOKUP($E61,info!$H:$Z,17,FALSE),+VLOOKUP($E61,info!$H:$Z,17,FALSE),"")</f>
        <v/>
      </c>
      <c r="AT61" s="80" t="str">
        <f t="shared" si="20"/>
        <v/>
      </c>
      <c r="AU61" s="80" t="str">
        <f t="shared" si="21"/>
        <v/>
      </c>
      <c r="AV61" s="57"/>
      <c r="AW61" s="57"/>
      <c r="AX61" s="57"/>
      <c r="AY61" s="57"/>
      <c r="AZ61" s="57"/>
      <c r="BA61" s="57"/>
      <c r="BB61" s="57"/>
    </row>
    <row r="62" spans="1:54" x14ac:dyDescent="0.25">
      <c r="A62" s="15" t="s">
        <v>36</v>
      </c>
      <c r="B62" s="3" t="s">
        <v>151</v>
      </c>
      <c r="C62" s="56" t="str">
        <f>+VLOOKUP(E62,info!H:I,2,FALSE)</f>
        <v>Armado</v>
      </c>
      <c r="D62" s="16" t="str">
        <f t="shared" si="22"/>
        <v>00-00-00</v>
      </c>
      <c r="E62" s="69" t="s">
        <v>55</v>
      </c>
      <c r="F62" s="17" t="s">
        <v>158</v>
      </c>
      <c r="G62" s="17" t="s">
        <v>56</v>
      </c>
      <c r="H62" s="17"/>
      <c r="I62" s="17"/>
      <c r="J62" s="4" t="str">
        <f t="shared" si="7"/>
        <v/>
      </c>
      <c r="K62" s="3" t="str">
        <f t="shared" si="8"/>
        <v/>
      </c>
      <c r="L62" s="3"/>
      <c r="M62" s="3" t="str">
        <f t="shared" si="1"/>
        <v/>
      </c>
      <c r="N62" s="3" t="str">
        <f t="shared" si="2"/>
        <v/>
      </c>
      <c r="O62" s="15" t="str">
        <f t="shared" si="3"/>
        <v/>
      </c>
      <c r="P62" s="2" t="str">
        <f t="shared" si="9"/>
        <v/>
      </c>
      <c r="Q62" s="2" t="str">
        <f t="shared" si="4"/>
        <v/>
      </c>
      <c r="R62" s="3" t="str">
        <f t="shared" si="5"/>
        <v/>
      </c>
      <c r="S62" s="2" t="str">
        <f t="shared" si="10"/>
        <v/>
      </c>
      <c r="T62" s="15">
        <f t="shared" si="6"/>
        <v>0</v>
      </c>
      <c r="U62" s="10"/>
      <c r="V62" s="2">
        <f t="shared" si="23"/>
        <v>35</v>
      </c>
      <c r="W62" s="2">
        <v>12</v>
      </c>
      <c r="X62" s="236" cm="1">
        <f t="array" ref="X62">SUMPRODUCT((info!$H$4:$H$58=Feuil1!$E62)*(info!$K$4:$K$58&lt;=Feuil1!$W62)*(info!$L$4:$L$58&gt;=Feuil1!$W62),info!$M$4:$M$58)</f>
        <v>0</v>
      </c>
      <c r="Y62" s="236" cm="1">
        <f t="array" ref="Y62">SUMPRODUCT((info!$H$4:$H$58=Feuil1!$E62)*(info!$K$4:$K$58&lt;=Feuil1!$W62)*(info!$L$4:$L$58&gt;=Feuil1!$W62),info!$N$4:$N$58)</f>
        <v>0</v>
      </c>
      <c r="Z62" s="83">
        <f t="shared" si="12"/>
        <v>0</v>
      </c>
      <c r="AA62" s="83">
        <f t="shared" si="13"/>
        <v>0</v>
      </c>
      <c r="AB62" s="76" t="s">
        <v>36</v>
      </c>
      <c r="AC62" s="77" t="str">
        <f>IF(+VLOOKUP($E62,info!$H:$Z,7,FALSE),+VLOOKUP($E62,info!$H:$Z,7,FALSE),"")</f>
        <v/>
      </c>
      <c r="AD62" s="77" t="str">
        <f>IF(+VLOOKUP($E62,info!$H:$Z,8,FALSE),+VLOOKUP($E62,info!$H:$Z,8,FALSE),"")</f>
        <v/>
      </c>
      <c r="AE62" s="77" t="str">
        <f t="shared" si="14"/>
        <v/>
      </c>
      <c r="AF62" s="77" t="str">
        <f t="shared" si="15"/>
        <v/>
      </c>
      <c r="AG62" s="64" t="s">
        <v>36</v>
      </c>
      <c r="AH62" s="58" t="str">
        <f>IF(+VLOOKUP($E62,info!$H:$Z,10,FALSE),+VLOOKUP($E62,info!$H:$Z,10,FALSE),"")</f>
        <v/>
      </c>
      <c r="AI62" s="58" t="str">
        <f>IF(+VLOOKUP($E62,info!$H:$Z,11,FALSE),+VLOOKUP($E62,info!$H:$Z,11,FALSE),"")</f>
        <v/>
      </c>
      <c r="AJ62" s="58" t="str">
        <f t="shared" si="16"/>
        <v/>
      </c>
      <c r="AK62" s="58" t="str">
        <f t="shared" si="17"/>
        <v/>
      </c>
      <c r="AL62" s="81" t="s">
        <v>36</v>
      </c>
      <c r="AM62" s="82" t="str">
        <f>IF(+VLOOKUP($E62,info!$H:$Z,13,FALSE),+VLOOKUP($E62,info!$H:$Z,13,FALSE),"")</f>
        <v/>
      </c>
      <c r="AN62" s="82" t="str">
        <f>IF(+VLOOKUP($E62,info!$H:$Z,14,FALSE),+VLOOKUP($E62,info!$H:$Z,14,FALSE),"")</f>
        <v/>
      </c>
      <c r="AO62" s="82" t="str">
        <f t="shared" si="18"/>
        <v/>
      </c>
      <c r="AP62" s="82" t="str">
        <f t="shared" si="19"/>
        <v/>
      </c>
      <c r="AQ62" s="79" t="s">
        <v>36</v>
      </c>
      <c r="AR62" s="80" t="str">
        <f>IF(+VLOOKUP($E62,info!$H:$Z,16,FALSE),+VLOOKUP($E62,info!$H:$Z,16,FALSE),"")</f>
        <v/>
      </c>
      <c r="AS62" s="80" t="str">
        <f>IF(+VLOOKUP($E62,info!$H:$Z,17,FALSE),+VLOOKUP($E62,info!$H:$Z,17,FALSE),"")</f>
        <v/>
      </c>
      <c r="AT62" s="80" t="str">
        <f t="shared" si="20"/>
        <v/>
      </c>
      <c r="AU62" s="80" t="str">
        <f t="shared" si="21"/>
        <v/>
      </c>
      <c r="AV62" s="57"/>
      <c r="AW62" s="57"/>
      <c r="AX62" s="57"/>
      <c r="AY62" s="57"/>
      <c r="AZ62" s="57"/>
      <c r="BA62" s="57"/>
      <c r="BB62" s="57"/>
    </row>
    <row r="63" spans="1:54" x14ac:dyDescent="0.25">
      <c r="A63" s="15" t="s">
        <v>36</v>
      </c>
      <c r="B63" s="3" t="s">
        <v>151</v>
      </c>
      <c r="C63" s="56" t="str">
        <f>+VLOOKUP(E63,info!H:I,2,FALSE)</f>
        <v>Armado</v>
      </c>
      <c r="D63" s="16" t="str">
        <f t="shared" si="22"/>
        <v>00-00-00</v>
      </c>
      <c r="E63" s="18" t="s">
        <v>156</v>
      </c>
      <c r="F63" s="17" t="s">
        <v>158</v>
      </c>
      <c r="G63" s="17" t="s">
        <v>56</v>
      </c>
      <c r="H63" s="17"/>
      <c r="I63" s="17"/>
      <c r="J63" s="4" t="str">
        <f t="shared" si="7"/>
        <v/>
      </c>
      <c r="K63" s="3" t="str">
        <f t="shared" si="8"/>
        <v/>
      </c>
      <c r="L63" s="3"/>
      <c r="M63" s="3" t="str">
        <f t="shared" si="1"/>
        <v/>
      </c>
      <c r="N63" s="3" t="str">
        <f t="shared" si="2"/>
        <v/>
      </c>
      <c r="O63" s="15" t="str">
        <f t="shared" si="3"/>
        <v/>
      </c>
      <c r="P63" s="2" t="str">
        <f t="shared" si="9"/>
        <v/>
      </c>
      <c r="Q63" s="2" t="str">
        <f t="shared" si="4"/>
        <v/>
      </c>
      <c r="R63" s="3" t="str">
        <f t="shared" si="5"/>
        <v/>
      </c>
      <c r="S63" s="2" t="str">
        <f t="shared" si="10"/>
        <v/>
      </c>
      <c r="T63" s="15">
        <f t="shared" si="6"/>
        <v>0</v>
      </c>
      <c r="U63" s="10"/>
      <c r="V63" s="2">
        <f t="shared" si="23"/>
        <v>35</v>
      </c>
      <c r="W63" s="2">
        <v>12</v>
      </c>
      <c r="X63" s="236" cm="1">
        <f t="array" ref="X63">SUMPRODUCT((info!$H$4:$H$58=Feuil1!$E63)*(info!$K$4:$K$58&lt;=Feuil1!$W63)*(info!$L$4:$L$58&gt;=Feuil1!$W63),info!$M$4:$M$58)</f>
        <v>1.79</v>
      </c>
      <c r="Y63" s="236" cm="1">
        <f t="array" ref="Y63">SUMPRODUCT((info!$H$4:$H$58=Feuil1!$E63)*(info!$K$4:$K$58&lt;=Feuil1!$W63)*(info!$L$4:$L$58&gt;=Feuil1!$W63),info!$N$4:$N$58)</f>
        <v>1.7</v>
      </c>
      <c r="Z63" s="83">
        <f t="shared" si="12"/>
        <v>21.48</v>
      </c>
      <c r="AA63" s="83">
        <f t="shared" si="13"/>
        <v>20.399999999999999</v>
      </c>
      <c r="AB63" s="76" t="s">
        <v>36</v>
      </c>
      <c r="AC63" s="77">
        <f>IF(+VLOOKUP($E63,info!$H:$Z,7,FALSE),+VLOOKUP($E63,info!$H:$Z,7,FALSE),"")</f>
        <v>1.7</v>
      </c>
      <c r="AD63" s="77" t="str">
        <f>IF(+VLOOKUP($E63,info!$H:$Z,8,FALSE),+VLOOKUP($E63,info!$H:$Z,8,FALSE),"")</f>
        <v/>
      </c>
      <c r="AE63" s="77">
        <f t="shared" si="14"/>
        <v>5.0999999999999996</v>
      </c>
      <c r="AF63" s="77" t="str">
        <f t="shared" si="15"/>
        <v/>
      </c>
      <c r="AG63" s="64" t="s">
        <v>36</v>
      </c>
      <c r="AH63" s="58">
        <f>IF(+VLOOKUP($E63,info!$H:$Z,10,FALSE),+VLOOKUP($E63,info!$H:$Z,10,FALSE),"")</f>
        <v>1.7</v>
      </c>
      <c r="AI63" s="58" t="str">
        <f>IF(+VLOOKUP($E63,info!$H:$Z,11,FALSE),+VLOOKUP($E63,info!$H:$Z,11,FALSE),"")</f>
        <v/>
      </c>
      <c r="AJ63" s="58">
        <f t="shared" si="16"/>
        <v>10.199999999999999</v>
      </c>
      <c r="AK63" s="58" t="str">
        <f t="shared" si="17"/>
        <v/>
      </c>
      <c r="AL63" s="81" t="s">
        <v>36</v>
      </c>
      <c r="AM63" s="82">
        <f>IF(+VLOOKUP($E63,info!$H:$Z,13,FALSE),+VLOOKUP($E63,info!$H:$Z,13,FALSE),"")</f>
        <v>1.7</v>
      </c>
      <c r="AN63" s="82" t="str">
        <f>IF(+VLOOKUP($E63,info!$H:$Z,14,FALSE),+VLOOKUP($E63,info!$H:$Z,14,FALSE),"")</f>
        <v/>
      </c>
      <c r="AO63" s="82">
        <f t="shared" si="18"/>
        <v>25.5</v>
      </c>
      <c r="AP63" s="82" t="str">
        <f t="shared" si="19"/>
        <v/>
      </c>
      <c r="AQ63" s="79" t="s">
        <v>36</v>
      </c>
      <c r="AR63" s="80">
        <f>IF(+VLOOKUP($E63,info!$H:$Z,16,FALSE),+VLOOKUP($E63,info!$H:$Z,16,FALSE),"")</f>
        <v>1.7</v>
      </c>
      <c r="AS63" s="80" t="str">
        <f>IF(+VLOOKUP($E63,info!$H:$Z,17,FALSE),+VLOOKUP($E63,info!$H:$Z,17,FALSE),"")</f>
        <v/>
      </c>
      <c r="AT63" s="80">
        <f t="shared" si="20"/>
        <v>4.08</v>
      </c>
      <c r="AU63" s="80" t="str">
        <f t="shared" si="21"/>
        <v/>
      </c>
      <c r="AV63" s="57"/>
      <c r="AW63" s="57"/>
      <c r="AX63" s="57"/>
      <c r="AY63" s="57"/>
      <c r="AZ63" s="57"/>
      <c r="BA63" s="57"/>
      <c r="BB63" s="57"/>
    </row>
    <row r="64" spans="1:54" x14ac:dyDescent="0.25">
      <c r="A64" s="15" t="s">
        <v>36</v>
      </c>
      <c r="B64" s="3" t="s">
        <v>151</v>
      </c>
      <c r="C64" s="56" t="str">
        <f>+VLOOKUP(E64,info!H:I,2,FALSE)</f>
        <v>-</v>
      </c>
      <c r="D64" s="16" t="str">
        <f t="shared" si="22"/>
        <v>00-00-00</v>
      </c>
      <c r="E64" s="65" t="s">
        <v>36</v>
      </c>
      <c r="F64" s="65" t="s">
        <v>36</v>
      </c>
      <c r="G64" s="65" t="s">
        <v>36</v>
      </c>
      <c r="H64" s="65" t="s">
        <v>36</v>
      </c>
      <c r="I64" s="65" t="s">
        <v>108</v>
      </c>
      <c r="J64" s="4" t="str">
        <f t="shared" si="7"/>
        <v>/</v>
      </c>
      <c r="K64" s="3" t="str">
        <f t="shared" si="8"/>
        <v/>
      </c>
      <c r="L64" s="3"/>
      <c r="M64" s="3" t="str">
        <f t="shared" si="1"/>
        <v/>
      </c>
      <c r="N64" s="3" t="str">
        <f t="shared" si="2"/>
        <v/>
      </c>
      <c r="O64" s="15" t="str">
        <f t="shared" si="3"/>
        <v/>
      </c>
      <c r="P64" s="2" t="str">
        <f t="shared" si="9"/>
        <v/>
      </c>
      <c r="Q64" s="2" t="str">
        <f t="shared" si="4"/>
        <v/>
      </c>
      <c r="R64" s="3" t="str">
        <f t="shared" si="5"/>
        <v/>
      </c>
      <c r="S64" s="2" t="str">
        <f t="shared" si="10"/>
        <v/>
      </c>
      <c r="T64" s="15">
        <f t="shared" si="6"/>
        <v>0</v>
      </c>
      <c r="U64" s="10"/>
      <c r="V64" s="2" t="str">
        <f t="shared" si="23"/>
        <v>/</v>
      </c>
      <c r="W64" s="2"/>
      <c r="X64" s="236" cm="1">
        <f t="array" ref="X64">SUMPRODUCT((info!$H$4:$H$58=Feuil1!$E64)*(info!$K$4:$K$58&lt;=Feuil1!$W64)*(info!$L$4:$L$58&gt;=Feuil1!$W64),info!$M$4:$M$58)</f>
        <v>0</v>
      </c>
      <c r="Y64" s="236" cm="1">
        <f t="array" ref="Y64">SUMPRODUCT((info!$H$4:$H$58=Feuil1!$E64)*(info!$K$4:$K$58&lt;=Feuil1!$W64)*(info!$L$4:$L$58&gt;=Feuil1!$W64),info!$N$4:$N$58)</f>
        <v>0</v>
      </c>
      <c r="Z64" s="83">
        <f t="shared" si="12"/>
        <v>0</v>
      </c>
      <c r="AA64" s="83">
        <f t="shared" si="13"/>
        <v>0</v>
      </c>
      <c r="AB64" s="76" t="s">
        <v>36</v>
      </c>
      <c r="AC64" s="77" t="str">
        <f>IF(+VLOOKUP($E64,info!$H:$Z,7,FALSE),+VLOOKUP($E64,info!$H:$Z,7,FALSE),"")</f>
        <v/>
      </c>
      <c r="AD64" s="77" t="str">
        <f>IF(+VLOOKUP($E64,info!$H:$Z,8,FALSE),+VLOOKUP($E64,info!$H:$Z,8,FALSE),"")</f>
        <v/>
      </c>
      <c r="AE64" s="77" t="str">
        <f t="shared" si="14"/>
        <v/>
      </c>
      <c r="AF64" s="77" t="str">
        <f t="shared" si="15"/>
        <v/>
      </c>
      <c r="AG64" s="64" t="s">
        <v>36</v>
      </c>
      <c r="AH64" s="58" t="str">
        <f>IF(+VLOOKUP($E64,info!$H:$Z,10,FALSE),+VLOOKUP($E64,info!$H:$Z,10,FALSE),"")</f>
        <v/>
      </c>
      <c r="AI64" s="58" t="str">
        <f>IF(+VLOOKUP($E64,info!$H:$Z,11,FALSE),+VLOOKUP($E64,info!$H:$Z,11,FALSE),"")</f>
        <v/>
      </c>
      <c r="AJ64" s="58" t="str">
        <f t="shared" si="16"/>
        <v/>
      </c>
      <c r="AK64" s="58" t="str">
        <f t="shared" si="17"/>
        <v/>
      </c>
      <c r="AL64" s="81" t="s">
        <v>36</v>
      </c>
      <c r="AM64" s="82" t="str">
        <f>IF(+VLOOKUP($E64,info!$H:$Z,13,FALSE),+VLOOKUP($E64,info!$H:$Z,13,FALSE),"")</f>
        <v/>
      </c>
      <c r="AN64" s="82" t="str">
        <f>IF(+VLOOKUP($E64,info!$H:$Z,14,FALSE),+VLOOKUP($E64,info!$H:$Z,14,FALSE),"")</f>
        <v/>
      </c>
      <c r="AO64" s="82" t="str">
        <f t="shared" si="18"/>
        <v/>
      </c>
      <c r="AP64" s="82" t="str">
        <f t="shared" si="19"/>
        <v/>
      </c>
      <c r="AQ64" s="79" t="s">
        <v>36</v>
      </c>
      <c r="AR64" s="80" t="str">
        <f>IF(+VLOOKUP($E64,info!$H:$Z,16,FALSE),+VLOOKUP($E64,info!$H:$Z,16,FALSE),"")</f>
        <v/>
      </c>
      <c r="AS64" s="80" t="str">
        <f>IF(+VLOOKUP($E64,info!$H:$Z,17,FALSE),+VLOOKUP($E64,info!$H:$Z,17,FALSE),"")</f>
        <v/>
      </c>
      <c r="AT64" s="80" t="str">
        <f t="shared" si="20"/>
        <v/>
      </c>
      <c r="AU64" s="80" t="str">
        <f t="shared" si="21"/>
        <v/>
      </c>
      <c r="AV64" s="57"/>
      <c r="AW64" s="57"/>
      <c r="AX64" s="57"/>
      <c r="AY64" s="57"/>
      <c r="AZ64" s="57"/>
      <c r="BA64" s="57"/>
      <c r="BB64" s="57"/>
    </row>
    <row r="65" spans="1:54" x14ac:dyDescent="0.25">
      <c r="A65" s="15" t="s">
        <v>36</v>
      </c>
      <c r="B65" s="3" t="s">
        <v>151</v>
      </c>
      <c r="C65" s="56" t="str">
        <f>+VLOOKUP(E65,info!H:I,2,FALSE)</f>
        <v>-</v>
      </c>
      <c r="D65" s="16" t="str">
        <f t="shared" si="22"/>
        <v>00-00-00</v>
      </c>
      <c r="E65" s="65" t="s">
        <v>36</v>
      </c>
      <c r="F65" s="65" t="s">
        <v>36</v>
      </c>
      <c r="G65" s="65" t="s">
        <v>36</v>
      </c>
      <c r="H65" s="65" t="s">
        <v>36</v>
      </c>
      <c r="I65" s="65" t="s">
        <v>108</v>
      </c>
      <c r="J65" s="4" t="str">
        <f t="shared" si="7"/>
        <v>/</v>
      </c>
      <c r="K65" s="3" t="str">
        <f t="shared" si="8"/>
        <v/>
      </c>
      <c r="L65" s="3"/>
      <c r="M65" s="3" t="str">
        <f t="shared" si="1"/>
        <v/>
      </c>
      <c r="N65" s="3" t="str">
        <f t="shared" si="2"/>
        <v/>
      </c>
      <c r="O65" s="15" t="str">
        <f t="shared" si="3"/>
        <v/>
      </c>
      <c r="P65" s="2" t="str">
        <f t="shared" si="9"/>
        <v/>
      </c>
      <c r="Q65" s="2" t="str">
        <f t="shared" si="4"/>
        <v/>
      </c>
      <c r="R65" s="3" t="str">
        <f t="shared" si="5"/>
        <v/>
      </c>
      <c r="S65" s="2" t="str">
        <f t="shared" si="10"/>
        <v/>
      </c>
      <c r="T65" s="15">
        <f t="shared" si="6"/>
        <v>0</v>
      </c>
      <c r="U65" s="10"/>
      <c r="V65" s="2" t="str">
        <f t="shared" si="23"/>
        <v>/</v>
      </c>
      <c r="W65" s="2"/>
      <c r="X65" s="236" cm="1">
        <f t="array" ref="X65">SUMPRODUCT((info!$H$4:$H$58=Feuil1!$E65)*(info!$K$4:$K$58&lt;=Feuil1!$W65)*(info!$L$4:$L$58&gt;=Feuil1!$W65),info!$M$4:$M$58)</f>
        <v>0</v>
      </c>
      <c r="Y65" s="236" cm="1">
        <f t="array" ref="Y65">SUMPRODUCT((info!$H$4:$H$58=Feuil1!$E65)*(info!$K$4:$K$58&lt;=Feuil1!$W65)*(info!$L$4:$L$58&gt;=Feuil1!$W65),info!$N$4:$N$58)</f>
        <v>0</v>
      </c>
      <c r="Z65" s="83">
        <f t="shared" si="12"/>
        <v>0</v>
      </c>
      <c r="AA65" s="83">
        <f t="shared" si="13"/>
        <v>0</v>
      </c>
      <c r="AB65" s="76" t="s">
        <v>36</v>
      </c>
      <c r="AC65" s="77" t="str">
        <f>IF(+VLOOKUP($E65,info!$H:$Z,7,FALSE),+VLOOKUP($E65,info!$H:$Z,7,FALSE),"")</f>
        <v/>
      </c>
      <c r="AD65" s="77" t="str">
        <f>IF(+VLOOKUP($E65,info!$H:$Z,8,FALSE),+VLOOKUP($E65,info!$H:$Z,8,FALSE),"")</f>
        <v/>
      </c>
      <c r="AE65" s="77" t="str">
        <f t="shared" si="14"/>
        <v/>
      </c>
      <c r="AF65" s="77" t="str">
        <f t="shared" si="15"/>
        <v/>
      </c>
      <c r="AG65" s="64" t="s">
        <v>36</v>
      </c>
      <c r="AH65" s="58" t="str">
        <f>IF(+VLOOKUP($E65,info!$H:$Z,10,FALSE),+VLOOKUP($E65,info!$H:$Z,10,FALSE),"")</f>
        <v/>
      </c>
      <c r="AI65" s="58" t="str">
        <f>IF(+VLOOKUP($E65,info!$H:$Z,11,FALSE),+VLOOKUP($E65,info!$H:$Z,11,FALSE),"")</f>
        <v/>
      </c>
      <c r="AJ65" s="58" t="str">
        <f t="shared" si="16"/>
        <v/>
      </c>
      <c r="AK65" s="58" t="str">
        <f t="shared" si="17"/>
        <v/>
      </c>
      <c r="AL65" s="81" t="s">
        <v>36</v>
      </c>
      <c r="AM65" s="82" t="str">
        <f>IF(+VLOOKUP($E65,info!$H:$Z,13,FALSE),+VLOOKUP($E65,info!$H:$Z,13,FALSE),"")</f>
        <v/>
      </c>
      <c r="AN65" s="82" t="str">
        <f>IF(+VLOOKUP($E65,info!$H:$Z,14,FALSE),+VLOOKUP($E65,info!$H:$Z,14,FALSE),"")</f>
        <v/>
      </c>
      <c r="AO65" s="82" t="str">
        <f t="shared" si="18"/>
        <v/>
      </c>
      <c r="AP65" s="82" t="str">
        <f t="shared" si="19"/>
        <v/>
      </c>
      <c r="AQ65" s="79" t="s">
        <v>36</v>
      </c>
      <c r="AR65" s="80" t="str">
        <f>IF(+VLOOKUP($E65,info!$H:$Z,16,FALSE),+VLOOKUP($E65,info!$H:$Z,16,FALSE),"")</f>
        <v/>
      </c>
      <c r="AS65" s="80" t="str">
        <f>IF(+VLOOKUP($E65,info!$H:$Z,17,FALSE),+VLOOKUP($E65,info!$H:$Z,17,FALSE),"")</f>
        <v/>
      </c>
      <c r="AT65" s="80" t="str">
        <f t="shared" si="20"/>
        <v/>
      </c>
      <c r="AU65" s="80" t="str">
        <f t="shared" si="21"/>
        <v/>
      </c>
      <c r="AV65" s="57"/>
      <c r="AW65" s="57"/>
      <c r="AX65" s="57"/>
      <c r="AY65" s="57"/>
      <c r="AZ65" s="57"/>
      <c r="BA65" s="57"/>
      <c r="BB65" s="57"/>
    </row>
    <row r="66" spans="1:54" x14ac:dyDescent="0.25">
      <c r="A66" s="15" t="s">
        <v>36</v>
      </c>
      <c r="B66" s="3" t="s">
        <v>151</v>
      </c>
      <c r="C66" s="56" t="str">
        <f>+VLOOKUP(E66,info!H:I,2,FALSE)</f>
        <v>-</v>
      </c>
      <c r="D66" s="16" t="str">
        <f t="shared" si="22"/>
        <v>00-00-00</v>
      </c>
      <c r="E66" s="65" t="s">
        <v>36</v>
      </c>
      <c r="F66" s="65" t="s">
        <v>36</v>
      </c>
      <c r="G66" s="65" t="s">
        <v>36</v>
      </c>
      <c r="H66" s="65" t="s">
        <v>36</v>
      </c>
      <c r="I66" s="65" t="s">
        <v>108</v>
      </c>
      <c r="J66" s="4" t="str">
        <f t="shared" si="7"/>
        <v>/</v>
      </c>
      <c r="K66" s="3" t="str">
        <f t="shared" si="8"/>
        <v/>
      </c>
      <c r="L66" s="3"/>
      <c r="M66" s="3" t="str">
        <f t="shared" si="1"/>
        <v/>
      </c>
      <c r="N66" s="3" t="str">
        <f t="shared" si="2"/>
        <v/>
      </c>
      <c r="O66" s="15" t="str">
        <f t="shared" si="3"/>
        <v/>
      </c>
      <c r="P66" s="2" t="str">
        <f t="shared" si="9"/>
        <v/>
      </c>
      <c r="Q66" s="2" t="str">
        <f t="shared" si="4"/>
        <v/>
      </c>
      <c r="R66" s="3" t="str">
        <f t="shared" si="5"/>
        <v/>
      </c>
      <c r="S66" s="2" t="str">
        <f t="shared" si="10"/>
        <v/>
      </c>
      <c r="T66" s="15">
        <f t="shared" si="6"/>
        <v>0</v>
      </c>
      <c r="U66" s="10"/>
      <c r="V66" s="2" t="str">
        <f t="shared" si="23"/>
        <v>/</v>
      </c>
      <c r="W66" s="2"/>
      <c r="X66" s="236" cm="1">
        <f t="array" ref="X66">SUMPRODUCT((info!$H$4:$H$58=Feuil1!$E66)*(info!$K$4:$K$58&lt;=Feuil1!$W66)*(info!$L$4:$L$58&gt;=Feuil1!$W66),info!$M$4:$M$58)</f>
        <v>0</v>
      </c>
      <c r="Y66" s="236" cm="1">
        <f t="array" ref="Y66">SUMPRODUCT((info!$H$4:$H$58=Feuil1!$E66)*(info!$K$4:$K$58&lt;=Feuil1!$W66)*(info!$L$4:$L$58&gt;=Feuil1!$W66),info!$N$4:$N$58)</f>
        <v>0</v>
      </c>
      <c r="Z66" s="83">
        <f t="shared" si="12"/>
        <v>0</v>
      </c>
      <c r="AA66" s="83">
        <f t="shared" si="13"/>
        <v>0</v>
      </c>
      <c r="AB66" s="76" t="s">
        <v>36</v>
      </c>
      <c r="AC66" s="77" t="str">
        <f>IF(+VLOOKUP($E66,info!$H:$Z,7,FALSE),+VLOOKUP($E66,info!$H:$Z,7,FALSE),"")</f>
        <v/>
      </c>
      <c r="AD66" s="77" t="str">
        <f>IF(+VLOOKUP($E66,info!$H:$Z,8,FALSE),+VLOOKUP($E66,info!$H:$Z,8,FALSE),"")</f>
        <v/>
      </c>
      <c r="AE66" s="77" t="str">
        <f t="shared" si="14"/>
        <v/>
      </c>
      <c r="AF66" s="77" t="str">
        <f t="shared" si="15"/>
        <v/>
      </c>
      <c r="AG66" s="64" t="s">
        <v>36</v>
      </c>
      <c r="AH66" s="58" t="str">
        <f>IF(+VLOOKUP($E66,info!$H:$Z,10,FALSE),+VLOOKUP($E66,info!$H:$Z,10,FALSE),"")</f>
        <v/>
      </c>
      <c r="AI66" s="58" t="str">
        <f>IF(+VLOOKUP($E66,info!$H:$Z,11,FALSE),+VLOOKUP($E66,info!$H:$Z,11,FALSE),"")</f>
        <v/>
      </c>
      <c r="AJ66" s="58" t="str">
        <f t="shared" si="16"/>
        <v/>
      </c>
      <c r="AK66" s="58" t="str">
        <f t="shared" si="17"/>
        <v/>
      </c>
      <c r="AL66" s="81" t="s">
        <v>36</v>
      </c>
      <c r="AM66" s="82" t="str">
        <f>IF(+VLOOKUP($E66,info!$H:$Z,13,FALSE),+VLOOKUP($E66,info!$H:$Z,13,FALSE),"")</f>
        <v/>
      </c>
      <c r="AN66" s="82" t="str">
        <f>IF(+VLOOKUP($E66,info!$H:$Z,14,FALSE),+VLOOKUP($E66,info!$H:$Z,14,FALSE),"")</f>
        <v/>
      </c>
      <c r="AO66" s="82" t="str">
        <f t="shared" si="18"/>
        <v/>
      </c>
      <c r="AP66" s="82" t="str">
        <f t="shared" si="19"/>
        <v/>
      </c>
      <c r="AQ66" s="79" t="s">
        <v>36</v>
      </c>
      <c r="AR66" s="80" t="str">
        <f>IF(+VLOOKUP($E66,info!$H:$Z,16,FALSE),+VLOOKUP($E66,info!$H:$Z,16,FALSE),"")</f>
        <v/>
      </c>
      <c r="AS66" s="80" t="str">
        <f>IF(+VLOOKUP($E66,info!$H:$Z,17,FALSE),+VLOOKUP($E66,info!$H:$Z,17,FALSE),"")</f>
        <v/>
      </c>
      <c r="AT66" s="80" t="str">
        <f t="shared" si="20"/>
        <v/>
      </c>
      <c r="AU66" s="80" t="str">
        <f t="shared" si="21"/>
        <v/>
      </c>
      <c r="AV66" s="57"/>
      <c r="AW66" s="57"/>
      <c r="AX66" s="57"/>
      <c r="AY66" s="57"/>
      <c r="AZ66" s="57"/>
      <c r="BA66" s="57"/>
      <c r="BB66" s="57"/>
    </row>
    <row r="67" spans="1:54" x14ac:dyDescent="0.25">
      <c r="A67" s="15" t="s">
        <v>36</v>
      </c>
      <c r="B67" s="3" t="s">
        <v>151</v>
      </c>
      <c r="C67" s="56" t="str">
        <f>+VLOOKUP(E67,info!H:I,2,FALSE)</f>
        <v>-</v>
      </c>
      <c r="D67" s="16" t="str">
        <f t="shared" si="22"/>
        <v>00-00-00</v>
      </c>
      <c r="E67" s="65" t="s">
        <v>36</v>
      </c>
      <c r="F67" s="65" t="s">
        <v>36</v>
      </c>
      <c r="G67" s="65" t="s">
        <v>36</v>
      </c>
      <c r="H67" s="65" t="s">
        <v>36</v>
      </c>
      <c r="I67" s="65" t="s">
        <v>108</v>
      </c>
      <c r="J67" s="4" t="str">
        <f t="shared" si="7"/>
        <v>/</v>
      </c>
      <c r="K67" s="3" t="str">
        <f t="shared" si="8"/>
        <v/>
      </c>
      <c r="L67" s="3"/>
      <c r="M67" s="3" t="str">
        <f t="shared" si="1"/>
        <v/>
      </c>
      <c r="N67" s="3" t="str">
        <f t="shared" si="2"/>
        <v/>
      </c>
      <c r="O67" s="15" t="str">
        <f t="shared" si="3"/>
        <v/>
      </c>
      <c r="P67" s="2" t="str">
        <f t="shared" si="9"/>
        <v/>
      </c>
      <c r="Q67" s="2" t="str">
        <f t="shared" si="4"/>
        <v/>
      </c>
      <c r="R67" s="3" t="str">
        <f t="shared" si="5"/>
        <v/>
      </c>
      <c r="S67" s="2" t="str">
        <f t="shared" si="10"/>
        <v/>
      </c>
      <c r="T67" s="15">
        <f t="shared" si="6"/>
        <v>0</v>
      </c>
      <c r="U67" s="10"/>
      <c r="V67" s="2" t="str">
        <f t="shared" si="23"/>
        <v>/</v>
      </c>
      <c r="W67" s="2"/>
      <c r="X67" s="236" cm="1">
        <f t="array" ref="X67">SUMPRODUCT((info!$H$4:$H$58=Feuil1!$E67)*(info!$K$4:$K$58&lt;=Feuil1!$W67)*(info!$L$4:$L$58&gt;=Feuil1!$W67),info!$M$4:$M$58)</f>
        <v>0</v>
      </c>
      <c r="Y67" s="236" cm="1">
        <f t="array" ref="Y67">SUMPRODUCT((info!$H$4:$H$58=Feuil1!$E67)*(info!$K$4:$K$58&lt;=Feuil1!$W67)*(info!$L$4:$L$58&gt;=Feuil1!$W67),info!$N$4:$N$58)</f>
        <v>0</v>
      </c>
      <c r="Z67" s="83">
        <f t="shared" si="12"/>
        <v>0</v>
      </c>
      <c r="AA67" s="83">
        <f t="shared" si="13"/>
        <v>0</v>
      </c>
      <c r="AB67" s="76" t="s">
        <v>36</v>
      </c>
      <c r="AC67" s="77" t="str">
        <f>IF(+VLOOKUP($E67,info!$H:$Z,7,FALSE),+VLOOKUP($E67,info!$H:$Z,7,FALSE),"")</f>
        <v/>
      </c>
      <c r="AD67" s="77" t="str">
        <f>IF(+VLOOKUP($E67,info!$H:$Z,8,FALSE),+VLOOKUP($E67,info!$H:$Z,8,FALSE),"")</f>
        <v/>
      </c>
      <c r="AE67" s="77" t="str">
        <f t="shared" si="14"/>
        <v/>
      </c>
      <c r="AF67" s="77" t="str">
        <f t="shared" si="15"/>
        <v/>
      </c>
      <c r="AG67" s="64" t="s">
        <v>36</v>
      </c>
      <c r="AH67" s="58" t="str">
        <f>IF(+VLOOKUP($E67,info!$H:$Z,10,FALSE),+VLOOKUP($E67,info!$H:$Z,10,FALSE),"")</f>
        <v/>
      </c>
      <c r="AI67" s="58" t="str">
        <f>IF(+VLOOKUP($E67,info!$H:$Z,11,FALSE),+VLOOKUP($E67,info!$H:$Z,11,FALSE),"")</f>
        <v/>
      </c>
      <c r="AJ67" s="58" t="str">
        <f t="shared" si="16"/>
        <v/>
      </c>
      <c r="AK67" s="58" t="str">
        <f t="shared" si="17"/>
        <v/>
      </c>
      <c r="AL67" s="81" t="s">
        <v>36</v>
      </c>
      <c r="AM67" s="82" t="str">
        <f>IF(+VLOOKUP($E67,info!$H:$Z,13,FALSE),+VLOOKUP($E67,info!$H:$Z,13,FALSE),"")</f>
        <v/>
      </c>
      <c r="AN67" s="82" t="str">
        <f>IF(+VLOOKUP($E67,info!$H:$Z,14,FALSE),+VLOOKUP($E67,info!$H:$Z,14,FALSE),"")</f>
        <v/>
      </c>
      <c r="AO67" s="82" t="str">
        <f t="shared" si="18"/>
        <v/>
      </c>
      <c r="AP67" s="82" t="str">
        <f t="shared" si="19"/>
        <v/>
      </c>
      <c r="AQ67" s="79" t="s">
        <v>36</v>
      </c>
      <c r="AR67" s="80" t="str">
        <f>IF(+VLOOKUP($E67,info!$H:$Z,16,FALSE),+VLOOKUP($E67,info!$H:$Z,16,FALSE),"")</f>
        <v/>
      </c>
      <c r="AS67" s="80" t="str">
        <f>IF(+VLOOKUP($E67,info!$H:$Z,17,FALSE),+VLOOKUP($E67,info!$H:$Z,17,FALSE),"")</f>
        <v/>
      </c>
      <c r="AT67" s="80" t="str">
        <f t="shared" si="20"/>
        <v/>
      </c>
      <c r="AU67" s="80" t="str">
        <f t="shared" si="21"/>
        <v/>
      </c>
      <c r="AV67" s="57"/>
      <c r="AW67" s="57"/>
      <c r="AX67" s="57"/>
      <c r="AY67" s="57"/>
      <c r="AZ67" s="57"/>
      <c r="BA67" s="57"/>
      <c r="BB67" s="57"/>
    </row>
    <row r="68" spans="1:54" x14ac:dyDescent="0.25">
      <c r="A68" s="15" t="s">
        <v>36</v>
      </c>
      <c r="B68" s="3" t="s">
        <v>151</v>
      </c>
      <c r="C68" s="56" t="str">
        <f>+VLOOKUP(E68,info!H:I,2,FALSE)</f>
        <v>-</v>
      </c>
      <c r="D68" s="16" t="str">
        <f t="shared" si="22"/>
        <v>00-00-00</v>
      </c>
      <c r="E68" s="65" t="s">
        <v>36</v>
      </c>
      <c r="F68" s="65" t="s">
        <v>36</v>
      </c>
      <c r="G68" s="65" t="s">
        <v>36</v>
      </c>
      <c r="H68" s="65" t="s">
        <v>36</v>
      </c>
      <c r="I68" s="65" t="s">
        <v>108</v>
      </c>
      <c r="J68" s="4" t="str">
        <f t="shared" si="7"/>
        <v>/</v>
      </c>
      <c r="K68" s="3" t="str">
        <f t="shared" si="8"/>
        <v/>
      </c>
      <c r="L68" s="3"/>
      <c r="M68" s="3" t="str">
        <f t="shared" si="1"/>
        <v/>
      </c>
      <c r="N68" s="3" t="str">
        <f t="shared" si="2"/>
        <v/>
      </c>
      <c r="O68" s="15" t="str">
        <f t="shared" si="3"/>
        <v/>
      </c>
      <c r="P68" s="2" t="str">
        <f t="shared" si="9"/>
        <v/>
      </c>
      <c r="Q68" s="2" t="str">
        <f t="shared" si="4"/>
        <v/>
      </c>
      <c r="R68" s="3" t="str">
        <f t="shared" si="5"/>
        <v/>
      </c>
      <c r="S68" s="2" t="str">
        <f t="shared" si="10"/>
        <v/>
      </c>
      <c r="T68" s="15">
        <f t="shared" si="6"/>
        <v>0</v>
      </c>
      <c r="U68" s="10"/>
      <c r="V68" s="2" t="str">
        <f t="shared" si="23"/>
        <v>/</v>
      </c>
      <c r="W68" s="2"/>
      <c r="X68" s="236" cm="1">
        <f t="array" ref="X68">SUMPRODUCT((info!$H$4:$H$58=Feuil1!$E68)*(info!$K$4:$K$58&lt;=Feuil1!$W68)*(info!$L$4:$L$58&gt;=Feuil1!$W68),info!$M$4:$M$58)</f>
        <v>0</v>
      </c>
      <c r="Y68" s="236" cm="1">
        <f t="array" ref="Y68">SUMPRODUCT((info!$H$4:$H$58=Feuil1!$E68)*(info!$K$4:$K$58&lt;=Feuil1!$W68)*(info!$L$4:$L$58&gt;=Feuil1!$W68),info!$N$4:$N$58)</f>
        <v>0</v>
      </c>
      <c r="Z68" s="83">
        <f t="shared" si="12"/>
        <v>0</v>
      </c>
      <c r="AA68" s="83">
        <f t="shared" si="13"/>
        <v>0</v>
      </c>
      <c r="AB68" s="76" t="s">
        <v>36</v>
      </c>
      <c r="AC68" s="77" t="str">
        <f>IF(+VLOOKUP($E68,info!$H:$Z,7,FALSE),+VLOOKUP($E68,info!$H:$Z,7,FALSE),"")</f>
        <v/>
      </c>
      <c r="AD68" s="77" t="str">
        <f>IF(+VLOOKUP($E68,info!$H:$Z,8,FALSE),+VLOOKUP($E68,info!$H:$Z,8,FALSE),"")</f>
        <v/>
      </c>
      <c r="AE68" s="77" t="str">
        <f t="shared" si="14"/>
        <v/>
      </c>
      <c r="AF68" s="77" t="str">
        <f t="shared" si="15"/>
        <v/>
      </c>
      <c r="AG68" s="64" t="s">
        <v>36</v>
      </c>
      <c r="AH68" s="58" t="str">
        <f>IF(+VLOOKUP($E68,info!$H:$Z,10,FALSE),+VLOOKUP($E68,info!$H:$Z,10,FALSE),"")</f>
        <v/>
      </c>
      <c r="AI68" s="58" t="str">
        <f>IF(+VLOOKUP($E68,info!$H:$Z,11,FALSE),+VLOOKUP($E68,info!$H:$Z,11,FALSE),"")</f>
        <v/>
      </c>
      <c r="AJ68" s="58" t="str">
        <f t="shared" si="16"/>
        <v/>
      </c>
      <c r="AK68" s="58" t="str">
        <f t="shared" si="17"/>
        <v/>
      </c>
      <c r="AL68" s="81" t="s">
        <v>36</v>
      </c>
      <c r="AM68" s="82" t="str">
        <f>IF(+VLOOKUP($E68,info!$H:$Z,13,FALSE),+VLOOKUP($E68,info!$H:$Z,13,FALSE),"")</f>
        <v/>
      </c>
      <c r="AN68" s="82" t="str">
        <f>IF(+VLOOKUP($E68,info!$H:$Z,14,FALSE),+VLOOKUP($E68,info!$H:$Z,14,FALSE),"")</f>
        <v/>
      </c>
      <c r="AO68" s="82" t="str">
        <f t="shared" si="18"/>
        <v/>
      </c>
      <c r="AP68" s="82" t="str">
        <f t="shared" si="19"/>
        <v/>
      </c>
      <c r="AQ68" s="79" t="s">
        <v>36</v>
      </c>
      <c r="AR68" s="80" t="str">
        <f>IF(+VLOOKUP($E68,info!$H:$Z,16,FALSE),+VLOOKUP($E68,info!$H:$Z,16,FALSE),"")</f>
        <v/>
      </c>
      <c r="AS68" s="80" t="str">
        <f>IF(+VLOOKUP($E68,info!$H:$Z,17,FALSE),+VLOOKUP($E68,info!$H:$Z,17,FALSE),"")</f>
        <v/>
      </c>
      <c r="AT68" s="80" t="str">
        <f t="shared" si="20"/>
        <v/>
      </c>
      <c r="AU68" s="80" t="str">
        <f t="shared" si="21"/>
        <v/>
      </c>
      <c r="AV68" s="57"/>
      <c r="AW68" s="57"/>
      <c r="AX68" s="57"/>
      <c r="AY68" s="57"/>
      <c r="AZ68" s="57"/>
      <c r="BA68" s="57"/>
      <c r="BB68" s="57"/>
    </row>
    <row r="69" spans="1:54" x14ac:dyDescent="0.25">
      <c r="A69" s="15" t="s">
        <v>36</v>
      </c>
      <c r="B69" s="3" t="s">
        <v>151</v>
      </c>
      <c r="C69" s="56" t="str">
        <f>+VLOOKUP(E69,info!H:I,2,FALSE)</f>
        <v>-</v>
      </c>
      <c r="D69" s="16" t="str">
        <f t="shared" si="22"/>
        <v>00-00-00</v>
      </c>
      <c r="E69" s="65" t="s">
        <v>36</v>
      </c>
      <c r="F69" s="65" t="s">
        <v>36</v>
      </c>
      <c r="G69" s="65" t="s">
        <v>36</v>
      </c>
      <c r="H69" s="65" t="s">
        <v>36</v>
      </c>
      <c r="I69" s="65" t="s">
        <v>108</v>
      </c>
      <c r="J69" s="4" t="str">
        <f t="shared" si="7"/>
        <v>/</v>
      </c>
      <c r="K69" s="3" t="str">
        <f t="shared" si="8"/>
        <v/>
      </c>
      <c r="L69" s="3"/>
      <c r="M69" s="3" t="str">
        <f t="shared" ref="M69:M70" si="25">IFERROR(IF(ISBLANK(J69),"",IF(L69&lt;J69,1+L69,L69)-J69),"")</f>
        <v/>
      </c>
      <c r="N69" s="3" t="str">
        <f t="shared" ref="N69:N70" si="26">IFERROR(M69-K69,"")</f>
        <v/>
      </c>
      <c r="O69" s="15" t="str">
        <f t="shared" ref="O69:O70" si="27">+IF(L69&gt;0,1,"")</f>
        <v/>
      </c>
      <c r="P69" s="2" t="str">
        <f t="shared" si="9"/>
        <v/>
      </c>
      <c r="Q69" s="2" t="str">
        <f t="shared" si="4"/>
        <v/>
      </c>
      <c r="R69" s="3" t="str">
        <f t="shared" ref="R69:R70" si="28">IFERROR(IF(L69&lt;J69,MIN(1-$R$2,1-J69)+MIN(L69,$R$3)-K69,IF(L69&gt;$R$2,L69-$R$2,IF(AND(J69&lt;$R$3,J69&gt;0),$R$3-J69,""))),"")</f>
        <v/>
      </c>
      <c r="S69" s="2" t="str">
        <f t="shared" si="10"/>
        <v/>
      </c>
      <c r="T69" s="15">
        <f t="shared" ref="T69:T70" si="29">IFERROR(IF(AND(J69&lt;=$T$2,MOD(L69-J69,1)&gt;=$T$3-J69),1,0),0)</f>
        <v>0</v>
      </c>
      <c r="U69" s="10"/>
      <c r="V69" s="2" t="str">
        <f t="shared" si="23"/>
        <v>/</v>
      </c>
      <c r="W69" s="2"/>
      <c r="X69" s="236" cm="1">
        <f t="array" ref="X69">SUMPRODUCT((info!$H$4:$H$58=Feuil1!$E69)*(info!$K$4:$K$58&lt;=Feuil1!$W69)*(info!$L$4:$L$58&gt;=Feuil1!$W69),info!$M$4:$M$58)</f>
        <v>0</v>
      </c>
      <c r="Y69" s="236" cm="1">
        <f t="array" ref="Y69">SUMPRODUCT((info!$H$4:$H$58=Feuil1!$E69)*(info!$K$4:$K$58&lt;=Feuil1!$W69)*(info!$L$4:$L$58&gt;=Feuil1!$W69),info!$N$4:$N$58)</f>
        <v>0</v>
      </c>
      <c r="Z69" s="83">
        <f t="shared" si="12"/>
        <v>0</v>
      </c>
      <c r="AA69" s="83">
        <f t="shared" si="13"/>
        <v>0</v>
      </c>
      <c r="AB69" s="76" t="s">
        <v>36</v>
      </c>
      <c r="AC69" s="77" t="str">
        <f>IF(+VLOOKUP($E69,info!$H:$Z,7,FALSE),+VLOOKUP($E69,info!$H:$Z,7,FALSE),"")</f>
        <v/>
      </c>
      <c r="AD69" s="77" t="str">
        <f>IF(+VLOOKUP($E69,info!$H:$Z,8,FALSE),+VLOOKUP($E69,info!$H:$Z,8,FALSE),"")</f>
        <v/>
      </c>
      <c r="AE69" s="77" t="str">
        <f t="shared" si="14"/>
        <v/>
      </c>
      <c r="AF69" s="77" t="str">
        <f t="shared" si="15"/>
        <v/>
      </c>
      <c r="AG69" s="64" t="s">
        <v>36</v>
      </c>
      <c r="AH69" s="58" t="str">
        <f>IF(+VLOOKUP($E69,info!$H:$Z,10,FALSE),+VLOOKUP($E69,info!$H:$Z,10,FALSE),"")</f>
        <v/>
      </c>
      <c r="AI69" s="58" t="str">
        <f>IF(+VLOOKUP($E69,info!$H:$Z,11,FALSE),+VLOOKUP($E69,info!$H:$Z,11,FALSE),"")</f>
        <v/>
      </c>
      <c r="AJ69" s="58" t="str">
        <f t="shared" si="16"/>
        <v/>
      </c>
      <c r="AK69" s="58" t="str">
        <f t="shared" si="17"/>
        <v/>
      </c>
      <c r="AL69" s="81" t="s">
        <v>36</v>
      </c>
      <c r="AM69" s="82" t="str">
        <f>IF(+VLOOKUP($E69,info!$H:$Z,13,FALSE),+VLOOKUP($E69,info!$H:$Z,13,FALSE),"")</f>
        <v/>
      </c>
      <c r="AN69" s="82" t="str">
        <f>IF(+VLOOKUP($E69,info!$H:$Z,14,FALSE),+VLOOKUP($E69,info!$H:$Z,14,FALSE),"")</f>
        <v/>
      </c>
      <c r="AO69" s="82" t="str">
        <f t="shared" si="18"/>
        <v/>
      </c>
      <c r="AP69" s="82" t="str">
        <f t="shared" si="19"/>
        <v/>
      </c>
      <c r="AQ69" s="79" t="s">
        <v>36</v>
      </c>
      <c r="AR69" s="80" t="str">
        <f>IF(+VLOOKUP($E69,info!$H:$Z,16,FALSE),+VLOOKUP($E69,info!$H:$Z,16,FALSE),"")</f>
        <v/>
      </c>
      <c r="AS69" s="80" t="str">
        <f>IF(+VLOOKUP($E69,info!$H:$Z,17,FALSE),+VLOOKUP($E69,info!$H:$Z,17,FALSE),"")</f>
        <v/>
      </c>
      <c r="AT69" s="80" t="str">
        <f t="shared" si="20"/>
        <v/>
      </c>
      <c r="AU69" s="80" t="str">
        <f t="shared" si="21"/>
        <v/>
      </c>
      <c r="AV69" s="57"/>
      <c r="AW69" s="57"/>
      <c r="AX69" s="57"/>
      <c r="AY69" s="57"/>
      <c r="AZ69" s="57"/>
      <c r="BA69" s="57"/>
      <c r="BB69" s="57"/>
    </row>
    <row r="70" spans="1:54" x14ac:dyDescent="0.25">
      <c r="A70" s="15" t="s">
        <v>36</v>
      </c>
      <c r="B70" s="3" t="s">
        <v>151</v>
      </c>
      <c r="C70" s="56" t="str">
        <f>+VLOOKUP(E70,info!H:I,2,FALSE)</f>
        <v>-</v>
      </c>
      <c r="D70" s="16" t="str">
        <f t="shared" si="22"/>
        <v>00-00-00</v>
      </c>
      <c r="E70" s="65" t="s">
        <v>36</v>
      </c>
      <c r="F70" s="65" t="s">
        <v>36</v>
      </c>
      <c r="G70" s="65" t="s">
        <v>36</v>
      </c>
      <c r="H70" s="65" t="s">
        <v>36</v>
      </c>
      <c r="I70" s="65" t="s">
        <v>108</v>
      </c>
      <c r="J70" s="4" t="str">
        <f t="shared" ref="J70" si="30">+IF(I70="/","/","")</f>
        <v>/</v>
      </c>
      <c r="K70" s="3" t="str">
        <f t="shared" ref="K70" si="31">IF(OR(ISTEXT(J70),ISBLANK(J70)),"","00:30")</f>
        <v/>
      </c>
      <c r="L70" s="3"/>
      <c r="M70" s="3" t="str">
        <f t="shared" si="25"/>
        <v/>
      </c>
      <c r="N70" s="3" t="str">
        <f t="shared" si="26"/>
        <v/>
      </c>
      <c r="O70" s="15" t="str">
        <f t="shared" si="27"/>
        <v/>
      </c>
      <c r="P70" s="2" t="str">
        <f t="shared" ref="P70" si="32">+IFERROR(N70*24,"")</f>
        <v/>
      </c>
      <c r="Q70" s="2" t="str">
        <f t="shared" si="4"/>
        <v/>
      </c>
      <c r="R70" s="3" t="str">
        <f t="shared" si="28"/>
        <v/>
      </c>
      <c r="S70" s="2" t="str">
        <f t="shared" si="10"/>
        <v/>
      </c>
      <c r="T70" s="15">
        <f t="shared" si="29"/>
        <v>0</v>
      </c>
      <c r="U70" s="10"/>
      <c r="V70" s="2" t="str">
        <f t="shared" si="23"/>
        <v>/</v>
      </c>
      <c r="W70" s="2"/>
      <c r="X70" s="236" cm="1">
        <f t="array" ref="X70">SUMPRODUCT((info!$H$4:$H$58=Feuil1!$E70)*(info!$K$4:$K$58&lt;=Feuil1!$W70)*(info!$L$4:$L$58&gt;=Feuil1!$W70),info!$M$4:$M$58)</f>
        <v>0</v>
      </c>
      <c r="Y70" s="236" cm="1">
        <f t="array" ref="Y70">SUMPRODUCT((info!$H$4:$H$58=Feuil1!$E70)*(info!$K$4:$K$58&lt;=Feuil1!$W70)*(info!$L$4:$L$58&gt;=Feuil1!$W70),info!$N$4:$N$58)</f>
        <v>0</v>
      </c>
      <c r="Z70" s="83">
        <f t="shared" ref="Z70:AA70" si="33">IFERROR(+$W70*X70,"")</f>
        <v>0</v>
      </c>
      <c r="AA70" s="83">
        <f t="shared" si="33"/>
        <v>0</v>
      </c>
      <c r="AB70" s="76" t="s">
        <v>36</v>
      </c>
      <c r="AC70" s="77" t="str">
        <f>IF(+VLOOKUP($E70,info!$H:$Z,7,FALSE),+VLOOKUP($E70,info!$H:$Z,7,FALSE),"")</f>
        <v/>
      </c>
      <c r="AD70" s="77" t="str">
        <f>IF(+VLOOKUP($E70,info!$H:$Z,8,FALSE),+VLOOKUP($E70,info!$H:$Z,8,FALSE),"")</f>
        <v/>
      </c>
      <c r="AE70" s="77" t="str">
        <f t="shared" ref="AE70:AF70" si="34">IFERROR(+$W70*AC70*$AF$1,"")</f>
        <v/>
      </c>
      <c r="AF70" s="77" t="str">
        <f t="shared" si="34"/>
        <v/>
      </c>
      <c r="AG70" s="64" t="s">
        <v>36</v>
      </c>
      <c r="AH70" s="58" t="str">
        <f>IF(+VLOOKUP($E70,info!$H:$Z,10,FALSE),+VLOOKUP($E70,info!$H:$Z,10,FALSE),"")</f>
        <v/>
      </c>
      <c r="AI70" s="58" t="str">
        <f>IF(+VLOOKUP($E70,info!$H:$Z,11,FALSE),+VLOOKUP($E70,info!$H:$Z,11,FALSE),"")</f>
        <v/>
      </c>
      <c r="AJ70" s="58" t="str">
        <f t="shared" ref="AJ70:AK70" si="35">IFERROR(+$W70*AH70*$AK$1,"")</f>
        <v/>
      </c>
      <c r="AK70" s="58" t="str">
        <f t="shared" si="35"/>
        <v/>
      </c>
      <c r="AL70" s="81" t="s">
        <v>36</v>
      </c>
      <c r="AM70" s="82" t="str">
        <f>IF(+VLOOKUP($E70,info!$H:$Z,13,FALSE),+VLOOKUP($E70,info!$H:$Z,13,FALSE),"")</f>
        <v/>
      </c>
      <c r="AN70" s="82" t="str">
        <f>IF(+VLOOKUP($E70,info!$H:$Z,14,FALSE),+VLOOKUP($E70,info!$H:$Z,14,FALSE),"")</f>
        <v/>
      </c>
      <c r="AO70" s="82" t="str">
        <f t="shared" ref="AO70:AP70" si="36">IFERROR(+$W70*AM70*$AP$1,"")</f>
        <v/>
      </c>
      <c r="AP70" s="82" t="str">
        <f t="shared" si="36"/>
        <v/>
      </c>
      <c r="AQ70" s="79" t="s">
        <v>36</v>
      </c>
      <c r="AR70" s="80" t="str">
        <f>IF(+VLOOKUP($E70,info!$H:$Z,16,FALSE),+VLOOKUP($E70,info!$H:$Z,16,FALSE),"")</f>
        <v/>
      </c>
      <c r="AS70" s="80" t="str">
        <f>IF(+VLOOKUP($E70,info!$H:$Z,17,FALSE),+VLOOKUP($E70,info!$H:$Z,17,FALSE),"")</f>
        <v/>
      </c>
      <c r="AT70" s="80" t="str">
        <f t="shared" ref="AT70:AU70" si="37">IFERROR(+$W70*AR70*$AU$1,"")</f>
        <v/>
      </c>
      <c r="AU70" s="80" t="str">
        <f t="shared" si="37"/>
        <v/>
      </c>
      <c r="AV70" s="57"/>
      <c r="AW70" s="57"/>
      <c r="AX70" s="57"/>
      <c r="AY70" s="57"/>
      <c r="AZ70" s="57"/>
      <c r="BA70" s="57"/>
      <c r="BB70" s="57"/>
    </row>
    <row r="71" spans="1:54" x14ac:dyDescent="0.25">
      <c r="I71" s="45" t="s">
        <v>11</v>
      </c>
    </row>
  </sheetData>
  <autoFilter ref="A1:BC71" xr:uid="{E9A80A54-2A70-4A44-85FA-117CF7FDA7EE}">
    <filterColumn colId="17" showButton="0"/>
    <filterColumn colId="23" showButton="0"/>
    <filterColumn colId="25" showButton="0"/>
    <filterColumn colId="27" showButton="0"/>
    <filterColumn colId="28" showButton="0"/>
    <filterColumn colId="29" showButton="0"/>
    <filterColumn colId="32" showButton="0"/>
    <filterColumn colId="33" showButton="0"/>
    <filterColumn colId="34" showButton="0"/>
    <filterColumn colId="37" showButton="0"/>
    <filterColumn colId="38" showButton="0"/>
    <filterColumn colId="39" showButton="0"/>
    <filterColumn colId="42" showButton="0"/>
    <filterColumn colId="43" showButton="0"/>
    <filterColumn colId="44" showButton="0"/>
  </autoFilter>
  <mergeCells count="32">
    <mergeCell ref="AW15:BA15"/>
    <mergeCell ref="R3:S3"/>
    <mergeCell ref="R4:S4"/>
    <mergeCell ref="C2:G3"/>
    <mergeCell ref="H2:H3"/>
    <mergeCell ref="I2:I3"/>
    <mergeCell ref="R2:S2"/>
    <mergeCell ref="AW2:BA2"/>
    <mergeCell ref="U2:U3"/>
    <mergeCell ref="V2:V3"/>
    <mergeCell ref="W2:W3"/>
    <mergeCell ref="AQ2:AT2"/>
    <mergeCell ref="AL2:AO2"/>
    <mergeCell ref="AG2:AJ2"/>
    <mergeCell ref="AB2:AE2"/>
    <mergeCell ref="R1:S1"/>
    <mergeCell ref="J2:J3"/>
    <mergeCell ref="K2:K3"/>
    <mergeCell ref="L2:L3"/>
    <mergeCell ref="M2:M3"/>
    <mergeCell ref="N2:N3"/>
    <mergeCell ref="O2:O3"/>
    <mergeCell ref="P2:P3"/>
    <mergeCell ref="Q2:Q3"/>
    <mergeCell ref="AL1:AO1"/>
    <mergeCell ref="AQ1:AT1"/>
    <mergeCell ref="X1:Y1"/>
    <mergeCell ref="Z1:AA1"/>
    <mergeCell ref="X2:Y3"/>
    <mergeCell ref="Z2:AA3"/>
    <mergeCell ref="AB1:AE1"/>
    <mergeCell ref="AG1:AJ1"/>
  </mergeCells>
  <conditionalFormatting sqref="A1:B1048576">
    <cfRule type="containsText" dxfId="57" priority="14" operator="containsText" text="chato">
      <formula>NOT(ISERROR(SEARCH("chato",A1)))</formula>
    </cfRule>
  </conditionalFormatting>
  <conditionalFormatting sqref="A44:E63 A64:W70 A71:AU1048576 G44:W46 J47:W47 G48:W49 J50:W50 G51:W54 J55:W56 G57:W63 B44:B70 G47 G50 G55:G56 A6:W43 A1:AU5 X6:AU70">
    <cfRule type="containsText" dxfId="56" priority="204" operator="containsText" text="préparateur nuit">
      <formula>NOT(ISERROR(SEARCH("préparateur nuit",A1)))</formula>
    </cfRule>
  </conditionalFormatting>
  <conditionalFormatting sqref="G44:W46 A44:E63 B44:B70 G47 J47:W47 G48:W49 G50 J50:W50 G51:W54 G55:G56 J55:W56 G57:W63 A64:W70 A71:AU1048576 A6:W43 A1:AU5 X6:AU70">
    <cfRule type="containsText" dxfId="55" priority="253" operator="containsText" text="Préparateur PM">
      <formula>NOT(ISERROR(SEARCH("Préparateur PM",A1)))</formula>
    </cfRule>
    <cfRule type="containsText" dxfId="54" priority="254" operator="containsText" text="Mûrisserie">
      <formula>NOT(ISERROR(SEARCH("Mûrisserie",A1)))</formula>
    </cfRule>
    <cfRule type="containsText" dxfId="53" priority="255" operator="containsText" text="manutentionnaire">
      <formula>NOT(ISERROR(SEARCH("manutentionnaire",A1)))</formula>
    </cfRule>
    <cfRule type="containsText" dxfId="52" priority="256" operator="containsText" text="Tireur matin">
      <formula>NOT(ISERROR(SEARCH("Tireur matin",A1)))</formula>
    </cfRule>
    <cfRule type="containsText" dxfId="51" priority="257" operator="containsText" text="accueil">
      <formula>NOT(ISERROR(SEARCH("accueil",A1)))</formula>
    </cfRule>
    <cfRule type="containsText" dxfId="50" priority="258" operator="containsText" text="agréeur">
      <formula>NOT(ISERROR(SEARCH("agréeur",A1)))</formula>
    </cfRule>
  </conditionalFormatting>
  <conditionalFormatting sqref="A44:E63 A64:W70 A71:XFD1048576 G44:W46 B44:B70 G47 J47:W47 G48:W49 G50 J50:W50 G51:W54 G55:G56 J55:W56 G57:W63 A6:W43 A1:XFD5 X6:XFD70">
    <cfRule type="beginsWith" dxfId="49" priority="262" operator="beginsWith" text="/">
      <formula>LEFT(A1,LEN("/"))="/"</formula>
    </cfRule>
  </conditionalFormatting>
  <conditionalFormatting sqref="G44:W46 A44:E63 B44:B70 G47 J47:W47 G48:W49 G50 J50:W50 G51:W54 G55:G56 J55:W56 G57:W63 A64:W70 A71:XFD1048576 A6:W43 A1:XFD5 X6:XFD70">
    <cfRule type="containsText" dxfId="48" priority="259" operator="containsText" text="contrat week end">
      <formula>NOT(ISERROR(SEARCH("contrat week end",A1)))</formula>
    </cfRule>
    <cfRule type="containsText" dxfId="47" priority="270" operator="containsText" text="RECAP SEMAINE ">
      <formula>NOT(ISERROR(SEARCH("RECAP SEMAINE ",A1)))</formula>
    </cfRule>
    <cfRule type="expression" dxfId="46" priority="271">
      <formula>$A1="+"</formula>
    </cfRule>
  </conditionalFormatting>
  <conditionalFormatting sqref="D1:D1048576">
    <cfRule type="expression" dxfId="45" priority="260">
      <formula>VLOOKUP($D1,feries,1,FALSE)</formula>
    </cfRule>
  </conditionalFormatting>
  <conditionalFormatting sqref="F44:F63">
    <cfRule type="containsText" dxfId="44" priority="3" operator="containsText" text="préparateur nuit">
      <formula>NOT(ISERROR(SEARCH("préparateur nuit",F44)))</formula>
    </cfRule>
    <cfRule type="containsText" dxfId="43" priority="4" operator="containsText" text="Préparateur PM">
      <formula>NOT(ISERROR(SEARCH("Préparateur PM",F44)))</formula>
    </cfRule>
    <cfRule type="containsText" dxfId="42" priority="5" operator="containsText" text="Mûrisserie">
      <formula>NOT(ISERROR(SEARCH("Mûrisserie",F44)))</formula>
    </cfRule>
    <cfRule type="containsText" dxfId="41" priority="6" operator="containsText" text="manutentionnaire">
      <formula>NOT(ISERROR(SEARCH("manutentionnaire",F44)))</formula>
    </cfRule>
    <cfRule type="containsText" dxfId="40" priority="7" operator="containsText" text="Tireur matin">
      <formula>NOT(ISERROR(SEARCH("Tireur matin",F44)))</formula>
    </cfRule>
    <cfRule type="containsText" dxfId="39" priority="8" operator="containsText" text="accueil">
      <formula>NOT(ISERROR(SEARCH("accueil",F44)))</formula>
    </cfRule>
    <cfRule type="containsText" dxfId="38" priority="9" operator="containsText" text="agréeur">
      <formula>NOT(ISERROR(SEARCH("agréeur",F44)))</formula>
    </cfRule>
    <cfRule type="containsText" dxfId="37" priority="10" operator="containsText" text="contrat week end">
      <formula>NOT(ISERROR(SEARCH("contrat week end",F44)))</formula>
    </cfRule>
    <cfRule type="beginsWith" dxfId="36" priority="11" operator="beginsWith" text="/">
      <formula>LEFT(F44,LEN("/"))="/"</formula>
    </cfRule>
    <cfRule type="containsText" dxfId="35" priority="12" operator="containsText" text="RECAP SEMAINE ">
      <formula>NOT(ISERROR(SEARCH("RECAP SEMAINE ",F44)))</formula>
    </cfRule>
    <cfRule type="expression" dxfId="34" priority="13">
      <formula>$A44="+"</formula>
    </cfRule>
  </conditionalFormatting>
  <conditionalFormatting sqref="P2:P71">
    <cfRule type="cellIs" dxfId="33" priority="196" operator="lessThan">
      <formula>7</formula>
    </cfRule>
  </conditionalFormatting>
  <conditionalFormatting sqref="T1:T1048576">
    <cfRule type="cellIs" dxfId="32" priority="191" operator="greaterThanOrEqual">
      <formula>1</formula>
    </cfRule>
  </conditionalFormatting>
  <conditionalFormatting sqref="V1:V1048576">
    <cfRule type="cellIs" dxfId="31" priority="15" operator="greaterThan">
      <formula>35</formula>
    </cfRule>
  </conditionalFormatting>
  <conditionalFormatting sqref="X5:X70">
    <cfRule type="expression" dxfId="30" priority="2">
      <formula>AND(X5=0,$W5&gt;0)</formula>
    </cfRule>
  </conditionalFormatting>
  <conditionalFormatting sqref="E5:E70">
    <cfRule type="expression" dxfId="29" priority="1">
      <formula>AND($E5&lt;&gt;"-",$W5&gt;0,$X5=0)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197" operator="beginsWith" id="{E89AF693-2B1E-4FAE-870E-1DDF7045D549}">
            <xm:f>LEFT(A1,LEN("-"))="-"</xm:f>
            <xm:f>"-"</xm:f>
            <x14:dxf>
              <fill>
                <patternFill>
                  <bgColor theme="7" tint="0.79998168889431442"/>
                </patternFill>
              </fill>
            </x14:dxf>
          </x14:cfRule>
          <xm:sqref>A1:A1048576 B4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06C7C53-A54E-4033-8F70-3F05F5555BC6}">
          <x14:formula1>
            <xm:f>info!$H:$H</xm:f>
          </x14:formula1>
          <xm:sqref>E1:E1048576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1107B-CE28-460B-9474-9895CAC29E3F}">
  <dimension ref="A1:Z58"/>
  <sheetViews>
    <sheetView topLeftCell="G1" zoomScale="80" zoomScaleNormal="80" workbookViewId="0">
      <pane xSplit="4" ySplit="2" topLeftCell="K3" activePane="bottomRight" state="frozen"/>
      <selection activeCell="G1" sqref="G1"/>
      <selection pane="topRight" activeCell="K1" sqref="K1"/>
      <selection pane="bottomLeft" activeCell="G3" sqref="G3"/>
      <selection pane="bottomRight" activeCell="H30" sqref="H30:L30"/>
    </sheetView>
  </sheetViews>
  <sheetFormatPr baseColWidth="10" defaultRowHeight="15" outlineLevelCol="1" x14ac:dyDescent="0.25"/>
  <cols>
    <col min="1" max="1" width="9.28515625" hidden="1" customWidth="1" outlineLevel="1"/>
    <col min="2" max="2" width="10.5703125" hidden="1" customWidth="1" outlineLevel="1"/>
    <col min="3" max="3" width="19.28515625" hidden="1" customWidth="1" outlineLevel="1"/>
    <col min="4" max="4" width="17.140625" hidden="1" customWidth="1" outlineLevel="1"/>
    <col min="5" max="5" width="23.85546875" hidden="1" customWidth="1" outlineLevel="1"/>
    <col min="6" max="6" width="18.7109375" hidden="1" customWidth="1" outlineLevel="1"/>
    <col min="7" max="7" width="11.5703125" collapsed="1"/>
    <col min="8" max="8" width="14.28515625" style="9" bestFit="1" customWidth="1"/>
    <col min="9" max="9" width="10.5703125" style="9" bestFit="1" customWidth="1"/>
    <col min="10" max="10" width="25.85546875" style="9" bestFit="1" customWidth="1"/>
    <col min="11" max="11" width="8.85546875" style="9" bestFit="1" customWidth="1"/>
    <col min="12" max="12" width="9.28515625" style="9" customWidth="1"/>
    <col min="13" max="13" width="12.140625" style="117" bestFit="1" customWidth="1"/>
    <col min="14" max="14" width="19" style="117" bestFit="1" customWidth="1"/>
    <col min="15" max="15" width="15" style="126" bestFit="1" customWidth="1"/>
    <col min="16" max="16" width="13.7109375" style="126" bestFit="1" customWidth="1"/>
    <col min="17" max="17" width="7.7109375" style="126" bestFit="1" customWidth="1"/>
    <col min="18" max="18" width="13.28515625" style="9" bestFit="1" customWidth="1"/>
    <col min="19" max="19" width="13.42578125" style="9" bestFit="1" customWidth="1"/>
    <col min="20" max="20" width="7.7109375" style="9" bestFit="1" customWidth="1"/>
    <col min="21" max="21" width="13.28515625" style="134" bestFit="1" customWidth="1"/>
    <col min="22" max="22" width="15.140625" style="134" bestFit="1" customWidth="1"/>
    <col min="23" max="23" width="7.7109375" style="134" bestFit="1" customWidth="1"/>
    <col min="24" max="24" width="13.28515625" style="141" bestFit="1" customWidth="1"/>
    <col min="25" max="25" width="10.42578125" style="141" bestFit="1" customWidth="1"/>
    <col min="26" max="26" width="7.7109375" style="141" bestFit="1" customWidth="1"/>
  </cols>
  <sheetData>
    <row r="1" spans="1:26" x14ac:dyDescent="0.25">
      <c r="A1" s="27">
        <v>2024</v>
      </c>
      <c r="B1" s="203" t="s">
        <v>104</v>
      </c>
      <c r="C1" s="203"/>
      <c r="D1" s="203"/>
      <c r="E1" s="203"/>
      <c r="F1" s="204"/>
      <c r="H1" s="217" t="s">
        <v>3</v>
      </c>
      <c r="I1" s="219" t="s">
        <v>1</v>
      </c>
      <c r="J1" s="35" t="s">
        <v>20</v>
      </c>
      <c r="K1" s="35" t="s">
        <v>159</v>
      </c>
      <c r="L1" s="35" t="s">
        <v>160</v>
      </c>
      <c r="M1" s="114" t="s">
        <v>21</v>
      </c>
      <c r="N1" s="115" t="s">
        <v>22</v>
      </c>
      <c r="O1" s="227" t="s">
        <v>23</v>
      </c>
      <c r="P1" s="123" t="s">
        <v>24</v>
      </c>
      <c r="Q1" s="124">
        <v>0.25</v>
      </c>
      <c r="R1" s="225" t="s">
        <v>23</v>
      </c>
      <c r="S1" s="113" t="s">
        <v>25</v>
      </c>
      <c r="T1" s="36">
        <v>0.5</v>
      </c>
      <c r="U1" s="223" t="s">
        <v>23</v>
      </c>
      <c r="V1" s="131" t="s">
        <v>26</v>
      </c>
      <c r="W1" s="132"/>
      <c r="X1" s="221" t="s">
        <v>23</v>
      </c>
      <c r="Y1" s="139" t="s">
        <v>27</v>
      </c>
      <c r="Z1" s="139"/>
    </row>
    <row r="2" spans="1:26" ht="15.75" thickBot="1" x14ac:dyDescent="0.3">
      <c r="H2" s="218"/>
      <c r="I2" s="220"/>
      <c r="J2" s="43">
        <v>12.8</v>
      </c>
      <c r="K2" s="43"/>
      <c r="L2" s="43"/>
      <c r="M2" s="116" t="s">
        <v>33</v>
      </c>
      <c r="N2" s="116" t="s">
        <v>34</v>
      </c>
      <c r="O2" s="228"/>
      <c r="P2" s="125" t="s">
        <v>33</v>
      </c>
      <c r="Q2" s="125" t="s">
        <v>34</v>
      </c>
      <c r="R2" s="226"/>
      <c r="S2" s="43" t="s">
        <v>33</v>
      </c>
      <c r="T2" s="43" t="s">
        <v>34</v>
      </c>
      <c r="U2" s="224"/>
      <c r="V2" s="133" t="s">
        <v>33</v>
      </c>
      <c r="W2" s="133" t="s">
        <v>34</v>
      </c>
      <c r="X2" s="222"/>
      <c r="Y2" s="140" t="s">
        <v>33</v>
      </c>
      <c r="Z2" s="140" t="s">
        <v>34</v>
      </c>
    </row>
    <row r="3" spans="1:26" ht="15.75" thickBot="1" x14ac:dyDescent="0.3">
      <c r="H3" s="9" t="s">
        <v>36</v>
      </c>
      <c r="I3" s="9" t="s">
        <v>36</v>
      </c>
    </row>
    <row r="4" spans="1:26" x14ac:dyDescent="0.25">
      <c r="A4" s="205"/>
      <c r="B4" s="206"/>
      <c r="C4" s="207"/>
      <c r="D4" s="33" t="s">
        <v>75</v>
      </c>
      <c r="E4" s="33" t="s">
        <v>76</v>
      </c>
      <c r="F4" s="34" t="s">
        <v>77</v>
      </c>
      <c r="H4" s="112" t="s">
        <v>154</v>
      </c>
      <c r="I4" s="185" t="s">
        <v>105</v>
      </c>
      <c r="J4" s="41" t="s">
        <v>150</v>
      </c>
      <c r="K4" s="41">
        <v>11.52</v>
      </c>
      <c r="L4" s="41">
        <v>11.75</v>
      </c>
      <c r="M4" s="118">
        <v>1.79</v>
      </c>
      <c r="N4" s="118">
        <v>1.78</v>
      </c>
      <c r="O4" s="187">
        <v>0.06</v>
      </c>
      <c r="P4" s="127">
        <f t="shared" ref="P4:Q7" si="0">+M4+$O$4</f>
        <v>1.85</v>
      </c>
      <c r="Q4" s="127">
        <f t="shared" si="0"/>
        <v>1.84</v>
      </c>
      <c r="R4" s="185">
        <f>+O4</f>
        <v>0.06</v>
      </c>
      <c r="S4" s="42">
        <f t="shared" ref="S4:T7" si="1">+M4+$R$4</f>
        <v>1.85</v>
      </c>
      <c r="T4" s="42">
        <f t="shared" si="1"/>
        <v>1.84</v>
      </c>
      <c r="U4" s="229">
        <f>+R4</f>
        <v>0.06</v>
      </c>
      <c r="V4" s="136">
        <f t="shared" ref="V4:W7" si="2">+M4+$U$4</f>
        <v>1.85</v>
      </c>
      <c r="W4" s="136">
        <f t="shared" si="2"/>
        <v>1.84</v>
      </c>
      <c r="X4" s="199">
        <f>+U4</f>
        <v>0.06</v>
      </c>
      <c r="Y4" s="143">
        <f t="shared" ref="Y4:Z7" si="3">+M4+$X$4</f>
        <v>1.85</v>
      </c>
      <c r="Z4" s="144">
        <f t="shared" si="3"/>
        <v>1.84</v>
      </c>
    </row>
    <row r="5" spans="1:26" x14ac:dyDescent="0.25">
      <c r="A5" s="211"/>
      <c r="B5" s="212"/>
      <c r="C5" s="213"/>
      <c r="D5" s="19" t="s">
        <v>78</v>
      </c>
      <c r="E5" s="25">
        <f>DATE(A1,1,1)</f>
        <v>45292</v>
      </c>
      <c r="F5" s="29" t="s">
        <v>79</v>
      </c>
      <c r="H5" s="110" t="s">
        <v>154</v>
      </c>
      <c r="I5" s="196"/>
      <c r="J5" s="9" t="s">
        <v>149</v>
      </c>
      <c r="K5" s="9">
        <v>11.76</v>
      </c>
      <c r="L5" s="9">
        <v>12.76</v>
      </c>
      <c r="M5" s="119">
        <v>1.84</v>
      </c>
      <c r="N5" s="119">
        <v>1.82</v>
      </c>
      <c r="O5" s="197"/>
      <c r="P5" s="85">
        <f t="shared" si="0"/>
        <v>1.9000000000000001</v>
      </c>
      <c r="Q5" s="85">
        <f t="shared" si="0"/>
        <v>1.8800000000000001</v>
      </c>
      <c r="R5" s="196"/>
      <c r="S5" s="37">
        <f t="shared" si="1"/>
        <v>1.9000000000000001</v>
      </c>
      <c r="T5" s="37">
        <f t="shared" si="1"/>
        <v>1.8800000000000001</v>
      </c>
      <c r="U5" s="193"/>
      <c r="V5" s="86">
        <f t="shared" si="2"/>
        <v>1.9000000000000001</v>
      </c>
      <c r="W5" s="86">
        <f t="shared" si="2"/>
        <v>1.8800000000000001</v>
      </c>
      <c r="X5" s="200"/>
      <c r="Y5" s="78">
        <f t="shared" si="3"/>
        <v>1.9000000000000001</v>
      </c>
      <c r="Z5" s="145">
        <f t="shared" si="3"/>
        <v>1.8800000000000001</v>
      </c>
    </row>
    <row r="6" spans="1:26" x14ac:dyDescent="0.25">
      <c r="A6" s="28" t="s">
        <v>80</v>
      </c>
      <c r="B6" s="26">
        <f>ROUND(DATE(A1,4,1)/7+MOD(19*MOD(A1,19)-7,30)*14%,0)*7-6</f>
        <v>45382</v>
      </c>
      <c r="C6" s="24" t="s">
        <v>81</v>
      </c>
      <c r="D6" s="19" t="s">
        <v>82</v>
      </c>
      <c r="E6" s="25">
        <f>+B6+1</f>
        <v>45383</v>
      </c>
      <c r="F6" s="29" t="s">
        <v>83</v>
      </c>
      <c r="H6" s="110" t="s">
        <v>155</v>
      </c>
      <c r="I6" s="196" t="s">
        <v>105</v>
      </c>
      <c r="J6" s="9" t="s">
        <v>148</v>
      </c>
      <c r="K6" s="9">
        <v>12.77</v>
      </c>
      <c r="L6" s="9">
        <v>13.77</v>
      </c>
      <c r="M6" s="119">
        <v>1.88</v>
      </c>
      <c r="N6" s="119">
        <v>1.85</v>
      </c>
      <c r="O6" s="197"/>
      <c r="P6" s="85">
        <f t="shared" si="0"/>
        <v>1.94</v>
      </c>
      <c r="Q6" s="85">
        <f t="shared" si="0"/>
        <v>1.9100000000000001</v>
      </c>
      <c r="R6" s="196"/>
      <c r="S6" s="37">
        <f t="shared" si="1"/>
        <v>1.94</v>
      </c>
      <c r="T6" s="37">
        <f t="shared" si="1"/>
        <v>1.9100000000000001</v>
      </c>
      <c r="U6" s="193"/>
      <c r="V6" s="86">
        <f t="shared" si="2"/>
        <v>1.94</v>
      </c>
      <c r="W6" s="86">
        <f t="shared" si="2"/>
        <v>1.9100000000000001</v>
      </c>
      <c r="X6" s="200"/>
      <c r="Y6" s="78">
        <f t="shared" si="3"/>
        <v>1.94</v>
      </c>
      <c r="Z6" s="145">
        <f t="shared" si="3"/>
        <v>1.9100000000000001</v>
      </c>
    </row>
    <row r="7" spans="1:26" ht="15.75" thickBot="1" x14ac:dyDescent="0.3">
      <c r="A7" s="205"/>
      <c r="B7" s="206"/>
      <c r="C7" s="207"/>
      <c r="D7" s="19" t="s">
        <v>84</v>
      </c>
      <c r="E7" s="25">
        <f>+DATE(A1,5,1)</f>
        <v>45413</v>
      </c>
      <c r="F7" s="29" t="s">
        <v>85</v>
      </c>
      <c r="H7" s="39" t="s">
        <v>155</v>
      </c>
      <c r="I7" s="186"/>
      <c r="J7" s="39" t="s">
        <v>147</v>
      </c>
      <c r="K7" s="39">
        <v>13.78</v>
      </c>
      <c r="L7" s="39">
        <v>100</v>
      </c>
      <c r="M7" s="120">
        <v>2.0499999999999998</v>
      </c>
      <c r="N7" s="120">
        <v>1.98</v>
      </c>
      <c r="O7" s="188"/>
      <c r="P7" s="128">
        <f t="shared" si="0"/>
        <v>2.11</v>
      </c>
      <c r="Q7" s="128">
        <f t="shared" si="0"/>
        <v>2.04</v>
      </c>
      <c r="R7" s="186"/>
      <c r="S7" s="40">
        <f t="shared" si="1"/>
        <v>2.11</v>
      </c>
      <c r="T7" s="40">
        <f t="shared" si="1"/>
        <v>2.04</v>
      </c>
      <c r="U7" s="194"/>
      <c r="V7" s="138">
        <f t="shared" si="2"/>
        <v>2.11</v>
      </c>
      <c r="W7" s="138">
        <f t="shared" si="2"/>
        <v>2.04</v>
      </c>
      <c r="X7" s="201"/>
      <c r="Y7" s="147">
        <f t="shared" si="3"/>
        <v>2.11</v>
      </c>
      <c r="Z7" s="148">
        <f t="shared" si="3"/>
        <v>2.04</v>
      </c>
    </row>
    <row r="8" spans="1:26" ht="15.75" thickBot="1" x14ac:dyDescent="0.3">
      <c r="A8" s="208"/>
      <c r="B8" s="209"/>
      <c r="C8" s="210"/>
      <c r="D8" s="19" t="s">
        <v>86</v>
      </c>
      <c r="E8" s="25">
        <f>+E7+7</f>
        <v>45420</v>
      </c>
      <c r="F8" s="29" t="s">
        <v>87</v>
      </c>
    </row>
    <row r="9" spans="1:26" x14ac:dyDescent="0.25">
      <c r="A9" s="211"/>
      <c r="B9" s="212"/>
      <c r="C9" s="213"/>
      <c r="D9" s="19" t="s">
        <v>88</v>
      </c>
      <c r="E9" s="25">
        <f>+B6+39</f>
        <v>45421</v>
      </c>
      <c r="F9" s="29" t="s">
        <v>89</v>
      </c>
      <c r="H9" s="112" t="s">
        <v>113</v>
      </c>
      <c r="I9" s="185" t="s">
        <v>114</v>
      </c>
      <c r="J9" s="41">
        <v>11.52</v>
      </c>
      <c r="K9" s="41">
        <v>11.52</v>
      </c>
      <c r="L9" s="41">
        <v>11.52</v>
      </c>
      <c r="M9" s="121">
        <v>1.83</v>
      </c>
      <c r="N9" s="121">
        <v>1.79</v>
      </c>
      <c r="O9" s="187">
        <v>0</v>
      </c>
      <c r="P9" s="127">
        <f t="shared" ref="P9:Q11" si="4">+M9+$O$9</f>
        <v>1.83</v>
      </c>
      <c r="Q9" s="127">
        <f t="shared" si="4"/>
        <v>1.79</v>
      </c>
      <c r="R9" s="189">
        <v>0</v>
      </c>
      <c r="S9" s="41">
        <f t="shared" ref="S9:T11" si="5">+P9</f>
        <v>1.83</v>
      </c>
      <c r="T9" s="41">
        <f t="shared" si="5"/>
        <v>1.79</v>
      </c>
      <c r="U9" s="191">
        <v>0</v>
      </c>
      <c r="V9" s="135">
        <f t="shared" ref="V9:W11" si="6">+S9</f>
        <v>1.83</v>
      </c>
      <c r="W9" s="135">
        <f t="shared" si="6"/>
        <v>1.79</v>
      </c>
      <c r="X9" s="183">
        <v>0</v>
      </c>
      <c r="Y9" s="142">
        <f>+V9</f>
        <v>1.83</v>
      </c>
      <c r="Z9" s="149">
        <f>+W9</f>
        <v>1.79</v>
      </c>
    </row>
    <row r="10" spans="1:26" x14ac:dyDescent="0.25">
      <c r="A10" s="28" t="s">
        <v>90</v>
      </c>
      <c r="B10" s="26">
        <f>49+B6</f>
        <v>45431</v>
      </c>
      <c r="C10" s="24" t="s">
        <v>91</v>
      </c>
      <c r="D10" s="19" t="s">
        <v>92</v>
      </c>
      <c r="E10" s="25">
        <f>+B6+50</f>
        <v>45432</v>
      </c>
      <c r="F10" s="29" t="s">
        <v>93</v>
      </c>
      <c r="H10" s="110" t="s">
        <v>113</v>
      </c>
      <c r="I10" s="196"/>
      <c r="J10" s="9" t="s">
        <v>145</v>
      </c>
      <c r="K10" s="9">
        <v>11.53</v>
      </c>
      <c r="L10" s="9">
        <v>12.5</v>
      </c>
      <c r="M10" s="117">
        <v>1.91</v>
      </c>
      <c r="N10" s="117">
        <v>1.88</v>
      </c>
      <c r="O10" s="197"/>
      <c r="P10" s="85">
        <f t="shared" si="4"/>
        <v>1.91</v>
      </c>
      <c r="Q10" s="85">
        <f t="shared" si="4"/>
        <v>1.88</v>
      </c>
      <c r="R10" s="198"/>
      <c r="S10" s="9">
        <f t="shared" si="5"/>
        <v>1.91</v>
      </c>
      <c r="T10" s="9">
        <f t="shared" si="5"/>
        <v>1.88</v>
      </c>
      <c r="U10" s="202"/>
      <c r="V10" s="134">
        <f t="shared" si="6"/>
        <v>1.91</v>
      </c>
      <c r="W10" s="134">
        <f t="shared" si="6"/>
        <v>1.88</v>
      </c>
      <c r="X10" s="195"/>
      <c r="Y10" s="141">
        <f t="shared" ref="Y10:Y11" si="7">+V10</f>
        <v>1.91</v>
      </c>
      <c r="Z10" s="150">
        <f t="shared" ref="Z10:Z11" si="8">+W10</f>
        <v>1.88</v>
      </c>
    </row>
    <row r="11" spans="1:26" ht="15.75" thickBot="1" x14ac:dyDescent="0.3">
      <c r="A11" s="205"/>
      <c r="B11" s="206"/>
      <c r="C11" s="207"/>
      <c r="D11" s="19" t="s">
        <v>94</v>
      </c>
      <c r="E11" s="25">
        <f>+DATE(A1,7,14)</f>
        <v>45487</v>
      </c>
      <c r="F11" s="29" t="s">
        <v>95</v>
      </c>
      <c r="H11" s="111" t="s">
        <v>113</v>
      </c>
      <c r="I11" s="186"/>
      <c r="J11" s="109" t="s">
        <v>146</v>
      </c>
      <c r="K11" s="109">
        <v>12.51</v>
      </c>
      <c r="L11" s="109">
        <v>100</v>
      </c>
      <c r="M11" s="122">
        <v>2.02</v>
      </c>
      <c r="N11" s="122">
        <v>1.99</v>
      </c>
      <c r="O11" s="188"/>
      <c r="P11" s="128">
        <f t="shared" si="4"/>
        <v>2.02</v>
      </c>
      <c r="Q11" s="128">
        <f t="shared" si="4"/>
        <v>1.99</v>
      </c>
      <c r="R11" s="190"/>
      <c r="S11" s="38">
        <f t="shared" si="5"/>
        <v>2.02</v>
      </c>
      <c r="T11" s="38">
        <f t="shared" si="5"/>
        <v>1.99</v>
      </c>
      <c r="U11" s="192"/>
      <c r="V11" s="137">
        <f t="shared" si="6"/>
        <v>2.02</v>
      </c>
      <c r="W11" s="137">
        <f t="shared" si="6"/>
        <v>1.99</v>
      </c>
      <c r="X11" s="184"/>
      <c r="Y11" s="146">
        <f t="shared" si="7"/>
        <v>2.02</v>
      </c>
      <c r="Z11" s="151">
        <f t="shared" si="8"/>
        <v>1.99</v>
      </c>
    </row>
    <row r="12" spans="1:26" ht="15.75" thickBot="1" x14ac:dyDescent="0.3">
      <c r="A12" s="208"/>
      <c r="B12" s="209"/>
      <c r="C12" s="210"/>
      <c r="D12" s="19" t="s">
        <v>96</v>
      </c>
      <c r="E12" s="25">
        <f>+DATE(A1,8,15)</f>
        <v>45519</v>
      </c>
      <c r="F12" s="29" t="s">
        <v>97</v>
      </c>
      <c r="J12" s="71"/>
      <c r="K12" s="71"/>
      <c r="L12" s="71"/>
    </row>
    <row r="13" spans="1:26" x14ac:dyDescent="0.25">
      <c r="A13" s="208"/>
      <c r="B13" s="209"/>
      <c r="C13" s="210"/>
      <c r="D13" s="19" t="s">
        <v>98</v>
      </c>
      <c r="E13" s="25">
        <f>+DATE(A1,11,1)</f>
        <v>45597</v>
      </c>
      <c r="F13" s="29" t="s">
        <v>99</v>
      </c>
      <c r="H13" s="112" t="s">
        <v>40</v>
      </c>
      <c r="I13" s="185" t="s">
        <v>114</v>
      </c>
      <c r="J13" s="41" t="s">
        <v>116</v>
      </c>
      <c r="K13" s="41">
        <v>12.3</v>
      </c>
      <c r="L13" s="41">
        <v>12.3</v>
      </c>
      <c r="M13" s="121">
        <v>1.84</v>
      </c>
      <c r="N13" s="121">
        <v>1.82</v>
      </c>
      <c r="O13" s="187">
        <v>0</v>
      </c>
      <c r="P13" s="129">
        <f t="shared" ref="P13:Q15" si="9">+M13</f>
        <v>1.84</v>
      </c>
      <c r="Q13" s="129">
        <f t="shared" si="9"/>
        <v>1.82</v>
      </c>
      <c r="R13" s="189">
        <v>0</v>
      </c>
      <c r="S13" s="41">
        <f t="shared" ref="S13:T15" si="10">+P13</f>
        <v>1.84</v>
      </c>
      <c r="T13" s="41">
        <f t="shared" si="10"/>
        <v>1.82</v>
      </c>
      <c r="U13" s="191">
        <v>0</v>
      </c>
      <c r="V13" s="135">
        <f t="shared" ref="V13:W15" si="11">+S13</f>
        <v>1.84</v>
      </c>
      <c r="W13" s="135">
        <f t="shared" si="11"/>
        <v>1.82</v>
      </c>
      <c r="X13" s="183">
        <v>0</v>
      </c>
      <c r="Y13" s="142">
        <f>+V13</f>
        <v>1.84</v>
      </c>
      <c r="Z13" s="149">
        <f>+W13</f>
        <v>1.82</v>
      </c>
    </row>
    <row r="14" spans="1:26" x14ac:dyDescent="0.25">
      <c r="A14" s="208"/>
      <c r="B14" s="209"/>
      <c r="C14" s="210"/>
      <c r="D14" s="19" t="s">
        <v>100</v>
      </c>
      <c r="E14" s="25">
        <f>+E13+10</f>
        <v>45607</v>
      </c>
      <c r="F14" s="29" t="s">
        <v>101</v>
      </c>
      <c r="H14" s="110" t="s">
        <v>40</v>
      </c>
      <c r="I14" s="196"/>
      <c r="J14" s="9" t="s">
        <v>115</v>
      </c>
      <c r="K14" s="9">
        <v>12.31</v>
      </c>
      <c r="L14" s="9">
        <v>13.99</v>
      </c>
      <c r="M14" s="117">
        <v>1.98</v>
      </c>
      <c r="N14" s="117">
        <v>1.95</v>
      </c>
      <c r="O14" s="197"/>
      <c r="P14" s="126">
        <f t="shared" si="9"/>
        <v>1.98</v>
      </c>
      <c r="Q14" s="126">
        <f t="shared" si="9"/>
        <v>1.95</v>
      </c>
      <c r="R14" s="198"/>
      <c r="S14" s="9">
        <f t="shared" si="10"/>
        <v>1.98</v>
      </c>
      <c r="T14" s="9">
        <f t="shared" si="10"/>
        <v>1.95</v>
      </c>
      <c r="U14" s="202"/>
      <c r="V14" s="134">
        <f t="shared" si="11"/>
        <v>1.98</v>
      </c>
      <c r="W14" s="134">
        <f t="shared" si="11"/>
        <v>1.95</v>
      </c>
      <c r="X14" s="195"/>
      <c r="Y14" s="141">
        <f t="shared" ref="Y14:Y15" si="12">+V14</f>
        <v>1.98</v>
      </c>
      <c r="Z14" s="150">
        <f t="shared" ref="Z14:Z15" si="13">+W14</f>
        <v>1.95</v>
      </c>
    </row>
    <row r="15" spans="1:26" ht="15.75" thickBot="1" x14ac:dyDescent="0.3">
      <c r="A15" s="214"/>
      <c r="B15" s="215"/>
      <c r="C15" s="216"/>
      <c r="D15" s="30" t="s">
        <v>102</v>
      </c>
      <c r="E15" s="31">
        <f>+DATE(A1,12,25)</f>
        <v>45651</v>
      </c>
      <c r="F15" s="32" t="s">
        <v>103</v>
      </c>
      <c r="H15" s="111" t="s">
        <v>40</v>
      </c>
      <c r="I15" s="186"/>
      <c r="J15" s="39" t="s">
        <v>117</v>
      </c>
      <c r="K15" s="39">
        <v>14</v>
      </c>
      <c r="L15" s="39">
        <v>100</v>
      </c>
      <c r="M15" s="122">
        <v>2.1</v>
      </c>
      <c r="N15" s="122">
        <v>2.0299999999999998</v>
      </c>
      <c r="O15" s="188"/>
      <c r="P15" s="130">
        <f t="shared" si="9"/>
        <v>2.1</v>
      </c>
      <c r="Q15" s="130">
        <f t="shared" si="9"/>
        <v>2.0299999999999998</v>
      </c>
      <c r="R15" s="190"/>
      <c r="S15" s="38">
        <f t="shared" si="10"/>
        <v>2.1</v>
      </c>
      <c r="T15" s="38">
        <f t="shared" si="10"/>
        <v>2.0299999999999998</v>
      </c>
      <c r="U15" s="192"/>
      <c r="V15" s="137">
        <f t="shared" si="11"/>
        <v>2.1</v>
      </c>
      <c r="W15" s="137">
        <f t="shared" si="11"/>
        <v>2.0299999999999998</v>
      </c>
      <c r="X15" s="184"/>
      <c r="Y15" s="146">
        <f t="shared" si="12"/>
        <v>2.1</v>
      </c>
      <c r="Z15" s="151">
        <f t="shared" si="13"/>
        <v>2.0299999999999998</v>
      </c>
    </row>
    <row r="16" spans="1:26" ht="15.75" thickBot="1" x14ac:dyDescent="0.3"/>
    <row r="17" spans="8:26" x14ac:dyDescent="0.25">
      <c r="H17" s="112" t="s">
        <v>118</v>
      </c>
      <c r="I17" s="185" t="s">
        <v>114</v>
      </c>
      <c r="J17" s="41" t="s">
        <v>116</v>
      </c>
      <c r="K17" s="41">
        <v>12.3</v>
      </c>
      <c r="L17" s="41">
        <v>12.3</v>
      </c>
      <c r="M17" s="121">
        <v>1.83</v>
      </c>
      <c r="N17" s="121">
        <v>0</v>
      </c>
      <c r="O17" s="187">
        <v>0</v>
      </c>
      <c r="P17" s="129">
        <f t="shared" ref="P17:Z17" si="14">+M17</f>
        <v>1.83</v>
      </c>
      <c r="Q17" s="129">
        <f t="shared" si="14"/>
        <v>0</v>
      </c>
      <c r="R17" s="189">
        <f t="shared" si="14"/>
        <v>0</v>
      </c>
      <c r="S17" s="41">
        <f t="shared" si="14"/>
        <v>1.83</v>
      </c>
      <c r="T17" s="41">
        <f t="shared" si="14"/>
        <v>0</v>
      </c>
      <c r="U17" s="191">
        <f t="shared" si="14"/>
        <v>0</v>
      </c>
      <c r="V17" s="135">
        <f t="shared" si="14"/>
        <v>1.83</v>
      </c>
      <c r="W17" s="135">
        <f t="shared" si="14"/>
        <v>0</v>
      </c>
      <c r="X17" s="183">
        <f t="shared" si="14"/>
        <v>0</v>
      </c>
      <c r="Y17" s="142">
        <f t="shared" si="14"/>
        <v>1.83</v>
      </c>
      <c r="Z17" s="149">
        <f t="shared" si="14"/>
        <v>0</v>
      </c>
    </row>
    <row r="18" spans="8:26" ht="15.75" thickBot="1" x14ac:dyDescent="0.3">
      <c r="H18" s="111"/>
      <c r="I18" s="186"/>
      <c r="J18" s="38"/>
      <c r="K18" s="38"/>
      <c r="L18" s="38"/>
      <c r="M18" s="122"/>
      <c r="N18" s="122"/>
      <c r="O18" s="188"/>
      <c r="P18" s="130"/>
      <c r="Q18" s="130"/>
      <c r="R18" s="190"/>
      <c r="S18" s="38"/>
      <c r="T18" s="38"/>
      <c r="U18" s="192"/>
      <c r="V18" s="137"/>
      <c r="W18" s="137"/>
      <c r="X18" s="184"/>
      <c r="Y18" s="146"/>
      <c r="Z18" s="151"/>
    </row>
    <row r="19" spans="8:26" ht="15.75" thickBot="1" x14ac:dyDescent="0.3"/>
    <row r="20" spans="8:26" x14ac:dyDescent="0.25">
      <c r="H20" s="112" t="s">
        <v>64</v>
      </c>
      <c r="I20" s="185" t="s">
        <v>114</v>
      </c>
      <c r="J20" s="41" t="s">
        <v>119</v>
      </c>
      <c r="K20" s="41">
        <v>0</v>
      </c>
      <c r="L20" s="41">
        <v>100</v>
      </c>
      <c r="M20" s="121">
        <v>1.83</v>
      </c>
      <c r="N20" s="121">
        <v>1.79</v>
      </c>
      <c r="O20" s="187">
        <v>0</v>
      </c>
      <c r="P20" s="129">
        <f t="shared" ref="P20:Z20" si="15">+M20</f>
        <v>1.83</v>
      </c>
      <c r="Q20" s="129">
        <f t="shared" si="15"/>
        <v>1.79</v>
      </c>
      <c r="R20" s="189">
        <f t="shared" si="15"/>
        <v>0</v>
      </c>
      <c r="S20" s="41">
        <f t="shared" si="15"/>
        <v>1.83</v>
      </c>
      <c r="T20" s="41">
        <f t="shared" si="15"/>
        <v>1.79</v>
      </c>
      <c r="U20" s="191">
        <f t="shared" si="15"/>
        <v>0</v>
      </c>
      <c r="V20" s="135">
        <f t="shared" si="15"/>
        <v>1.83</v>
      </c>
      <c r="W20" s="135">
        <f t="shared" si="15"/>
        <v>1.79</v>
      </c>
      <c r="X20" s="183">
        <f t="shared" si="15"/>
        <v>0</v>
      </c>
      <c r="Y20" s="142">
        <f t="shared" si="15"/>
        <v>1.83</v>
      </c>
      <c r="Z20" s="149">
        <f t="shared" si="15"/>
        <v>1.79</v>
      </c>
    </row>
    <row r="21" spans="8:26" ht="15.75" thickBot="1" x14ac:dyDescent="0.3">
      <c r="H21" s="111"/>
      <c r="I21" s="186"/>
      <c r="J21" s="38"/>
      <c r="K21" s="38"/>
      <c r="L21" s="38"/>
      <c r="M21" s="122"/>
      <c r="N21" s="122"/>
      <c r="O21" s="188"/>
      <c r="P21" s="130"/>
      <c r="Q21" s="130"/>
      <c r="R21" s="190"/>
      <c r="S21" s="38"/>
      <c r="T21" s="38"/>
      <c r="U21" s="192"/>
      <c r="V21" s="137"/>
      <c r="W21" s="137"/>
      <c r="X21" s="184"/>
      <c r="Y21" s="146"/>
      <c r="Z21" s="151"/>
    </row>
    <row r="22" spans="8:26" ht="15.75" thickBot="1" x14ac:dyDescent="0.3"/>
    <row r="23" spans="8:26" x14ac:dyDescent="0.25">
      <c r="H23" s="112" t="s">
        <v>120</v>
      </c>
      <c r="I23" s="185" t="s">
        <v>114</v>
      </c>
      <c r="J23" s="41" t="s">
        <v>119</v>
      </c>
      <c r="K23" s="41">
        <v>0</v>
      </c>
      <c r="L23" s="41">
        <v>100</v>
      </c>
      <c r="M23" s="121">
        <v>1.79</v>
      </c>
      <c r="N23" s="121">
        <v>0</v>
      </c>
      <c r="O23" s="187">
        <v>0</v>
      </c>
      <c r="P23" s="129">
        <f t="shared" ref="P23:Z23" si="16">+M23</f>
        <v>1.79</v>
      </c>
      <c r="Q23" s="129">
        <f t="shared" si="16"/>
        <v>0</v>
      </c>
      <c r="R23" s="189">
        <f t="shared" si="16"/>
        <v>0</v>
      </c>
      <c r="S23" s="41">
        <f t="shared" si="16"/>
        <v>1.79</v>
      </c>
      <c r="T23" s="41">
        <f t="shared" si="16"/>
        <v>0</v>
      </c>
      <c r="U23" s="191">
        <f t="shared" si="16"/>
        <v>0</v>
      </c>
      <c r="V23" s="135">
        <f t="shared" si="16"/>
        <v>1.79</v>
      </c>
      <c r="W23" s="135">
        <f t="shared" si="16"/>
        <v>0</v>
      </c>
      <c r="X23" s="183">
        <f t="shared" si="16"/>
        <v>0</v>
      </c>
      <c r="Y23" s="142">
        <f t="shared" si="16"/>
        <v>1.79</v>
      </c>
      <c r="Z23" s="149">
        <f t="shared" si="16"/>
        <v>0</v>
      </c>
    </row>
    <row r="24" spans="8:26" ht="15.75" thickBot="1" x14ac:dyDescent="0.3">
      <c r="H24" s="111"/>
      <c r="I24" s="186"/>
      <c r="J24" s="38"/>
      <c r="K24" s="38"/>
      <c r="L24" s="38"/>
      <c r="M24" s="122"/>
      <c r="N24" s="122"/>
      <c r="O24" s="188"/>
      <c r="P24" s="130"/>
      <c r="Q24" s="130"/>
      <c r="R24" s="190"/>
      <c r="S24" s="38"/>
      <c r="T24" s="38"/>
      <c r="U24" s="192"/>
      <c r="V24" s="137"/>
      <c r="W24" s="137"/>
      <c r="X24" s="184"/>
      <c r="Y24" s="146"/>
      <c r="Z24" s="151"/>
    </row>
    <row r="25" spans="8:26" ht="15.75" thickBot="1" x14ac:dyDescent="0.3"/>
    <row r="26" spans="8:26" x14ac:dyDescent="0.25">
      <c r="H26" s="230" t="s">
        <v>46</v>
      </c>
      <c r="I26" s="231" t="s">
        <v>123</v>
      </c>
      <c r="J26" s="232" t="s">
        <v>121</v>
      </c>
      <c r="K26" s="232"/>
      <c r="L26" s="232"/>
      <c r="M26" s="121">
        <v>1.82</v>
      </c>
      <c r="N26" s="121">
        <v>0</v>
      </c>
      <c r="O26" s="187">
        <v>0</v>
      </c>
      <c r="P26" s="129">
        <f t="shared" ref="P26:Z26" si="17">+M26</f>
        <v>1.82</v>
      </c>
      <c r="Q26" s="129">
        <f t="shared" si="17"/>
        <v>0</v>
      </c>
      <c r="R26" s="189">
        <f t="shared" si="17"/>
        <v>0</v>
      </c>
      <c r="S26" s="41">
        <f t="shared" si="17"/>
        <v>1.82</v>
      </c>
      <c r="T26" s="41">
        <f t="shared" si="17"/>
        <v>0</v>
      </c>
      <c r="U26" s="191">
        <f t="shared" si="17"/>
        <v>0</v>
      </c>
      <c r="V26" s="135">
        <f t="shared" si="17"/>
        <v>1.82</v>
      </c>
      <c r="W26" s="135">
        <f t="shared" si="17"/>
        <v>0</v>
      </c>
      <c r="X26" s="183">
        <f t="shared" si="17"/>
        <v>0</v>
      </c>
      <c r="Y26" s="142">
        <f t="shared" si="17"/>
        <v>1.82</v>
      </c>
      <c r="Z26" s="149">
        <f t="shared" si="17"/>
        <v>0</v>
      </c>
    </row>
    <row r="27" spans="8:26" ht="15.75" thickBot="1" x14ac:dyDescent="0.3">
      <c r="H27" s="233" t="s">
        <v>46</v>
      </c>
      <c r="I27" s="234"/>
      <c r="J27" s="235" t="s">
        <v>122</v>
      </c>
      <c r="K27" s="235"/>
      <c r="L27" s="235"/>
      <c r="M27" s="122">
        <v>1.79</v>
      </c>
      <c r="N27" s="122">
        <v>0</v>
      </c>
      <c r="O27" s="188"/>
      <c r="P27" s="130">
        <f>+M27</f>
        <v>1.79</v>
      </c>
      <c r="Q27" s="130">
        <f>+N27</f>
        <v>0</v>
      </c>
      <c r="R27" s="190"/>
      <c r="S27" s="38">
        <f>+P27</f>
        <v>1.79</v>
      </c>
      <c r="T27" s="38">
        <f>+Q27</f>
        <v>0</v>
      </c>
      <c r="U27" s="192"/>
      <c r="V27" s="137">
        <f>+S27</f>
        <v>1.79</v>
      </c>
      <c r="W27" s="137">
        <f>+T27</f>
        <v>0</v>
      </c>
      <c r="X27" s="184"/>
      <c r="Y27" s="146">
        <f>+V27</f>
        <v>1.79</v>
      </c>
      <c r="Z27" s="151">
        <f>+W27</f>
        <v>0</v>
      </c>
    </row>
    <row r="28" spans="8:26" ht="15.75" thickBot="1" x14ac:dyDescent="0.3"/>
    <row r="29" spans="8:26" x14ac:dyDescent="0.25">
      <c r="H29" s="72" t="s">
        <v>156</v>
      </c>
      <c r="I29" s="74" t="s">
        <v>123</v>
      </c>
      <c r="J29" s="41">
        <v>11.52</v>
      </c>
      <c r="K29" s="41">
        <v>11.52</v>
      </c>
      <c r="L29" s="41">
        <v>100</v>
      </c>
      <c r="M29" s="121">
        <v>1.79</v>
      </c>
      <c r="N29" s="121">
        <v>1.7</v>
      </c>
      <c r="O29" s="187">
        <v>0</v>
      </c>
      <c r="P29" s="129">
        <f t="shared" ref="P29:Z29" si="18">+M29</f>
        <v>1.79</v>
      </c>
      <c r="Q29" s="129">
        <f t="shared" si="18"/>
        <v>1.7</v>
      </c>
      <c r="R29" s="189">
        <f t="shared" si="18"/>
        <v>0</v>
      </c>
      <c r="S29" s="41">
        <f t="shared" si="18"/>
        <v>1.79</v>
      </c>
      <c r="T29" s="41">
        <f t="shared" si="18"/>
        <v>1.7</v>
      </c>
      <c r="U29" s="191">
        <f t="shared" si="18"/>
        <v>0</v>
      </c>
      <c r="V29" s="135">
        <f t="shared" si="18"/>
        <v>1.79</v>
      </c>
      <c r="W29" s="135">
        <f t="shared" si="18"/>
        <v>1.7</v>
      </c>
      <c r="X29" s="183">
        <f t="shared" si="18"/>
        <v>0</v>
      </c>
      <c r="Y29" s="142">
        <f t="shared" si="18"/>
        <v>1.79</v>
      </c>
      <c r="Z29" s="142">
        <f t="shared" si="18"/>
        <v>1.7</v>
      </c>
    </row>
    <row r="30" spans="8:26" ht="15.75" thickBot="1" x14ac:dyDescent="0.3">
      <c r="H30" s="237" t="s">
        <v>157</v>
      </c>
      <c r="I30" s="238" t="s">
        <v>123</v>
      </c>
      <c r="J30" s="239"/>
      <c r="K30" s="239"/>
      <c r="L30" s="239"/>
      <c r="M30" s="122"/>
      <c r="N30" s="122"/>
      <c r="O30" s="188"/>
      <c r="P30" s="130"/>
      <c r="Q30" s="130"/>
      <c r="R30" s="190"/>
      <c r="S30" s="38"/>
      <c r="T30" s="38"/>
      <c r="U30" s="192"/>
      <c r="V30" s="137"/>
      <c r="W30" s="137"/>
      <c r="X30" s="184"/>
      <c r="Y30" s="146"/>
      <c r="Z30" s="146"/>
    </row>
    <row r="31" spans="8:26" ht="15.75" thickBot="1" x14ac:dyDescent="0.3"/>
    <row r="32" spans="8:26" x14ac:dyDescent="0.25">
      <c r="H32" s="112" t="s">
        <v>124</v>
      </c>
      <c r="I32" s="185" t="s">
        <v>123</v>
      </c>
      <c r="J32" s="41">
        <v>11.52</v>
      </c>
      <c r="K32" s="41">
        <v>11.52</v>
      </c>
      <c r="L32" s="41">
        <v>100</v>
      </c>
      <c r="M32" s="121">
        <v>1.83</v>
      </c>
      <c r="N32" s="121">
        <v>0</v>
      </c>
      <c r="O32" s="187">
        <v>0</v>
      </c>
      <c r="P32" s="127">
        <f>+$M$32+$O$32</f>
        <v>1.83</v>
      </c>
      <c r="Q32" s="127">
        <f>+$N$32+$O$32</f>
        <v>0</v>
      </c>
      <c r="R32" s="189">
        <f>+O32</f>
        <v>0</v>
      </c>
      <c r="S32" s="42">
        <f>+$M$32+$R$32</f>
        <v>1.83</v>
      </c>
      <c r="T32" s="42">
        <f>+$N$32+$R$32</f>
        <v>0</v>
      </c>
      <c r="U32" s="191">
        <f>+R32</f>
        <v>0</v>
      </c>
      <c r="V32" s="136">
        <f>+$M$32+$U$32</f>
        <v>1.83</v>
      </c>
      <c r="W32" s="136">
        <f>+$N$32+$U$32</f>
        <v>0</v>
      </c>
      <c r="X32" s="183">
        <f>+U32</f>
        <v>0</v>
      </c>
      <c r="Y32" s="143">
        <f>+$M$32+$X$32</f>
        <v>1.83</v>
      </c>
      <c r="Z32" s="143">
        <f>+$N$32+$X$32</f>
        <v>0</v>
      </c>
    </row>
    <row r="33" spans="8:26" ht="15.75" thickBot="1" x14ac:dyDescent="0.3">
      <c r="H33" s="111"/>
      <c r="I33" s="186"/>
      <c r="J33" s="38"/>
      <c r="K33" s="38"/>
      <c r="L33" s="38"/>
      <c r="M33" s="122"/>
      <c r="N33" s="122"/>
      <c r="O33" s="188"/>
      <c r="P33" s="130"/>
      <c r="Q33" s="130"/>
      <c r="R33" s="190"/>
      <c r="S33" s="38"/>
      <c r="T33" s="38"/>
      <c r="U33" s="192"/>
      <c r="V33" s="137"/>
      <c r="W33" s="137"/>
      <c r="X33" s="184"/>
      <c r="Y33" s="146"/>
      <c r="Z33" s="146"/>
    </row>
    <row r="34" spans="8:26" ht="15.75" thickBot="1" x14ac:dyDescent="0.3"/>
    <row r="35" spans="8:26" x14ac:dyDescent="0.25">
      <c r="H35" s="112" t="s">
        <v>125</v>
      </c>
      <c r="I35" s="185" t="s">
        <v>126</v>
      </c>
      <c r="J35" s="41" t="s">
        <v>127</v>
      </c>
      <c r="K35" s="41">
        <v>11.52</v>
      </c>
      <c r="L35" s="41">
        <v>11.52</v>
      </c>
      <c r="M35" s="118">
        <v>1.83</v>
      </c>
      <c r="N35" s="118">
        <v>1.79</v>
      </c>
      <c r="O35" s="187">
        <v>0.03</v>
      </c>
      <c r="P35" s="127">
        <f>+M35+$O$35</f>
        <v>1.86</v>
      </c>
      <c r="Q35" s="127">
        <f>+N35+$O$35</f>
        <v>1.82</v>
      </c>
      <c r="R35" s="189">
        <v>0</v>
      </c>
      <c r="S35" s="42">
        <f>+M35+$R$35</f>
        <v>1.83</v>
      </c>
      <c r="T35" s="42">
        <f>+N35+$R$35</f>
        <v>1.79</v>
      </c>
      <c r="U35" s="191">
        <f>+R35</f>
        <v>0</v>
      </c>
      <c r="V35" s="136">
        <f>+M35+$U$35</f>
        <v>1.83</v>
      </c>
      <c r="W35" s="136">
        <f>+N35+$U$35</f>
        <v>1.79</v>
      </c>
      <c r="X35" s="199">
        <v>0.03</v>
      </c>
      <c r="Y35" s="143">
        <f>+M35+$X$35</f>
        <v>1.86</v>
      </c>
      <c r="Z35" s="143">
        <f>+N35+$X$35</f>
        <v>1.82</v>
      </c>
    </row>
    <row r="36" spans="8:26" x14ac:dyDescent="0.25">
      <c r="H36" s="110" t="s">
        <v>125</v>
      </c>
      <c r="I36" s="196"/>
      <c r="J36" s="9" t="s">
        <v>128</v>
      </c>
      <c r="K36" s="9">
        <v>11.53</v>
      </c>
      <c r="L36" s="9">
        <v>12.57</v>
      </c>
      <c r="M36" s="119">
        <v>1.89</v>
      </c>
      <c r="N36" s="119">
        <v>1.85</v>
      </c>
      <c r="O36" s="197"/>
      <c r="P36" s="85">
        <f>+M36+$O$35</f>
        <v>1.92</v>
      </c>
      <c r="Q36" s="85">
        <f t="shared" ref="Q36:Q39" si="19">+N36+$O$35</f>
        <v>1.8800000000000001</v>
      </c>
      <c r="R36" s="198"/>
      <c r="S36" s="37">
        <f t="shared" ref="S36:S39" si="20">+M36+$R$35</f>
        <v>1.89</v>
      </c>
      <c r="T36" s="37">
        <f t="shared" ref="T36:T39" si="21">+N36+$R$35</f>
        <v>1.85</v>
      </c>
      <c r="U36" s="193"/>
      <c r="V36" s="86">
        <f t="shared" ref="V36:V39" si="22">+M36+$U$35</f>
        <v>1.89</v>
      </c>
      <c r="W36" s="86">
        <f t="shared" ref="W36:W39" si="23">+N36+$U$35</f>
        <v>1.85</v>
      </c>
      <c r="X36" s="200"/>
      <c r="Y36" s="78">
        <f t="shared" ref="Y36:Y39" si="24">+M36+$X$35</f>
        <v>1.92</v>
      </c>
      <c r="Z36" s="78">
        <f t="shared" ref="Z36:Z39" si="25">+N36+$X$35</f>
        <v>1.8800000000000001</v>
      </c>
    </row>
    <row r="37" spans="8:26" x14ac:dyDescent="0.25">
      <c r="H37" s="110" t="s">
        <v>125</v>
      </c>
      <c r="I37" s="196"/>
      <c r="J37" s="9" t="s">
        <v>129</v>
      </c>
      <c r="K37" s="9">
        <v>12.58</v>
      </c>
      <c r="L37" s="9">
        <v>13.51</v>
      </c>
      <c r="M37" s="119">
        <v>1.92</v>
      </c>
      <c r="N37" s="119">
        <v>1.88</v>
      </c>
      <c r="O37" s="197"/>
      <c r="P37" s="85">
        <f t="shared" ref="P37:P39" si="26">+M37+$O$35</f>
        <v>1.95</v>
      </c>
      <c r="Q37" s="85">
        <f t="shared" si="19"/>
        <v>1.91</v>
      </c>
      <c r="R37" s="198"/>
      <c r="S37" s="37">
        <f t="shared" si="20"/>
        <v>1.92</v>
      </c>
      <c r="T37" s="37">
        <f t="shared" si="21"/>
        <v>1.88</v>
      </c>
      <c r="U37" s="193"/>
      <c r="V37" s="86">
        <f t="shared" si="22"/>
        <v>1.92</v>
      </c>
      <c r="W37" s="86">
        <f t="shared" si="23"/>
        <v>1.88</v>
      </c>
      <c r="X37" s="200"/>
      <c r="Y37" s="78">
        <f t="shared" si="24"/>
        <v>1.95</v>
      </c>
      <c r="Z37" s="78">
        <f t="shared" si="25"/>
        <v>1.91</v>
      </c>
    </row>
    <row r="38" spans="8:26" x14ac:dyDescent="0.25">
      <c r="H38" s="110" t="s">
        <v>125</v>
      </c>
      <c r="I38" s="196"/>
      <c r="J38" s="9" t="s">
        <v>130</v>
      </c>
      <c r="K38" s="9">
        <v>13.52</v>
      </c>
      <c r="L38" s="9">
        <v>15.71</v>
      </c>
      <c r="M38" s="119">
        <v>1.95</v>
      </c>
      <c r="N38" s="119">
        <v>1.91</v>
      </c>
      <c r="O38" s="197"/>
      <c r="P38" s="85">
        <f t="shared" si="26"/>
        <v>1.98</v>
      </c>
      <c r="Q38" s="85">
        <f t="shared" si="19"/>
        <v>1.94</v>
      </c>
      <c r="R38" s="198"/>
      <c r="S38" s="37">
        <f t="shared" si="20"/>
        <v>1.95</v>
      </c>
      <c r="T38" s="37">
        <f t="shared" si="21"/>
        <v>1.91</v>
      </c>
      <c r="U38" s="193"/>
      <c r="V38" s="86">
        <f t="shared" si="22"/>
        <v>1.95</v>
      </c>
      <c r="W38" s="86">
        <f t="shared" si="23"/>
        <v>1.91</v>
      </c>
      <c r="X38" s="200"/>
      <c r="Y38" s="78">
        <f t="shared" si="24"/>
        <v>1.98</v>
      </c>
      <c r="Z38" s="78">
        <f t="shared" si="25"/>
        <v>1.94</v>
      </c>
    </row>
    <row r="39" spans="8:26" ht="15.75" thickBot="1" x14ac:dyDescent="0.3">
      <c r="H39" s="111" t="s">
        <v>125</v>
      </c>
      <c r="I39" s="186"/>
      <c r="J39" s="39" t="s">
        <v>131</v>
      </c>
      <c r="K39" s="39">
        <v>15.72</v>
      </c>
      <c r="L39" s="39">
        <v>100</v>
      </c>
      <c r="M39" s="120">
        <v>1.99</v>
      </c>
      <c r="N39" s="120">
        <v>1.95</v>
      </c>
      <c r="O39" s="188"/>
      <c r="P39" s="128">
        <f t="shared" si="26"/>
        <v>2.02</v>
      </c>
      <c r="Q39" s="128">
        <f t="shared" si="19"/>
        <v>1.98</v>
      </c>
      <c r="R39" s="190"/>
      <c r="S39" s="40">
        <f t="shared" si="20"/>
        <v>1.99</v>
      </c>
      <c r="T39" s="40">
        <f t="shared" si="21"/>
        <v>1.95</v>
      </c>
      <c r="U39" s="194"/>
      <c r="V39" s="138">
        <f t="shared" si="22"/>
        <v>1.99</v>
      </c>
      <c r="W39" s="138">
        <f t="shared" si="23"/>
        <v>1.95</v>
      </c>
      <c r="X39" s="201"/>
      <c r="Y39" s="147">
        <f t="shared" si="24"/>
        <v>2.02</v>
      </c>
      <c r="Z39" s="147">
        <f t="shared" si="25"/>
        <v>1.98</v>
      </c>
    </row>
    <row r="40" spans="8:26" ht="15.75" thickBot="1" x14ac:dyDescent="0.3"/>
    <row r="41" spans="8:26" x14ac:dyDescent="0.25">
      <c r="H41" s="112" t="s">
        <v>135</v>
      </c>
      <c r="I41" s="185" t="s">
        <v>114</v>
      </c>
      <c r="J41" s="41" t="s">
        <v>132</v>
      </c>
      <c r="K41" s="41">
        <v>12</v>
      </c>
      <c r="L41" s="41">
        <v>12</v>
      </c>
      <c r="M41" s="118">
        <v>1.78</v>
      </c>
      <c r="N41" s="118">
        <v>1.76</v>
      </c>
      <c r="O41" s="187">
        <v>0</v>
      </c>
      <c r="P41" s="127">
        <f>+M41+O41</f>
        <v>1.78</v>
      </c>
      <c r="Q41" s="127">
        <f>+N41+O41</f>
        <v>1.76</v>
      </c>
      <c r="R41" s="189">
        <v>0</v>
      </c>
      <c r="S41" s="42">
        <f>+M41+R41</f>
        <v>1.78</v>
      </c>
      <c r="T41" s="42">
        <f>+N41+R41</f>
        <v>1.76</v>
      </c>
      <c r="U41" s="191">
        <f>+R41</f>
        <v>0</v>
      </c>
      <c r="V41" s="136">
        <f>+P41+U41</f>
        <v>1.78</v>
      </c>
      <c r="W41" s="136">
        <f>+Q41+U41</f>
        <v>1.76</v>
      </c>
      <c r="X41" s="183">
        <v>0</v>
      </c>
      <c r="Y41" s="143">
        <f>+S41+X41</f>
        <v>1.78</v>
      </c>
      <c r="Z41" s="143">
        <f>+T41+X41</f>
        <v>1.76</v>
      </c>
    </row>
    <row r="42" spans="8:26" x14ac:dyDescent="0.25">
      <c r="H42" s="110" t="s">
        <v>135</v>
      </c>
      <c r="I42" s="196"/>
      <c r="J42" s="9" t="s">
        <v>133</v>
      </c>
      <c r="K42" s="9">
        <v>12.01</v>
      </c>
      <c r="L42" s="9">
        <v>13</v>
      </c>
      <c r="M42" s="119">
        <v>1.84</v>
      </c>
      <c r="N42" s="119">
        <v>1.82</v>
      </c>
      <c r="O42" s="197"/>
      <c r="P42" s="85">
        <f>+M42+O41</f>
        <v>1.84</v>
      </c>
      <c r="Q42" s="85">
        <f>+N42+O41</f>
        <v>1.82</v>
      </c>
      <c r="R42" s="198"/>
      <c r="S42" s="37">
        <f>+M42+R41</f>
        <v>1.84</v>
      </c>
      <c r="T42" s="37">
        <f>+N42+R41</f>
        <v>1.82</v>
      </c>
      <c r="U42" s="193"/>
      <c r="V42" s="86">
        <f>+P42+U41</f>
        <v>1.84</v>
      </c>
      <c r="W42" s="86">
        <f>+Q42+U41</f>
        <v>1.82</v>
      </c>
      <c r="X42" s="195"/>
      <c r="Y42" s="78">
        <f>+S42+X41</f>
        <v>1.84</v>
      </c>
      <c r="Z42" s="78">
        <f>+T42+X41</f>
        <v>1.82</v>
      </c>
    </row>
    <row r="43" spans="8:26" ht="15.75" thickBot="1" x14ac:dyDescent="0.3">
      <c r="H43" s="111" t="s">
        <v>135</v>
      </c>
      <c r="I43" s="186"/>
      <c r="J43" s="39" t="s">
        <v>134</v>
      </c>
      <c r="K43" s="39">
        <v>13.01</v>
      </c>
      <c r="L43" s="39">
        <v>100</v>
      </c>
      <c r="M43" s="120">
        <v>1.9</v>
      </c>
      <c r="N43" s="120">
        <v>1.88</v>
      </c>
      <c r="O43" s="188"/>
      <c r="P43" s="128">
        <f>+M43+O41</f>
        <v>1.9</v>
      </c>
      <c r="Q43" s="128">
        <f>+N43+O41</f>
        <v>1.88</v>
      </c>
      <c r="R43" s="190"/>
      <c r="S43" s="40">
        <f>+M43+R41</f>
        <v>1.9</v>
      </c>
      <c r="T43" s="40">
        <f>+N43+R41</f>
        <v>1.88</v>
      </c>
      <c r="U43" s="194"/>
      <c r="V43" s="138">
        <f>+P43+U41</f>
        <v>1.9</v>
      </c>
      <c r="W43" s="138">
        <f>+Q43+U41</f>
        <v>1.88</v>
      </c>
      <c r="X43" s="184"/>
      <c r="Y43" s="147">
        <f>+S43+X41</f>
        <v>1.9</v>
      </c>
      <c r="Z43" s="147">
        <f>+T43+X41</f>
        <v>1.88</v>
      </c>
    </row>
    <row r="44" spans="8:26" ht="15.75" thickBot="1" x14ac:dyDescent="0.3"/>
    <row r="45" spans="8:26" x14ac:dyDescent="0.25">
      <c r="H45" s="112" t="s">
        <v>136</v>
      </c>
      <c r="I45" s="185" t="s">
        <v>136</v>
      </c>
      <c r="J45" s="41" t="s">
        <v>132</v>
      </c>
      <c r="K45" s="41">
        <v>12</v>
      </c>
      <c r="L45" s="41">
        <v>12</v>
      </c>
      <c r="M45" s="121">
        <v>1.78</v>
      </c>
      <c r="N45" s="118">
        <v>0</v>
      </c>
      <c r="O45" s="187">
        <v>0</v>
      </c>
      <c r="P45" s="127">
        <f t="shared" ref="P45:Z45" si="27">+M45</f>
        <v>1.78</v>
      </c>
      <c r="Q45" s="127">
        <f t="shared" si="27"/>
        <v>0</v>
      </c>
      <c r="R45" s="189">
        <f t="shared" si="27"/>
        <v>0</v>
      </c>
      <c r="S45" s="42">
        <f t="shared" si="27"/>
        <v>1.78</v>
      </c>
      <c r="T45" s="42">
        <f t="shared" si="27"/>
        <v>0</v>
      </c>
      <c r="U45" s="191">
        <f t="shared" si="27"/>
        <v>0</v>
      </c>
      <c r="V45" s="136">
        <f t="shared" si="27"/>
        <v>1.78</v>
      </c>
      <c r="W45" s="136">
        <f t="shared" si="27"/>
        <v>0</v>
      </c>
      <c r="X45" s="183">
        <f t="shared" si="27"/>
        <v>0</v>
      </c>
      <c r="Y45" s="143">
        <f t="shared" si="27"/>
        <v>1.78</v>
      </c>
      <c r="Z45" s="143">
        <f t="shared" si="27"/>
        <v>0</v>
      </c>
    </row>
    <row r="46" spans="8:26" ht="15.75" thickBot="1" x14ac:dyDescent="0.3">
      <c r="H46" s="111" t="s">
        <v>136</v>
      </c>
      <c r="I46" s="186"/>
      <c r="J46" s="39" t="s">
        <v>137</v>
      </c>
      <c r="K46" s="39">
        <v>12.01</v>
      </c>
      <c r="L46" s="39">
        <v>100</v>
      </c>
      <c r="M46" s="122">
        <v>1.82</v>
      </c>
      <c r="N46" s="120">
        <v>0</v>
      </c>
      <c r="O46" s="188"/>
      <c r="P46" s="130">
        <f>+M46</f>
        <v>1.82</v>
      </c>
      <c r="Q46" s="128">
        <f>+N46</f>
        <v>0</v>
      </c>
      <c r="R46" s="190"/>
      <c r="S46" s="38">
        <f>+P46</f>
        <v>1.82</v>
      </c>
      <c r="T46" s="40">
        <f>+Q46</f>
        <v>0</v>
      </c>
      <c r="U46" s="192"/>
      <c r="V46" s="137">
        <f>+S46</f>
        <v>1.82</v>
      </c>
      <c r="W46" s="138">
        <f>+T46</f>
        <v>0</v>
      </c>
      <c r="X46" s="184"/>
      <c r="Y46" s="146">
        <f>+V46</f>
        <v>1.82</v>
      </c>
      <c r="Z46" s="147">
        <f>+W46</f>
        <v>0</v>
      </c>
    </row>
    <row r="47" spans="8:26" ht="15.75" thickBot="1" x14ac:dyDescent="0.3"/>
    <row r="48" spans="8:26" x14ac:dyDescent="0.25">
      <c r="H48" s="112" t="s">
        <v>138</v>
      </c>
      <c r="I48" s="185" t="s">
        <v>123</v>
      </c>
      <c r="J48" s="41">
        <v>11.52</v>
      </c>
      <c r="K48" s="41">
        <v>11.52</v>
      </c>
      <c r="L48" s="41">
        <v>100</v>
      </c>
      <c r="M48" s="118">
        <v>1.82</v>
      </c>
      <c r="N48" s="118">
        <v>1.79</v>
      </c>
      <c r="O48" s="187">
        <v>0</v>
      </c>
      <c r="P48" s="127">
        <f t="shared" ref="P48:Z48" si="28">+M48</f>
        <v>1.82</v>
      </c>
      <c r="Q48" s="127">
        <f t="shared" si="28"/>
        <v>1.79</v>
      </c>
      <c r="R48" s="189">
        <f t="shared" si="28"/>
        <v>0</v>
      </c>
      <c r="S48" s="42">
        <f t="shared" si="28"/>
        <v>1.82</v>
      </c>
      <c r="T48" s="42">
        <f t="shared" si="28"/>
        <v>1.79</v>
      </c>
      <c r="U48" s="191">
        <f t="shared" si="28"/>
        <v>0</v>
      </c>
      <c r="V48" s="136">
        <f t="shared" si="28"/>
        <v>1.82</v>
      </c>
      <c r="W48" s="136">
        <f t="shared" si="28"/>
        <v>1.79</v>
      </c>
      <c r="X48" s="183">
        <f t="shared" si="28"/>
        <v>0</v>
      </c>
      <c r="Y48" s="143">
        <f t="shared" si="28"/>
        <v>1.82</v>
      </c>
      <c r="Z48" s="143">
        <f t="shared" si="28"/>
        <v>1.79</v>
      </c>
    </row>
    <row r="49" spans="8:26" ht="15.75" thickBot="1" x14ac:dyDescent="0.3">
      <c r="H49" s="111"/>
      <c r="I49" s="186"/>
      <c r="J49" s="39"/>
      <c r="K49" s="39"/>
      <c r="L49" s="39"/>
      <c r="M49" s="120">
        <v>0</v>
      </c>
      <c r="N49" s="120">
        <v>0</v>
      </c>
      <c r="O49" s="188"/>
      <c r="P49" s="128">
        <f>+M49</f>
        <v>0</v>
      </c>
      <c r="Q49" s="128">
        <f>+N49</f>
        <v>0</v>
      </c>
      <c r="R49" s="190"/>
      <c r="S49" s="40">
        <f>+P49</f>
        <v>0</v>
      </c>
      <c r="T49" s="40">
        <f>+Q49</f>
        <v>0</v>
      </c>
      <c r="U49" s="192"/>
      <c r="V49" s="138">
        <f>+S49</f>
        <v>0</v>
      </c>
      <c r="W49" s="138">
        <f>+T49</f>
        <v>0</v>
      </c>
      <c r="X49" s="184"/>
      <c r="Y49" s="147">
        <f>+V49</f>
        <v>0</v>
      </c>
      <c r="Z49" s="147">
        <f>+W49</f>
        <v>0</v>
      </c>
    </row>
    <row r="50" spans="8:26" ht="15.75" thickBot="1" x14ac:dyDescent="0.3"/>
    <row r="51" spans="8:26" x14ac:dyDescent="0.25">
      <c r="H51" s="112" t="s">
        <v>109</v>
      </c>
      <c r="I51" s="185" t="s">
        <v>141</v>
      </c>
      <c r="J51" s="41">
        <v>11.52</v>
      </c>
      <c r="K51" s="41">
        <v>11.52</v>
      </c>
      <c r="L51" s="41">
        <v>100</v>
      </c>
      <c r="M51" s="118">
        <v>1.82</v>
      </c>
      <c r="N51" s="118">
        <v>1.79</v>
      </c>
      <c r="O51" s="187">
        <v>0</v>
      </c>
      <c r="P51" s="127">
        <f>+M51</f>
        <v>1.82</v>
      </c>
      <c r="Q51" s="127">
        <f>+N51</f>
        <v>1.79</v>
      </c>
      <c r="R51" s="189">
        <f>+O51</f>
        <v>0</v>
      </c>
      <c r="S51" s="42">
        <v>0</v>
      </c>
      <c r="T51" s="42">
        <v>0</v>
      </c>
      <c r="U51" s="191">
        <f t="shared" ref="U51:Z51" si="29">+R51</f>
        <v>0</v>
      </c>
      <c r="V51" s="136">
        <f t="shared" si="29"/>
        <v>0</v>
      </c>
      <c r="W51" s="136">
        <f t="shared" si="29"/>
        <v>0</v>
      </c>
      <c r="X51" s="183">
        <f t="shared" si="29"/>
        <v>0</v>
      </c>
      <c r="Y51" s="143">
        <f t="shared" si="29"/>
        <v>0</v>
      </c>
      <c r="Z51" s="143">
        <f t="shared" si="29"/>
        <v>0</v>
      </c>
    </row>
    <row r="52" spans="8:26" ht="15.75" thickBot="1" x14ac:dyDescent="0.3">
      <c r="H52" s="111"/>
      <c r="I52" s="186"/>
      <c r="J52" s="39"/>
      <c r="K52" s="39"/>
      <c r="L52" s="39"/>
      <c r="M52" s="120">
        <v>0</v>
      </c>
      <c r="N52" s="120">
        <v>0</v>
      </c>
      <c r="O52" s="188"/>
      <c r="P52" s="128">
        <f>+M52</f>
        <v>0</v>
      </c>
      <c r="Q52" s="128">
        <f>+N52</f>
        <v>0</v>
      </c>
      <c r="R52" s="190"/>
      <c r="S52" s="40">
        <f>+P52</f>
        <v>0</v>
      </c>
      <c r="T52" s="40">
        <f>+Q52</f>
        <v>0</v>
      </c>
      <c r="U52" s="192"/>
      <c r="V52" s="138">
        <f>+S52</f>
        <v>0</v>
      </c>
      <c r="W52" s="138">
        <f>+T52</f>
        <v>0</v>
      </c>
      <c r="X52" s="184"/>
      <c r="Y52" s="147">
        <f>+V52</f>
        <v>0</v>
      </c>
      <c r="Z52" s="147">
        <f>+W52</f>
        <v>0</v>
      </c>
    </row>
    <row r="53" spans="8:26" ht="15.75" thickBot="1" x14ac:dyDescent="0.3"/>
    <row r="54" spans="8:26" x14ac:dyDescent="0.25">
      <c r="H54" s="112" t="s">
        <v>139</v>
      </c>
      <c r="I54" s="185" t="s">
        <v>142</v>
      </c>
      <c r="J54" s="41">
        <v>11.52</v>
      </c>
      <c r="K54" s="41">
        <v>11.52</v>
      </c>
      <c r="L54" s="41">
        <v>100</v>
      </c>
      <c r="M54" s="118">
        <v>1.82</v>
      </c>
      <c r="N54" s="118">
        <v>1.79</v>
      </c>
      <c r="O54" s="187">
        <v>0</v>
      </c>
      <c r="P54" s="127">
        <f>+M54</f>
        <v>1.82</v>
      </c>
      <c r="Q54" s="127">
        <f>+N54</f>
        <v>1.79</v>
      </c>
      <c r="R54" s="189">
        <f>+O54</f>
        <v>0</v>
      </c>
      <c r="S54" s="42">
        <v>0</v>
      </c>
      <c r="T54" s="42">
        <v>0</v>
      </c>
      <c r="U54" s="191">
        <f t="shared" ref="U54:Z54" si="30">+R54</f>
        <v>0</v>
      </c>
      <c r="V54" s="136">
        <f t="shared" si="30"/>
        <v>0</v>
      </c>
      <c r="W54" s="136">
        <f t="shared" si="30"/>
        <v>0</v>
      </c>
      <c r="X54" s="183">
        <f t="shared" si="30"/>
        <v>0</v>
      </c>
      <c r="Y54" s="143">
        <f t="shared" si="30"/>
        <v>0</v>
      </c>
      <c r="Z54" s="143">
        <f t="shared" si="30"/>
        <v>0</v>
      </c>
    </row>
    <row r="55" spans="8:26" ht="15.75" thickBot="1" x14ac:dyDescent="0.3">
      <c r="H55" s="111"/>
      <c r="I55" s="186"/>
      <c r="J55" s="39"/>
      <c r="K55" s="39"/>
      <c r="L55" s="39"/>
      <c r="M55" s="120">
        <v>0</v>
      </c>
      <c r="N55" s="120">
        <v>0</v>
      </c>
      <c r="O55" s="188"/>
      <c r="P55" s="128">
        <f>+M55</f>
        <v>0</v>
      </c>
      <c r="Q55" s="128">
        <f>+N55</f>
        <v>0</v>
      </c>
      <c r="R55" s="190"/>
      <c r="S55" s="40">
        <f>+P55</f>
        <v>0</v>
      </c>
      <c r="T55" s="40">
        <f>+Q55</f>
        <v>0</v>
      </c>
      <c r="U55" s="192"/>
      <c r="V55" s="138">
        <f>+S55</f>
        <v>0</v>
      </c>
      <c r="W55" s="138">
        <f>+T55</f>
        <v>0</v>
      </c>
      <c r="X55" s="184"/>
      <c r="Y55" s="147">
        <f>+V55</f>
        <v>0</v>
      </c>
      <c r="Z55" s="147">
        <f>+W55</f>
        <v>0</v>
      </c>
    </row>
    <row r="56" spans="8:26" ht="15.75" thickBot="1" x14ac:dyDescent="0.3"/>
    <row r="57" spans="8:26" x14ac:dyDescent="0.25">
      <c r="H57" s="112" t="s">
        <v>140</v>
      </c>
      <c r="I57" s="185" t="s">
        <v>142</v>
      </c>
      <c r="J57" s="41">
        <v>11.52</v>
      </c>
      <c r="K57" s="41">
        <v>11.52</v>
      </c>
      <c r="L57" s="41">
        <v>100</v>
      </c>
      <c r="M57" s="118">
        <v>1.82</v>
      </c>
      <c r="N57" s="118">
        <v>1.79</v>
      </c>
      <c r="O57" s="187">
        <v>0</v>
      </c>
      <c r="P57" s="127">
        <f>+M57</f>
        <v>1.82</v>
      </c>
      <c r="Q57" s="127">
        <f>+N57</f>
        <v>1.79</v>
      </c>
      <c r="R57" s="189">
        <f>+O57</f>
        <v>0</v>
      </c>
      <c r="S57" s="42">
        <v>0</v>
      </c>
      <c r="T57" s="42">
        <v>0</v>
      </c>
      <c r="U57" s="191">
        <f t="shared" ref="U57:Z57" si="31">+R57</f>
        <v>0</v>
      </c>
      <c r="V57" s="136">
        <f t="shared" si="31"/>
        <v>0</v>
      </c>
      <c r="W57" s="136">
        <f t="shared" si="31"/>
        <v>0</v>
      </c>
      <c r="X57" s="183">
        <f t="shared" si="31"/>
        <v>0</v>
      </c>
      <c r="Y57" s="143">
        <f t="shared" si="31"/>
        <v>0</v>
      </c>
      <c r="Z57" s="143">
        <f t="shared" si="31"/>
        <v>0</v>
      </c>
    </row>
    <row r="58" spans="8:26" ht="15.75" thickBot="1" x14ac:dyDescent="0.3">
      <c r="H58" s="111"/>
      <c r="I58" s="186"/>
      <c r="J58" s="39"/>
      <c r="K58" s="39"/>
      <c r="L58" s="39"/>
      <c r="M58" s="120">
        <v>0</v>
      </c>
      <c r="N58" s="120">
        <v>0</v>
      </c>
      <c r="O58" s="188"/>
      <c r="P58" s="128">
        <f>+M58</f>
        <v>0</v>
      </c>
      <c r="Q58" s="128">
        <f>+N58</f>
        <v>0</v>
      </c>
      <c r="R58" s="190"/>
      <c r="S58" s="40">
        <f>+P58</f>
        <v>0</v>
      </c>
      <c r="T58" s="40">
        <f>+Q58</f>
        <v>0</v>
      </c>
      <c r="U58" s="192"/>
      <c r="V58" s="138">
        <f>+S58</f>
        <v>0</v>
      </c>
      <c r="W58" s="138">
        <f>+T58</f>
        <v>0</v>
      </c>
      <c r="X58" s="184"/>
      <c r="Y58" s="147">
        <f>+V58</f>
        <v>0</v>
      </c>
      <c r="Z58" s="147">
        <f>+W58</f>
        <v>0</v>
      </c>
    </row>
  </sheetData>
  <mergeCells count="90">
    <mergeCell ref="X1:X2"/>
    <mergeCell ref="U1:U2"/>
    <mergeCell ref="R1:R2"/>
    <mergeCell ref="O1:O2"/>
    <mergeCell ref="O4:O7"/>
    <mergeCell ref="R4:R7"/>
    <mergeCell ref="I4:I5"/>
    <mergeCell ref="I6:I7"/>
    <mergeCell ref="U4:U7"/>
    <mergeCell ref="X4:X7"/>
    <mergeCell ref="B1:F1"/>
    <mergeCell ref="A7:C9"/>
    <mergeCell ref="A11:C15"/>
    <mergeCell ref="A4:C5"/>
    <mergeCell ref="H1:H2"/>
    <mergeCell ref="I1:I2"/>
    <mergeCell ref="I9:I11"/>
    <mergeCell ref="I13:I15"/>
    <mergeCell ref="O9:O11"/>
    <mergeCell ref="R9:R11"/>
    <mergeCell ref="U9:U11"/>
    <mergeCell ref="X9:X11"/>
    <mergeCell ref="X13:X15"/>
    <mergeCell ref="O17:O18"/>
    <mergeCell ref="R17:R18"/>
    <mergeCell ref="U17:U18"/>
    <mergeCell ref="X17:X18"/>
    <mergeCell ref="O13:O15"/>
    <mergeCell ref="R13:R15"/>
    <mergeCell ref="U13:U15"/>
    <mergeCell ref="O29:O30"/>
    <mergeCell ref="R29:R30"/>
    <mergeCell ref="U29:U30"/>
    <mergeCell ref="X29:X30"/>
    <mergeCell ref="O26:O27"/>
    <mergeCell ref="R26:R27"/>
    <mergeCell ref="U26:U27"/>
    <mergeCell ref="X26:X27"/>
    <mergeCell ref="I17:I18"/>
    <mergeCell ref="I20:I21"/>
    <mergeCell ref="I23:I24"/>
    <mergeCell ref="I26:I27"/>
    <mergeCell ref="X20:X21"/>
    <mergeCell ref="U20:U21"/>
    <mergeCell ref="R20:R21"/>
    <mergeCell ref="O20:O21"/>
    <mergeCell ref="O23:O24"/>
    <mergeCell ref="R23:R24"/>
    <mergeCell ref="U23:U24"/>
    <mergeCell ref="X23:X24"/>
    <mergeCell ref="X32:X33"/>
    <mergeCell ref="I35:I39"/>
    <mergeCell ref="O35:O39"/>
    <mergeCell ref="R35:R39"/>
    <mergeCell ref="U35:U39"/>
    <mergeCell ref="X35:X39"/>
    <mergeCell ref="I32:I33"/>
    <mergeCell ref="O32:O33"/>
    <mergeCell ref="R32:R33"/>
    <mergeCell ref="U32:U33"/>
    <mergeCell ref="U41:U43"/>
    <mergeCell ref="X41:X43"/>
    <mergeCell ref="I45:I46"/>
    <mergeCell ref="O45:O46"/>
    <mergeCell ref="R45:R46"/>
    <mergeCell ref="U45:U46"/>
    <mergeCell ref="X45:X46"/>
    <mergeCell ref="I41:I43"/>
    <mergeCell ref="O41:O43"/>
    <mergeCell ref="R41:R43"/>
    <mergeCell ref="X48:X49"/>
    <mergeCell ref="I51:I52"/>
    <mergeCell ref="O51:O52"/>
    <mergeCell ref="R51:R52"/>
    <mergeCell ref="U51:U52"/>
    <mergeCell ref="X51:X52"/>
    <mergeCell ref="I48:I49"/>
    <mergeCell ref="O48:O49"/>
    <mergeCell ref="R48:R49"/>
    <mergeCell ref="U48:U49"/>
    <mergeCell ref="X54:X55"/>
    <mergeCell ref="I57:I58"/>
    <mergeCell ref="O57:O58"/>
    <mergeCell ref="R57:R58"/>
    <mergeCell ref="U57:U58"/>
    <mergeCell ref="X57:X58"/>
    <mergeCell ref="I54:I55"/>
    <mergeCell ref="O54:O55"/>
    <mergeCell ref="R54:R55"/>
    <mergeCell ref="U54:U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Feuil1</vt:lpstr>
      <vt:lpstr>info</vt:lpstr>
      <vt:lpstr>Agence</vt:lpstr>
      <vt:lpstr>feries</vt:lpstr>
      <vt:lpstr>Site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Maeva Ajhon</dc:creator>
  <cp:lastModifiedBy>vianney TISSOT</cp:lastModifiedBy>
  <dcterms:created xsi:type="dcterms:W3CDTF">2023-12-21T11:25:43Z</dcterms:created>
  <dcterms:modified xsi:type="dcterms:W3CDTF">2023-12-28T22:32:42Z</dcterms:modified>
</cp:coreProperties>
</file>