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rench Digital Tour\__FDT_2023\CCM\"/>
    </mc:Choice>
  </mc:AlternateContent>
  <bookViews>
    <workbookView xWindow="0" yWindow="0" windowWidth="28800" windowHeight="13800" activeTab="1"/>
  </bookViews>
  <sheets>
    <sheet name="Répartition" sheetId="3" r:id="rId1"/>
    <sheet name="Tableau médailles" sheetId="2" r:id="rId2"/>
    <sheet name="Médailles Commandées" sheetId="1" r:id="rId3"/>
  </sheets>
  <definedNames>
    <definedName name="_xlnm._FilterDatabase" localSheetId="1" hidden="1">'Tableau médailles'!$C$14:$E$147</definedName>
    <definedName name="code">'Tableau médailles'!$V$13:$W$136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2" l="1"/>
  <c r="P16" i="2"/>
  <c r="O17" i="2"/>
  <c r="P17" i="2"/>
  <c r="O18" i="2"/>
  <c r="P18" i="2"/>
  <c r="O32" i="2"/>
  <c r="P32" i="2"/>
  <c r="O33" i="2"/>
  <c r="P33" i="2"/>
  <c r="O34" i="2"/>
  <c r="P34" i="2"/>
  <c r="O35" i="2"/>
  <c r="P35" i="2"/>
  <c r="O48" i="2"/>
  <c r="P48" i="2"/>
  <c r="O49" i="2"/>
  <c r="P49" i="2"/>
  <c r="O50" i="2"/>
  <c r="P50" i="2"/>
  <c r="O51" i="2"/>
  <c r="P51" i="2"/>
  <c r="O64" i="2"/>
  <c r="P64" i="2"/>
  <c r="O65" i="2"/>
  <c r="P65" i="2"/>
  <c r="O66" i="2"/>
  <c r="P66" i="2"/>
  <c r="O67" i="2"/>
  <c r="P67" i="2"/>
  <c r="O74" i="2"/>
  <c r="P74" i="2"/>
  <c r="O80" i="2"/>
  <c r="P80" i="2"/>
  <c r="O86" i="2"/>
  <c r="P86" i="2"/>
  <c r="O68" i="2"/>
  <c r="P68" i="2"/>
  <c r="O75" i="2"/>
  <c r="P75" i="2"/>
  <c r="O81" i="2"/>
  <c r="P81" i="2"/>
  <c r="O87" i="2"/>
  <c r="P87" i="2"/>
  <c r="O69" i="2"/>
  <c r="P69" i="2"/>
  <c r="O76" i="2"/>
  <c r="P76" i="2"/>
  <c r="O82" i="2"/>
  <c r="P82" i="2"/>
  <c r="O88" i="2"/>
  <c r="P88" i="2"/>
  <c r="O70" i="2"/>
  <c r="P70" i="2"/>
  <c r="O77" i="2"/>
  <c r="P77" i="2"/>
  <c r="O83" i="2"/>
  <c r="P83" i="2"/>
  <c r="O89" i="2"/>
  <c r="P89" i="2"/>
  <c r="O71" i="2"/>
  <c r="P71" i="2"/>
  <c r="O72" i="2"/>
  <c r="P72" i="2"/>
  <c r="O78" i="2"/>
  <c r="P78" i="2"/>
  <c r="O84" i="2"/>
  <c r="P84" i="2"/>
  <c r="O90" i="2"/>
  <c r="P90" i="2"/>
  <c r="O73" i="2"/>
  <c r="P73" i="2"/>
  <c r="O79" i="2"/>
  <c r="P79" i="2"/>
  <c r="O85" i="2"/>
  <c r="P85" i="2"/>
  <c r="O91" i="2"/>
  <c r="P91" i="2"/>
  <c r="O19" i="2"/>
  <c r="P19" i="2"/>
  <c r="O20" i="2"/>
  <c r="P20" i="2"/>
  <c r="O21" i="2"/>
  <c r="P21" i="2"/>
  <c r="O22" i="2"/>
  <c r="P22" i="2"/>
  <c r="O36" i="2"/>
  <c r="P36" i="2"/>
  <c r="O37" i="2"/>
  <c r="P37" i="2"/>
  <c r="O38" i="2"/>
  <c r="P38" i="2"/>
  <c r="O39" i="2"/>
  <c r="P39" i="2"/>
  <c r="O52" i="2"/>
  <c r="P52" i="2"/>
  <c r="O53" i="2"/>
  <c r="P53" i="2"/>
  <c r="O54" i="2"/>
  <c r="P54" i="2"/>
  <c r="O55" i="2"/>
  <c r="P55" i="2"/>
  <c r="O92" i="2"/>
  <c r="P92" i="2"/>
  <c r="O94" i="2"/>
  <c r="P94" i="2"/>
  <c r="O96" i="2"/>
  <c r="P96" i="2"/>
  <c r="O98" i="2"/>
  <c r="P98" i="2"/>
  <c r="O93" i="2"/>
  <c r="P93" i="2"/>
  <c r="O95" i="2"/>
  <c r="P95" i="2"/>
  <c r="O97" i="2"/>
  <c r="P97" i="2"/>
  <c r="O99" i="2"/>
  <c r="P99" i="2"/>
  <c r="O23" i="2"/>
  <c r="P23" i="2"/>
  <c r="O40" i="2"/>
  <c r="P40" i="2"/>
  <c r="O56" i="2"/>
  <c r="P56" i="2"/>
  <c r="O100" i="2"/>
  <c r="P100" i="2"/>
  <c r="O102" i="2"/>
  <c r="P102" i="2"/>
  <c r="O104" i="2"/>
  <c r="P104" i="2"/>
  <c r="O105" i="2"/>
  <c r="P105" i="2"/>
  <c r="O101" i="2"/>
  <c r="P101" i="2"/>
  <c r="O103" i="2"/>
  <c r="P103" i="2"/>
  <c r="O31" i="2"/>
  <c r="P31" i="2"/>
  <c r="O26" i="2"/>
  <c r="P26" i="2"/>
  <c r="O25" i="2"/>
  <c r="P25" i="2"/>
  <c r="O43" i="2"/>
  <c r="P43" i="2"/>
  <c r="O42" i="2"/>
  <c r="P42" i="2"/>
  <c r="O59" i="2"/>
  <c r="P59" i="2"/>
  <c r="O58" i="2"/>
  <c r="P58" i="2"/>
  <c r="O118" i="2"/>
  <c r="P118" i="2"/>
  <c r="O122" i="2"/>
  <c r="P122" i="2"/>
  <c r="O125" i="2"/>
  <c r="P125" i="2"/>
  <c r="O128" i="2"/>
  <c r="P128" i="2"/>
  <c r="O119" i="2"/>
  <c r="P119" i="2"/>
  <c r="O123" i="2"/>
  <c r="P123" i="2"/>
  <c r="O126" i="2"/>
  <c r="P126" i="2"/>
  <c r="O129" i="2"/>
  <c r="P129" i="2"/>
  <c r="O120" i="2"/>
  <c r="P120" i="2"/>
  <c r="O124" i="2"/>
  <c r="P124" i="2"/>
  <c r="O127" i="2"/>
  <c r="P127" i="2"/>
  <c r="O130" i="2"/>
  <c r="P130" i="2"/>
  <c r="O131" i="2"/>
  <c r="P131" i="2"/>
  <c r="O121" i="2"/>
  <c r="P121" i="2"/>
  <c r="O24" i="2"/>
  <c r="P24" i="2"/>
  <c r="O41" i="2"/>
  <c r="P41" i="2"/>
  <c r="O57" i="2"/>
  <c r="P57" i="2"/>
  <c r="O106" i="2"/>
  <c r="P106" i="2"/>
  <c r="O109" i="2"/>
  <c r="P109" i="2"/>
  <c r="O112" i="2"/>
  <c r="P112" i="2"/>
  <c r="O115" i="2"/>
  <c r="P115" i="2"/>
  <c r="O107" i="2"/>
  <c r="P107" i="2"/>
  <c r="O110" i="2"/>
  <c r="P110" i="2"/>
  <c r="O113" i="2"/>
  <c r="P113" i="2"/>
  <c r="O116" i="2"/>
  <c r="P116" i="2"/>
  <c r="O108" i="2"/>
  <c r="P108" i="2"/>
  <c r="O111" i="2"/>
  <c r="P111" i="2"/>
  <c r="O114" i="2"/>
  <c r="P114" i="2"/>
  <c r="O117" i="2"/>
  <c r="P117" i="2"/>
  <c r="O27" i="2"/>
  <c r="P27" i="2"/>
  <c r="O28" i="2"/>
  <c r="P28" i="2"/>
  <c r="O29" i="2"/>
  <c r="P29" i="2"/>
  <c r="O30" i="2"/>
  <c r="P30" i="2"/>
  <c r="O44" i="2"/>
  <c r="P44" i="2"/>
  <c r="O45" i="2"/>
  <c r="P45" i="2"/>
  <c r="O46" i="2"/>
  <c r="P46" i="2"/>
  <c r="O47" i="2"/>
  <c r="P47" i="2"/>
  <c r="O60" i="2"/>
  <c r="P60" i="2"/>
  <c r="O61" i="2"/>
  <c r="P61" i="2"/>
  <c r="O62" i="2"/>
  <c r="P62" i="2"/>
  <c r="O63" i="2"/>
  <c r="P63" i="2"/>
  <c r="O132" i="2"/>
  <c r="P132" i="2"/>
  <c r="O135" i="2"/>
  <c r="P135" i="2"/>
  <c r="O138" i="2"/>
  <c r="P138" i="2"/>
  <c r="O141" i="2"/>
  <c r="P141" i="2"/>
  <c r="O133" i="2"/>
  <c r="P133" i="2"/>
  <c r="O136" i="2"/>
  <c r="P136" i="2"/>
  <c r="O139" i="2"/>
  <c r="P139" i="2"/>
  <c r="O142" i="2"/>
  <c r="P142" i="2"/>
  <c r="O134" i="2"/>
  <c r="P134" i="2"/>
  <c r="O137" i="2"/>
  <c r="P137" i="2"/>
  <c r="O140" i="2"/>
  <c r="P140" i="2"/>
  <c r="O143" i="2"/>
  <c r="P143" i="2"/>
  <c r="O146" i="2"/>
  <c r="P146" i="2"/>
  <c r="O147" i="2"/>
  <c r="P147" i="2"/>
  <c r="O145" i="2"/>
  <c r="P145" i="2"/>
  <c r="O144" i="2"/>
  <c r="P144" i="2"/>
  <c r="O148" i="2"/>
  <c r="P148" i="2"/>
  <c r="O149" i="2"/>
  <c r="P149" i="2"/>
  <c r="O150" i="2"/>
  <c r="P150" i="2"/>
  <c r="O151" i="2"/>
  <c r="P151" i="2"/>
  <c r="O152" i="2"/>
  <c r="P152" i="2"/>
  <c r="O153" i="2"/>
  <c r="P153" i="2"/>
  <c r="P15" i="2"/>
  <c r="P14" i="2"/>
  <c r="O15" i="2"/>
  <c r="O14" i="2"/>
  <c r="K16" i="2"/>
  <c r="L16" i="2"/>
  <c r="K17" i="2"/>
  <c r="L17" i="2"/>
  <c r="K18" i="2"/>
  <c r="L18" i="2"/>
  <c r="K32" i="2"/>
  <c r="L32" i="2"/>
  <c r="K33" i="2"/>
  <c r="L33" i="2"/>
  <c r="K34" i="2"/>
  <c r="L34" i="2"/>
  <c r="K35" i="2"/>
  <c r="L35" i="2"/>
  <c r="K48" i="2"/>
  <c r="L48" i="2"/>
  <c r="K49" i="2"/>
  <c r="L49" i="2"/>
  <c r="K50" i="2"/>
  <c r="L50" i="2"/>
  <c r="K51" i="2"/>
  <c r="L51" i="2"/>
  <c r="K64" i="2"/>
  <c r="L64" i="2"/>
  <c r="K65" i="2"/>
  <c r="L65" i="2"/>
  <c r="K66" i="2"/>
  <c r="L66" i="2"/>
  <c r="K67" i="2"/>
  <c r="L67" i="2"/>
  <c r="K74" i="2"/>
  <c r="L74" i="2"/>
  <c r="K80" i="2"/>
  <c r="L80" i="2"/>
  <c r="K86" i="2"/>
  <c r="L86" i="2"/>
  <c r="K68" i="2"/>
  <c r="L68" i="2"/>
  <c r="K75" i="2"/>
  <c r="L75" i="2"/>
  <c r="K81" i="2"/>
  <c r="L81" i="2"/>
  <c r="K87" i="2"/>
  <c r="L87" i="2"/>
  <c r="K69" i="2"/>
  <c r="L69" i="2"/>
  <c r="K76" i="2"/>
  <c r="L76" i="2"/>
  <c r="K82" i="2"/>
  <c r="L82" i="2"/>
  <c r="K88" i="2"/>
  <c r="L88" i="2"/>
  <c r="K70" i="2"/>
  <c r="L70" i="2"/>
  <c r="K77" i="2"/>
  <c r="L77" i="2"/>
  <c r="K83" i="2"/>
  <c r="L83" i="2"/>
  <c r="K89" i="2"/>
  <c r="L89" i="2"/>
  <c r="K71" i="2"/>
  <c r="L71" i="2"/>
  <c r="K72" i="2"/>
  <c r="L72" i="2"/>
  <c r="K78" i="2"/>
  <c r="L78" i="2"/>
  <c r="K84" i="2"/>
  <c r="L84" i="2"/>
  <c r="K90" i="2"/>
  <c r="L90" i="2"/>
  <c r="K73" i="2"/>
  <c r="L73" i="2"/>
  <c r="K79" i="2"/>
  <c r="L79" i="2"/>
  <c r="K85" i="2"/>
  <c r="L85" i="2"/>
  <c r="K91" i="2"/>
  <c r="L91" i="2"/>
  <c r="K19" i="2"/>
  <c r="L19" i="2"/>
  <c r="K20" i="2"/>
  <c r="L20" i="2"/>
  <c r="K21" i="2"/>
  <c r="L21" i="2"/>
  <c r="K22" i="2"/>
  <c r="L22" i="2"/>
  <c r="K36" i="2"/>
  <c r="L36" i="2"/>
  <c r="K37" i="2"/>
  <c r="L37" i="2"/>
  <c r="K38" i="2"/>
  <c r="L38" i="2"/>
  <c r="K39" i="2"/>
  <c r="L39" i="2"/>
  <c r="K52" i="2"/>
  <c r="L52" i="2"/>
  <c r="K53" i="2"/>
  <c r="L53" i="2"/>
  <c r="K54" i="2"/>
  <c r="L54" i="2"/>
  <c r="K55" i="2"/>
  <c r="L55" i="2"/>
  <c r="K92" i="2"/>
  <c r="L92" i="2"/>
  <c r="K94" i="2"/>
  <c r="L94" i="2"/>
  <c r="K96" i="2"/>
  <c r="L96" i="2"/>
  <c r="K98" i="2"/>
  <c r="L98" i="2"/>
  <c r="K93" i="2"/>
  <c r="L93" i="2"/>
  <c r="K95" i="2"/>
  <c r="L95" i="2"/>
  <c r="K97" i="2"/>
  <c r="L97" i="2"/>
  <c r="K99" i="2"/>
  <c r="L99" i="2"/>
  <c r="K23" i="2"/>
  <c r="L23" i="2"/>
  <c r="K40" i="2"/>
  <c r="L40" i="2"/>
  <c r="K56" i="2"/>
  <c r="L56" i="2"/>
  <c r="K100" i="2"/>
  <c r="L100" i="2"/>
  <c r="K102" i="2"/>
  <c r="L102" i="2"/>
  <c r="K104" i="2"/>
  <c r="L104" i="2"/>
  <c r="K105" i="2"/>
  <c r="L105" i="2"/>
  <c r="K101" i="2"/>
  <c r="L101" i="2"/>
  <c r="K103" i="2"/>
  <c r="L103" i="2"/>
  <c r="K31" i="2"/>
  <c r="L31" i="2"/>
  <c r="K25" i="2"/>
  <c r="L25" i="2"/>
  <c r="K26" i="2"/>
  <c r="L26" i="2"/>
  <c r="K42" i="2"/>
  <c r="L42" i="2"/>
  <c r="K43" i="2"/>
  <c r="L43" i="2"/>
  <c r="K58" i="2"/>
  <c r="L58" i="2"/>
  <c r="K59" i="2"/>
  <c r="L59" i="2"/>
  <c r="K118" i="2"/>
  <c r="L118" i="2"/>
  <c r="K121" i="2"/>
  <c r="L121" i="2"/>
  <c r="K124" i="2"/>
  <c r="L124" i="2"/>
  <c r="K128" i="2"/>
  <c r="L128" i="2"/>
  <c r="K119" i="2"/>
  <c r="L119" i="2"/>
  <c r="K122" i="2"/>
  <c r="L122" i="2"/>
  <c r="K125" i="2"/>
  <c r="L125" i="2"/>
  <c r="K129" i="2"/>
  <c r="L129" i="2"/>
  <c r="K120" i="2"/>
  <c r="L120" i="2"/>
  <c r="K123" i="2"/>
  <c r="L123" i="2"/>
  <c r="K126" i="2"/>
  <c r="L126" i="2"/>
  <c r="K130" i="2"/>
  <c r="L130" i="2"/>
  <c r="K127" i="2"/>
  <c r="L127" i="2"/>
  <c r="K131" i="2"/>
  <c r="L131" i="2"/>
  <c r="K24" i="2"/>
  <c r="L24" i="2"/>
  <c r="K41" i="2"/>
  <c r="L41" i="2"/>
  <c r="K57" i="2"/>
  <c r="L57" i="2"/>
  <c r="K106" i="2"/>
  <c r="L106" i="2"/>
  <c r="K109" i="2"/>
  <c r="L109" i="2"/>
  <c r="K112" i="2"/>
  <c r="L112" i="2"/>
  <c r="K115" i="2"/>
  <c r="L115" i="2"/>
  <c r="K107" i="2"/>
  <c r="L107" i="2"/>
  <c r="K110" i="2"/>
  <c r="L110" i="2"/>
  <c r="K113" i="2"/>
  <c r="L113" i="2"/>
  <c r="K116" i="2"/>
  <c r="L116" i="2"/>
  <c r="K108" i="2"/>
  <c r="L108" i="2"/>
  <c r="K111" i="2"/>
  <c r="L111" i="2"/>
  <c r="K114" i="2"/>
  <c r="L114" i="2"/>
  <c r="K117" i="2"/>
  <c r="L117" i="2"/>
  <c r="K27" i="2"/>
  <c r="L27" i="2"/>
  <c r="K28" i="2"/>
  <c r="L28" i="2"/>
  <c r="K29" i="2"/>
  <c r="L29" i="2"/>
  <c r="K30" i="2"/>
  <c r="L30" i="2"/>
  <c r="K44" i="2"/>
  <c r="L44" i="2"/>
  <c r="K45" i="2"/>
  <c r="L45" i="2"/>
  <c r="K46" i="2"/>
  <c r="L46" i="2"/>
  <c r="K47" i="2"/>
  <c r="L47" i="2"/>
  <c r="K60" i="2"/>
  <c r="L60" i="2"/>
  <c r="K61" i="2"/>
  <c r="L61" i="2"/>
  <c r="K62" i="2"/>
  <c r="L62" i="2"/>
  <c r="K63" i="2"/>
  <c r="L63" i="2"/>
  <c r="K132" i="2"/>
  <c r="L132" i="2"/>
  <c r="K135" i="2"/>
  <c r="L135" i="2"/>
  <c r="K138" i="2"/>
  <c r="L138" i="2"/>
  <c r="K141" i="2"/>
  <c r="L141" i="2"/>
  <c r="K133" i="2"/>
  <c r="L133" i="2"/>
  <c r="K136" i="2"/>
  <c r="L136" i="2"/>
  <c r="K139" i="2"/>
  <c r="L139" i="2"/>
  <c r="K142" i="2"/>
  <c r="L142" i="2"/>
  <c r="K134" i="2"/>
  <c r="L134" i="2"/>
  <c r="K137" i="2"/>
  <c r="L137" i="2"/>
  <c r="K140" i="2"/>
  <c r="L140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L15" i="2"/>
  <c r="L14" i="2"/>
  <c r="K15" i="2"/>
  <c r="K14" i="2"/>
  <c r="G16" i="2"/>
  <c r="H16" i="2"/>
  <c r="G17" i="2"/>
  <c r="H17" i="2"/>
  <c r="G18" i="2"/>
  <c r="H18" i="2"/>
  <c r="G32" i="2"/>
  <c r="H32" i="2"/>
  <c r="G33" i="2"/>
  <c r="H33" i="2"/>
  <c r="G34" i="2"/>
  <c r="H34" i="2"/>
  <c r="G35" i="2"/>
  <c r="H35" i="2"/>
  <c r="G48" i="2"/>
  <c r="H48" i="2"/>
  <c r="G49" i="2"/>
  <c r="H49" i="2"/>
  <c r="G50" i="2"/>
  <c r="H50" i="2"/>
  <c r="G51" i="2"/>
  <c r="H51" i="2"/>
  <c r="G64" i="2"/>
  <c r="H64" i="2"/>
  <c r="G65" i="2"/>
  <c r="H65" i="2"/>
  <c r="G66" i="2"/>
  <c r="H66" i="2"/>
  <c r="G67" i="2"/>
  <c r="H67" i="2"/>
  <c r="G74" i="2"/>
  <c r="H74" i="2"/>
  <c r="G80" i="2"/>
  <c r="H80" i="2"/>
  <c r="G86" i="2"/>
  <c r="H86" i="2"/>
  <c r="G68" i="2"/>
  <c r="H68" i="2"/>
  <c r="G75" i="2"/>
  <c r="H75" i="2"/>
  <c r="G81" i="2"/>
  <c r="H81" i="2"/>
  <c r="G87" i="2"/>
  <c r="H87" i="2"/>
  <c r="G69" i="2"/>
  <c r="H69" i="2"/>
  <c r="G76" i="2"/>
  <c r="H76" i="2"/>
  <c r="G82" i="2"/>
  <c r="H82" i="2"/>
  <c r="G88" i="2"/>
  <c r="H88" i="2"/>
  <c r="G70" i="2"/>
  <c r="H70" i="2"/>
  <c r="G77" i="2"/>
  <c r="H77" i="2"/>
  <c r="G83" i="2"/>
  <c r="H83" i="2"/>
  <c r="G89" i="2"/>
  <c r="H89" i="2"/>
  <c r="G71" i="2"/>
  <c r="H71" i="2"/>
  <c r="G72" i="2"/>
  <c r="H72" i="2"/>
  <c r="G78" i="2"/>
  <c r="H78" i="2"/>
  <c r="G84" i="2"/>
  <c r="H84" i="2"/>
  <c r="G90" i="2"/>
  <c r="H90" i="2"/>
  <c r="G73" i="2"/>
  <c r="H73" i="2"/>
  <c r="G79" i="2"/>
  <c r="H79" i="2"/>
  <c r="G85" i="2"/>
  <c r="H85" i="2"/>
  <c r="G91" i="2"/>
  <c r="H91" i="2"/>
  <c r="G19" i="2"/>
  <c r="H19" i="2"/>
  <c r="G20" i="2"/>
  <c r="H20" i="2"/>
  <c r="G21" i="2"/>
  <c r="H21" i="2"/>
  <c r="G22" i="2"/>
  <c r="H22" i="2"/>
  <c r="G36" i="2"/>
  <c r="H36" i="2"/>
  <c r="G37" i="2"/>
  <c r="H37" i="2"/>
  <c r="G38" i="2"/>
  <c r="H38" i="2"/>
  <c r="G39" i="2"/>
  <c r="H39" i="2"/>
  <c r="G52" i="2"/>
  <c r="H52" i="2"/>
  <c r="G53" i="2"/>
  <c r="H53" i="2"/>
  <c r="G54" i="2"/>
  <c r="H54" i="2"/>
  <c r="G55" i="2"/>
  <c r="H55" i="2"/>
  <c r="G92" i="2"/>
  <c r="H92" i="2"/>
  <c r="G94" i="2"/>
  <c r="H94" i="2"/>
  <c r="G96" i="2"/>
  <c r="H96" i="2"/>
  <c r="G98" i="2"/>
  <c r="H98" i="2"/>
  <c r="G93" i="2"/>
  <c r="H93" i="2"/>
  <c r="G95" i="2"/>
  <c r="H95" i="2"/>
  <c r="G97" i="2"/>
  <c r="H97" i="2"/>
  <c r="G99" i="2"/>
  <c r="H99" i="2"/>
  <c r="G23" i="2"/>
  <c r="H23" i="2"/>
  <c r="G40" i="2"/>
  <c r="H40" i="2"/>
  <c r="G56" i="2"/>
  <c r="H56" i="2"/>
  <c r="G100" i="2"/>
  <c r="H100" i="2"/>
  <c r="G102" i="2"/>
  <c r="H102" i="2"/>
  <c r="G104" i="2"/>
  <c r="H104" i="2"/>
  <c r="G105" i="2"/>
  <c r="H105" i="2"/>
  <c r="G101" i="2"/>
  <c r="H101" i="2"/>
  <c r="G103" i="2"/>
  <c r="H103" i="2"/>
  <c r="G31" i="2"/>
  <c r="H31" i="2"/>
  <c r="G25" i="2"/>
  <c r="H25" i="2"/>
  <c r="G26" i="2"/>
  <c r="H26" i="2"/>
  <c r="G42" i="2"/>
  <c r="H42" i="2"/>
  <c r="G43" i="2"/>
  <c r="H43" i="2"/>
  <c r="G58" i="2"/>
  <c r="H58" i="2"/>
  <c r="G59" i="2"/>
  <c r="H59" i="2"/>
  <c r="G118" i="2"/>
  <c r="H118" i="2"/>
  <c r="G121" i="2"/>
  <c r="H121" i="2"/>
  <c r="G125" i="2"/>
  <c r="H125" i="2"/>
  <c r="G129" i="2"/>
  <c r="H129" i="2"/>
  <c r="G119" i="2"/>
  <c r="H119" i="2"/>
  <c r="G122" i="2"/>
  <c r="H122" i="2"/>
  <c r="G126" i="2"/>
  <c r="H126" i="2"/>
  <c r="G130" i="2"/>
  <c r="H130" i="2"/>
  <c r="G120" i="2"/>
  <c r="H120" i="2"/>
  <c r="G123" i="2"/>
  <c r="H123" i="2"/>
  <c r="G127" i="2"/>
  <c r="H127" i="2"/>
  <c r="G131" i="2"/>
  <c r="H131" i="2"/>
  <c r="G124" i="2"/>
  <c r="H124" i="2"/>
  <c r="G128" i="2"/>
  <c r="H128" i="2"/>
  <c r="G24" i="2"/>
  <c r="H24" i="2"/>
  <c r="G41" i="2"/>
  <c r="H41" i="2"/>
  <c r="G57" i="2"/>
  <c r="H57" i="2"/>
  <c r="G106" i="2"/>
  <c r="H106" i="2"/>
  <c r="G109" i="2"/>
  <c r="H109" i="2"/>
  <c r="G112" i="2"/>
  <c r="H112" i="2"/>
  <c r="G115" i="2"/>
  <c r="H115" i="2"/>
  <c r="G107" i="2"/>
  <c r="H107" i="2"/>
  <c r="G110" i="2"/>
  <c r="H110" i="2"/>
  <c r="G113" i="2"/>
  <c r="H113" i="2"/>
  <c r="G116" i="2"/>
  <c r="H116" i="2"/>
  <c r="G108" i="2"/>
  <c r="H108" i="2"/>
  <c r="G111" i="2"/>
  <c r="H111" i="2"/>
  <c r="G114" i="2"/>
  <c r="H114" i="2"/>
  <c r="G117" i="2"/>
  <c r="H117" i="2"/>
  <c r="G27" i="2"/>
  <c r="H27" i="2"/>
  <c r="G28" i="2"/>
  <c r="H28" i="2"/>
  <c r="G29" i="2"/>
  <c r="H29" i="2"/>
  <c r="G30" i="2"/>
  <c r="H30" i="2"/>
  <c r="G44" i="2"/>
  <c r="H44" i="2"/>
  <c r="G45" i="2"/>
  <c r="H45" i="2"/>
  <c r="G46" i="2"/>
  <c r="H46" i="2"/>
  <c r="G47" i="2"/>
  <c r="H47" i="2"/>
  <c r="G60" i="2"/>
  <c r="H60" i="2"/>
  <c r="G61" i="2"/>
  <c r="H61" i="2"/>
  <c r="G62" i="2"/>
  <c r="H62" i="2"/>
  <c r="G63" i="2"/>
  <c r="H63" i="2"/>
  <c r="G132" i="2"/>
  <c r="H132" i="2"/>
  <c r="G135" i="2"/>
  <c r="H135" i="2"/>
  <c r="G138" i="2"/>
  <c r="H138" i="2"/>
  <c r="G141" i="2"/>
  <c r="H141" i="2"/>
  <c r="G133" i="2"/>
  <c r="H133" i="2"/>
  <c r="G136" i="2"/>
  <c r="H136" i="2"/>
  <c r="G139" i="2"/>
  <c r="H139" i="2"/>
  <c r="G142" i="2"/>
  <c r="H142" i="2"/>
  <c r="G134" i="2"/>
  <c r="H134" i="2"/>
  <c r="G137" i="2"/>
  <c r="H137" i="2"/>
  <c r="G140" i="2"/>
  <c r="H140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H15" i="2"/>
  <c r="H14" i="2"/>
  <c r="G15" i="2"/>
  <c r="G14" i="2"/>
  <c r="C16" i="2"/>
  <c r="D16" i="2"/>
  <c r="C17" i="2"/>
  <c r="D17" i="2"/>
  <c r="C18" i="2"/>
  <c r="D18" i="2"/>
  <c r="C32" i="2"/>
  <c r="D32" i="2"/>
  <c r="C33" i="2"/>
  <c r="D33" i="2"/>
  <c r="C34" i="2"/>
  <c r="D34" i="2"/>
  <c r="C35" i="2"/>
  <c r="D35" i="2"/>
  <c r="C48" i="2"/>
  <c r="D48" i="2"/>
  <c r="C49" i="2"/>
  <c r="D49" i="2"/>
  <c r="C50" i="2"/>
  <c r="D50" i="2"/>
  <c r="C51" i="2"/>
  <c r="D51" i="2"/>
  <c r="C64" i="2"/>
  <c r="D64" i="2"/>
  <c r="C65" i="2"/>
  <c r="D65" i="2"/>
  <c r="C66" i="2"/>
  <c r="D66" i="2"/>
  <c r="C67" i="2"/>
  <c r="D67" i="2"/>
  <c r="C74" i="2"/>
  <c r="D74" i="2"/>
  <c r="C80" i="2"/>
  <c r="D80" i="2"/>
  <c r="C86" i="2"/>
  <c r="D86" i="2"/>
  <c r="C68" i="2"/>
  <c r="D68" i="2"/>
  <c r="C75" i="2"/>
  <c r="D75" i="2"/>
  <c r="C81" i="2"/>
  <c r="D81" i="2"/>
  <c r="C87" i="2"/>
  <c r="D87" i="2"/>
  <c r="C69" i="2"/>
  <c r="D69" i="2"/>
  <c r="C76" i="2"/>
  <c r="D76" i="2"/>
  <c r="C82" i="2"/>
  <c r="D82" i="2"/>
  <c r="C88" i="2"/>
  <c r="D88" i="2"/>
  <c r="C70" i="2"/>
  <c r="D70" i="2"/>
  <c r="C77" i="2"/>
  <c r="D77" i="2"/>
  <c r="C83" i="2"/>
  <c r="D83" i="2"/>
  <c r="C89" i="2"/>
  <c r="D89" i="2"/>
  <c r="C71" i="2"/>
  <c r="D71" i="2"/>
  <c r="C72" i="2"/>
  <c r="D72" i="2"/>
  <c r="C78" i="2"/>
  <c r="D78" i="2"/>
  <c r="C84" i="2"/>
  <c r="D84" i="2"/>
  <c r="C90" i="2"/>
  <c r="D90" i="2"/>
  <c r="C73" i="2"/>
  <c r="D73" i="2"/>
  <c r="C79" i="2"/>
  <c r="D79" i="2"/>
  <c r="C85" i="2"/>
  <c r="D85" i="2"/>
  <c r="C91" i="2"/>
  <c r="D91" i="2"/>
  <c r="C19" i="2"/>
  <c r="D19" i="2"/>
  <c r="C20" i="2"/>
  <c r="D20" i="2"/>
  <c r="C21" i="2"/>
  <c r="D21" i="2"/>
  <c r="C22" i="2"/>
  <c r="D22" i="2"/>
  <c r="C36" i="2"/>
  <c r="D36" i="2"/>
  <c r="C37" i="2"/>
  <c r="D37" i="2"/>
  <c r="C38" i="2"/>
  <c r="D38" i="2"/>
  <c r="C39" i="2"/>
  <c r="D39" i="2"/>
  <c r="C52" i="2"/>
  <c r="D52" i="2"/>
  <c r="C53" i="2"/>
  <c r="D53" i="2"/>
  <c r="C54" i="2"/>
  <c r="D54" i="2"/>
  <c r="C55" i="2"/>
  <c r="D55" i="2"/>
  <c r="C92" i="2"/>
  <c r="D92" i="2"/>
  <c r="C94" i="2"/>
  <c r="D94" i="2"/>
  <c r="C96" i="2"/>
  <c r="D96" i="2"/>
  <c r="C98" i="2"/>
  <c r="D98" i="2"/>
  <c r="C93" i="2"/>
  <c r="D93" i="2"/>
  <c r="C95" i="2"/>
  <c r="D95" i="2"/>
  <c r="C97" i="2"/>
  <c r="D97" i="2"/>
  <c r="C99" i="2"/>
  <c r="D99" i="2"/>
  <c r="C23" i="2"/>
  <c r="D23" i="2"/>
  <c r="C40" i="2"/>
  <c r="D40" i="2"/>
  <c r="C56" i="2"/>
  <c r="D56" i="2"/>
  <c r="C100" i="2"/>
  <c r="D100" i="2"/>
  <c r="C102" i="2"/>
  <c r="D102" i="2"/>
  <c r="C104" i="2"/>
  <c r="D104" i="2"/>
  <c r="C105" i="2"/>
  <c r="D105" i="2"/>
  <c r="C101" i="2"/>
  <c r="D101" i="2"/>
  <c r="C103" i="2"/>
  <c r="D103" i="2"/>
  <c r="C31" i="2"/>
  <c r="D31" i="2"/>
  <c r="C25" i="2"/>
  <c r="D25" i="2"/>
  <c r="C26" i="2"/>
  <c r="D26" i="2"/>
  <c r="C42" i="2"/>
  <c r="D42" i="2"/>
  <c r="C43" i="2"/>
  <c r="D43" i="2"/>
  <c r="C58" i="2"/>
  <c r="D58" i="2"/>
  <c r="C59" i="2"/>
  <c r="D59" i="2"/>
  <c r="C118" i="2"/>
  <c r="D118" i="2"/>
  <c r="C122" i="2"/>
  <c r="D122" i="2"/>
  <c r="C126" i="2"/>
  <c r="D126" i="2"/>
  <c r="C129" i="2"/>
  <c r="D129" i="2"/>
  <c r="C119" i="2"/>
  <c r="D119" i="2"/>
  <c r="C123" i="2"/>
  <c r="D123" i="2"/>
  <c r="C127" i="2"/>
  <c r="D127" i="2"/>
  <c r="C130" i="2"/>
  <c r="D130" i="2"/>
  <c r="C120" i="2"/>
  <c r="D120" i="2"/>
  <c r="C124" i="2"/>
  <c r="D124" i="2"/>
  <c r="C128" i="2"/>
  <c r="D128" i="2"/>
  <c r="C131" i="2"/>
  <c r="D131" i="2"/>
  <c r="C121" i="2"/>
  <c r="D121" i="2"/>
  <c r="C125" i="2"/>
  <c r="D125" i="2"/>
  <c r="C24" i="2"/>
  <c r="D24" i="2"/>
  <c r="C41" i="2"/>
  <c r="D41" i="2"/>
  <c r="C57" i="2"/>
  <c r="D57" i="2"/>
  <c r="C106" i="2"/>
  <c r="D106" i="2"/>
  <c r="C109" i="2"/>
  <c r="D109" i="2"/>
  <c r="C112" i="2"/>
  <c r="D112" i="2"/>
  <c r="C115" i="2"/>
  <c r="D115" i="2"/>
  <c r="C107" i="2"/>
  <c r="D107" i="2"/>
  <c r="C110" i="2"/>
  <c r="D110" i="2"/>
  <c r="C113" i="2"/>
  <c r="D113" i="2"/>
  <c r="C116" i="2"/>
  <c r="D116" i="2"/>
  <c r="C108" i="2"/>
  <c r="D108" i="2"/>
  <c r="C111" i="2"/>
  <c r="D111" i="2"/>
  <c r="C114" i="2"/>
  <c r="D114" i="2"/>
  <c r="C117" i="2"/>
  <c r="D117" i="2"/>
  <c r="C27" i="2"/>
  <c r="D27" i="2"/>
  <c r="C28" i="2"/>
  <c r="D28" i="2"/>
  <c r="C29" i="2"/>
  <c r="D29" i="2"/>
  <c r="C30" i="2"/>
  <c r="D30" i="2"/>
  <c r="C44" i="2"/>
  <c r="D44" i="2"/>
  <c r="C45" i="2"/>
  <c r="D45" i="2"/>
  <c r="C46" i="2"/>
  <c r="D46" i="2"/>
  <c r="C47" i="2"/>
  <c r="D47" i="2"/>
  <c r="C60" i="2"/>
  <c r="D60" i="2"/>
  <c r="C61" i="2"/>
  <c r="D61" i="2"/>
  <c r="C62" i="2"/>
  <c r="D62" i="2"/>
  <c r="C63" i="2"/>
  <c r="D63" i="2"/>
  <c r="C132" i="2"/>
  <c r="D132" i="2"/>
  <c r="C135" i="2"/>
  <c r="D135" i="2"/>
  <c r="C138" i="2"/>
  <c r="D138" i="2"/>
  <c r="C141" i="2"/>
  <c r="D141" i="2"/>
  <c r="C133" i="2"/>
  <c r="D133" i="2"/>
  <c r="C136" i="2"/>
  <c r="D136" i="2"/>
  <c r="C139" i="2"/>
  <c r="D139" i="2"/>
  <c r="C142" i="2"/>
  <c r="D142" i="2"/>
  <c r="C134" i="2"/>
  <c r="D134" i="2"/>
  <c r="C137" i="2"/>
  <c r="D137" i="2"/>
  <c r="C140" i="2"/>
  <c r="D140" i="2"/>
  <c r="C143" i="2"/>
  <c r="D143" i="2"/>
  <c r="C146" i="2"/>
  <c r="D146" i="2"/>
  <c r="C147" i="2"/>
  <c r="D147" i="2"/>
  <c r="C145" i="2"/>
  <c r="D145" i="2"/>
  <c r="C144" i="2"/>
  <c r="D144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D15" i="2"/>
  <c r="D14" i="2"/>
  <c r="C15" i="2"/>
  <c r="C14" i="2"/>
  <c r="N153" i="2"/>
  <c r="N152" i="2"/>
  <c r="N151" i="2"/>
  <c r="N150" i="2"/>
  <c r="N149" i="2"/>
  <c r="N148" i="2"/>
  <c r="N144" i="2"/>
  <c r="N145" i="2"/>
  <c r="N147" i="2"/>
  <c r="N146" i="2"/>
  <c r="N143" i="2"/>
  <c r="N140" i="2"/>
  <c r="N137" i="2"/>
  <c r="N134" i="2"/>
  <c r="N142" i="2"/>
  <c r="N139" i="2"/>
  <c r="N136" i="2"/>
  <c r="N133" i="2"/>
  <c r="N141" i="2"/>
  <c r="N138" i="2"/>
  <c r="N135" i="2"/>
  <c r="N132" i="2"/>
  <c r="N63" i="2"/>
  <c r="N62" i="2"/>
  <c r="N61" i="2"/>
  <c r="N60" i="2"/>
  <c r="N47" i="2"/>
  <c r="N46" i="2"/>
  <c r="N45" i="2"/>
  <c r="N44" i="2"/>
  <c r="N30" i="2"/>
  <c r="N29" i="2"/>
  <c r="N28" i="2"/>
  <c r="N27" i="2"/>
  <c r="N117" i="2"/>
  <c r="N114" i="2"/>
  <c r="N111" i="2"/>
  <c r="N108" i="2"/>
  <c r="N116" i="2"/>
  <c r="N113" i="2"/>
  <c r="N110" i="2"/>
  <c r="N107" i="2"/>
  <c r="N115" i="2"/>
  <c r="N112" i="2"/>
  <c r="N109" i="2"/>
  <c r="N106" i="2"/>
  <c r="N57" i="2"/>
  <c r="N41" i="2"/>
  <c r="N24" i="2"/>
  <c r="N121" i="2"/>
  <c r="N131" i="2"/>
  <c r="N130" i="2"/>
  <c r="N127" i="2"/>
  <c r="N124" i="2"/>
  <c r="N120" i="2"/>
  <c r="N129" i="2"/>
  <c r="N126" i="2"/>
  <c r="N123" i="2"/>
  <c r="N119" i="2"/>
  <c r="N128" i="2"/>
  <c r="N125" i="2"/>
  <c r="N122" i="2"/>
  <c r="N118" i="2"/>
  <c r="N58" i="2"/>
  <c r="N59" i="2"/>
  <c r="N42" i="2"/>
  <c r="N43" i="2"/>
  <c r="N25" i="2"/>
  <c r="N26" i="2"/>
  <c r="N31" i="2"/>
  <c r="N103" i="2"/>
  <c r="N101" i="2"/>
  <c r="N105" i="2"/>
  <c r="N104" i="2"/>
  <c r="N102" i="2"/>
  <c r="N100" i="2"/>
  <c r="N56" i="2"/>
  <c r="N40" i="2"/>
  <c r="N23" i="2"/>
  <c r="N99" i="2"/>
  <c r="N97" i="2"/>
  <c r="N95" i="2"/>
  <c r="N93" i="2"/>
  <c r="N98" i="2"/>
  <c r="N96" i="2"/>
  <c r="N94" i="2"/>
  <c r="N92" i="2"/>
  <c r="N55" i="2"/>
  <c r="N54" i="2"/>
  <c r="N53" i="2"/>
  <c r="N52" i="2"/>
  <c r="N39" i="2"/>
  <c r="N38" i="2"/>
  <c r="N37" i="2"/>
  <c r="N36" i="2"/>
  <c r="N22" i="2"/>
  <c r="N21" i="2"/>
  <c r="N20" i="2"/>
  <c r="N19" i="2"/>
  <c r="N91" i="2"/>
  <c r="N85" i="2"/>
  <c r="N79" i="2"/>
  <c r="N73" i="2"/>
  <c r="N90" i="2"/>
  <c r="N84" i="2"/>
  <c r="N78" i="2"/>
  <c r="N72" i="2"/>
  <c r="N71" i="2"/>
  <c r="N89" i="2"/>
  <c r="N83" i="2"/>
  <c r="N77" i="2"/>
  <c r="N70" i="2"/>
  <c r="N88" i="2"/>
  <c r="N82" i="2"/>
  <c r="N76" i="2"/>
  <c r="N69" i="2"/>
  <c r="N87" i="2"/>
  <c r="N81" i="2"/>
  <c r="N75" i="2"/>
  <c r="N68" i="2"/>
  <c r="N86" i="2"/>
  <c r="N80" i="2"/>
  <c r="N74" i="2"/>
  <c r="N67" i="2"/>
  <c r="N66" i="2"/>
  <c r="N65" i="2"/>
  <c r="N64" i="2"/>
  <c r="N51" i="2"/>
  <c r="N50" i="2"/>
  <c r="N49" i="2"/>
  <c r="N48" i="2"/>
  <c r="N35" i="2"/>
  <c r="N34" i="2"/>
  <c r="N33" i="2"/>
  <c r="N32" i="2"/>
  <c r="N18" i="2"/>
  <c r="N17" i="2"/>
  <c r="N16" i="2"/>
  <c r="N15" i="2"/>
  <c r="N14" i="2"/>
  <c r="J153" i="2"/>
  <c r="J152" i="2"/>
  <c r="J151" i="2"/>
  <c r="J150" i="2"/>
  <c r="J149" i="2"/>
  <c r="J148" i="2"/>
  <c r="J147" i="2"/>
  <c r="J146" i="2"/>
  <c r="J145" i="2"/>
  <c r="J144" i="2"/>
  <c r="J143" i="2"/>
  <c r="J140" i="2"/>
  <c r="J137" i="2"/>
  <c r="J134" i="2"/>
  <c r="J142" i="2"/>
  <c r="J139" i="2"/>
  <c r="J136" i="2"/>
  <c r="J133" i="2"/>
  <c r="J141" i="2"/>
  <c r="J138" i="2"/>
  <c r="J135" i="2"/>
  <c r="J132" i="2"/>
  <c r="J63" i="2"/>
  <c r="J62" i="2"/>
  <c r="J61" i="2"/>
  <c r="J60" i="2"/>
  <c r="J47" i="2"/>
  <c r="J46" i="2"/>
  <c r="J45" i="2"/>
  <c r="J44" i="2"/>
  <c r="J30" i="2"/>
  <c r="J29" i="2"/>
  <c r="J28" i="2"/>
  <c r="J27" i="2"/>
  <c r="J117" i="2"/>
  <c r="J114" i="2"/>
  <c r="J111" i="2"/>
  <c r="J108" i="2"/>
  <c r="J116" i="2"/>
  <c r="J113" i="2"/>
  <c r="J110" i="2"/>
  <c r="J107" i="2"/>
  <c r="J115" i="2"/>
  <c r="J112" i="2"/>
  <c r="J109" i="2"/>
  <c r="J106" i="2"/>
  <c r="J57" i="2"/>
  <c r="J41" i="2"/>
  <c r="J24" i="2"/>
  <c r="J131" i="2"/>
  <c r="J127" i="2"/>
  <c r="J130" i="2"/>
  <c r="J126" i="2"/>
  <c r="J123" i="2"/>
  <c r="J120" i="2"/>
  <c r="J129" i="2"/>
  <c r="J125" i="2"/>
  <c r="J122" i="2"/>
  <c r="J119" i="2"/>
  <c r="J128" i="2"/>
  <c r="J124" i="2"/>
  <c r="J121" i="2"/>
  <c r="J118" i="2"/>
  <c r="J59" i="2"/>
  <c r="J58" i="2"/>
  <c r="J43" i="2"/>
  <c r="J42" i="2"/>
  <c r="J26" i="2"/>
  <c r="J25" i="2"/>
  <c r="J31" i="2"/>
  <c r="J103" i="2"/>
  <c r="J101" i="2"/>
  <c r="J105" i="2"/>
  <c r="J104" i="2"/>
  <c r="J102" i="2"/>
  <c r="J100" i="2"/>
  <c r="J56" i="2"/>
  <c r="J40" i="2"/>
  <c r="J23" i="2"/>
  <c r="J99" i="2"/>
  <c r="J97" i="2"/>
  <c r="J95" i="2"/>
  <c r="J93" i="2"/>
  <c r="J98" i="2"/>
  <c r="J96" i="2"/>
  <c r="J94" i="2"/>
  <c r="J92" i="2"/>
  <c r="J55" i="2"/>
  <c r="J54" i="2"/>
  <c r="J53" i="2"/>
  <c r="J52" i="2"/>
  <c r="J39" i="2"/>
  <c r="J38" i="2"/>
  <c r="J37" i="2"/>
  <c r="J36" i="2"/>
  <c r="J22" i="2"/>
  <c r="J21" i="2"/>
  <c r="J20" i="2"/>
  <c r="J19" i="2"/>
  <c r="J91" i="2"/>
  <c r="J85" i="2"/>
  <c r="J79" i="2"/>
  <c r="J73" i="2"/>
  <c r="J90" i="2"/>
  <c r="J84" i="2"/>
  <c r="J78" i="2"/>
  <c r="J72" i="2"/>
  <c r="J71" i="2"/>
  <c r="J89" i="2"/>
  <c r="J83" i="2"/>
  <c r="J77" i="2"/>
  <c r="J70" i="2"/>
  <c r="J88" i="2"/>
  <c r="J82" i="2"/>
  <c r="J76" i="2"/>
  <c r="J69" i="2"/>
  <c r="J87" i="2"/>
  <c r="J81" i="2"/>
  <c r="J75" i="2"/>
  <c r="J68" i="2"/>
  <c r="J86" i="2"/>
  <c r="J80" i="2"/>
  <c r="J74" i="2"/>
  <c r="J67" i="2"/>
  <c r="J66" i="2"/>
  <c r="J65" i="2"/>
  <c r="J64" i="2"/>
  <c r="J51" i="2"/>
  <c r="J50" i="2"/>
  <c r="J49" i="2"/>
  <c r="J48" i="2"/>
  <c r="J35" i="2"/>
  <c r="J34" i="2"/>
  <c r="J33" i="2"/>
  <c r="J32" i="2"/>
  <c r="J18" i="2"/>
  <c r="J17" i="2"/>
  <c r="J16" i="2"/>
  <c r="J15" i="2"/>
  <c r="J14" i="2"/>
  <c r="F153" i="2"/>
  <c r="F152" i="2"/>
  <c r="F151" i="2"/>
  <c r="F150" i="2"/>
  <c r="F149" i="2"/>
  <c r="F148" i="2"/>
  <c r="F147" i="2"/>
  <c r="F146" i="2"/>
  <c r="F145" i="2"/>
  <c r="F144" i="2"/>
  <c r="F143" i="2"/>
  <c r="F140" i="2"/>
  <c r="F137" i="2"/>
  <c r="F134" i="2"/>
  <c r="F142" i="2"/>
  <c r="F139" i="2"/>
  <c r="F136" i="2"/>
  <c r="F133" i="2"/>
  <c r="F141" i="2"/>
  <c r="F138" i="2"/>
  <c r="F135" i="2"/>
  <c r="F132" i="2"/>
  <c r="F63" i="2"/>
  <c r="F62" i="2"/>
  <c r="F61" i="2"/>
  <c r="F60" i="2"/>
  <c r="F47" i="2"/>
  <c r="F46" i="2"/>
  <c r="F45" i="2"/>
  <c r="F44" i="2"/>
  <c r="F30" i="2"/>
  <c r="F29" i="2"/>
  <c r="F28" i="2"/>
  <c r="F27" i="2"/>
  <c r="F117" i="2"/>
  <c r="F114" i="2"/>
  <c r="F111" i="2"/>
  <c r="F108" i="2"/>
  <c r="F116" i="2"/>
  <c r="F113" i="2"/>
  <c r="F110" i="2"/>
  <c r="F107" i="2"/>
  <c r="F115" i="2"/>
  <c r="F112" i="2"/>
  <c r="F109" i="2"/>
  <c r="F106" i="2"/>
  <c r="F57" i="2"/>
  <c r="F41" i="2"/>
  <c r="F24" i="2"/>
  <c r="F128" i="2"/>
  <c r="F124" i="2"/>
  <c r="F131" i="2"/>
  <c r="F127" i="2"/>
  <c r="F123" i="2"/>
  <c r="F120" i="2"/>
  <c r="F130" i="2"/>
  <c r="F126" i="2"/>
  <c r="F122" i="2"/>
  <c r="F119" i="2"/>
  <c r="F129" i="2"/>
  <c r="F125" i="2"/>
  <c r="F121" i="2"/>
  <c r="F118" i="2"/>
  <c r="F59" i="2"/>
  <c r="F58" i="2"/>
  <c r="F43" i="2"/>
  <c r="F42" i="2"/>
  <c r="F26" i="2"/>
  <c r="F25" i="2"/>
  <c r="F31" i="2"/>
  <c r="F103" i="2"/>
  <c r="F101" i="2"/>
  <c r="F105" i="2"/>
  <c r="F104" i="2"/>
  <c r="F102" i="2"/>
  <c r="F100" i="2"/>
  <c r="F56" i="2"/>
  <c r="F40" i="2"/>
  <c r="F23" i="2"/>
  <c r="F99" i="2"/>
  <c r="F97" i="2"/>
  <c r="F95" i="2"/>
  <c r="F93" i="2"/>
  <c r="F98" i="2"/>
  <c r="F96" i="2"/>
  <c r="F94" i="2"/>
  <c r="F92" i="2"/>
  <c r="F55" i="2"/>
  <c r="F54" i="2"/>
  <c r="F53" i="2"/>
  <c r="F52" i="2"/>
  <c r="F39" i="2"/>
  <c r="F38" i="2"/>
  <c r="F37" i="2"/>
  <c r="F36" i="2"/>
  <c r="F22" i="2"/>
  <c r="F21" i="2"/>
  <c r="F20" i="2"/>
  <c r="F19" i="2"/>
  <c r="F91" i="2"/>
  <c r="F85" i="2"/>
  <c r="F79" i="2"/>
  <c r="F73" i="2"/>
  <c r="F90" i="2"/>
  <c r="F84" i="2"/>
  <c r="F78" i="2"/>
  <c r="F72" i="2"/>
  <c r="F71" i="2"/>
  <c r="F89" i="2"/>
  <c r="F83" i="2"/>
  <c r="F77" i="2"/>
  <c r="F70" i="2"/>
  <c r="F88" i="2"/>
  <c r="F82" i="2"/>
  <c r="F76" i="2"/>
  <c r="F69" i="2"/>
  <c r="F87" i="2"/>
  <c r="F81" i="2"/>
  <c r="F75" i="2"/>
  <c r="F68" i="2"/>
  <c r="F86" i="2"/>
  <c r="F80" i="2"/>
  <c r="F74" i="2"/>
  <c r="F67" i="2"/>
  <c r="F66" i="2"/>
  <c r="F65" i="2"/>
  <c r="F64" i="2"/>
  <c r="F51" i="2"/>
  <c r="F50" i="2"/>
  <c r="F49" i="2"/>
  <c r="F48" i="2"/>
  <c r="F35" i="2"/>
  <c r="F34" i="2"/>
  <c r="F33" i="2"/>
  <c r="F32" i="2"/>
  <c r="F18" i="2"/>
  <c r="F17" i="2"/>
  <c r="F16" i="2"/>
  <c r="F15" i="2"/>
  <c r="F14" i="2"/>
  <c r="B15" i="2"/>
  <c r="B16" i="2"/>
  <c r="B17" i="2"/>
  <c r="B18" i="2"/>
  <c r="B32" i="2"/>
  <c r="B33" i="2"/>
  <c r="B34" i="2"/>
  <c r="B35" i="2"/>
  <c r="B48" i="2"/>
  <c r="B49" i="2"/>
  <c r="B50" i="2"/>
  <c r="B51" i="2"/>
  <c r="B64" i="2"/>
  <c r="B65" i="2"/>
  <c r="B66" i="2"/>
  <c r="B67" i="2"/>
  <c r="B74" i="2"/>
  <c r="B80" i="2"/>
  <c r="B86" i="2"/>
  <c r="B68" i="2"/>
  <c r="B75" i="2"/>
  <c r="B81" i="2"/>
  <c r="B87" i="2"/>
  <c r="B69" i="2"/>
  <c r="B76" i="2"/>
  <c r="B82" i="2"/>
  <c r="B88" i="2"/>
  <c r="B70" i="2"/>
  <c r="B77" i="2"/>
  <c r="B83" i="2"/>
  <c r="B89" i="2"/>
  <c r="B71" i="2"/>
  <c r="B72" i="2"/>
  <c r="B78" i="2"/>
  <c r="B84" i="2"/>
  <c r="B90" i="2"/>
  <c r="B73" i="2"/>
  <c r="B79" i="2"/>
  <c r="B85" i="2"/>
  <c r="B91" i="2"/>
  <c r="B19" i="2"/>
  <c r="B20" i="2"/>
  <c r="B21" i="2"/>
  <c r="B22" i="2"/>
  <c r="B36" i="2"/>
  <c r="B37" i="2"/>
  <c r="B38" i="2"/>
  <c r="B39" i="2"/>
  <c r="B52" i="2"/>
  <c r="B53" i="2"/>
  <c r="B54" i="2"/>
  <c r="B55" i="2"/>
  <c r="B92" i="2"/>
  <c r="B94" i="2"/>
  <c r="B96" i="2"/>
  <c r="B98" i="2"/>
  <c r="B93" i="2"/>
  <c r="B95" i="2"/>
  <c r="B97" i="2"/>
  <c r="B99" i="2"/>
  <c r="B23" i="2"/>
  <c r="B40" i="2"/>
  <c r="B56" i="2"/>
  <c r="B100" i="2"/>
  <c r="B102" i="2"/>
  <c r="B104" i="2"/>
  <c r="B105" i="2"/>
  <c r="B101" i="2"/>
  <c r="B103" i="2"/>
  <c r="B31" i="2"/>
  <c r="B25" i="2"/>
  <c r="B26" i="2"/>
  <c r="B42" i="2"/>
  <c r="B43" i="2"/>
  <c r="B58" i="2"/>
  <c r="B59" i="2"/>
  <c r="B118" i="2"/>
  <c r="B122" i="2"/>
  <c r="B126" i="2"/>
  <c r="B129" i="2"/>
  <c r="B119" i="2"/>
  <c r="B123" i="2"/>
  <c r="B127" i="2"/>
  <c r="B130" i="2"/>
  <c r="B120" i="2"/>
  <c r="B124" i="2"/>
  <c r="B128" i="2"/>
  <c r="B131" i="2"/>
  <c r="B121" i="2"/>
  <c r="B125" i="2"/>
  <c r="B24" i="2"/>
  <c r="B41" i="2"/>
  <c r="B57" i="2"/>
  <c r="B106" i="2"/>
  <c r="B109" i="2"/>
  <c r="B112" i="2"/>
  <c r="B115" i="2"/>
  <c r="B107" i="2"/>
  <c r="B110" i="2"/>
  <c r="B113" i="2"/>
  <c r="B116" i="2"/>
  <c r="B108" i="2"/>
  <c r="B111" i="2"/>
  <c r="B114" i="2"/>
  <c r="B117" i="2"/>
  <c r="B27" i="2"/>
  <c r="B28" i="2"/>
  <c r="B29" i="2"/>
  <c r="B30" i="2"/>
  <c r="B44" i="2"/>
  <c r="B45" i="2"/>
  <c r="B46" i="2"/>
  <c r="B47" i="2"/>
  <c r="B60" i="2"/>
  <c r="B61" i="2"/>
  <c r="B62" i="2"/>
  <c r="B63" i="2"/>
  <c r="B132" i="2"/>
  <c r="B135" i="2"/>
  <c r="B138" i="2"/>
  <c r="B141" i="2"/>
  <c r="B133" i="2"/>
  <c r="B136" i="2"/>
  <c r="B139" i="2"/>
  <c r="B142" i="2"/>
  <c r="B134" i="2"/>
  <c r="B137" i="2"/>
  <c r="B140" i="2"/>
  <c r="B143" i="2"/>
  <c r="B146" i="2"/>
  <c r="B147" i="2"/>
  <c r="B145" i="2"/>
  <c r="B144" i="2"/>
  <c r="B148" i="2"/>
  <c r="B149" i="2"/>
  <c r="B150" i="2"/>
  <c r="B151" i="2"/>
  <c r="B152" i="2"/>
  <c r="B153" i="2"/>
  <c r="B14" i="2"/>
  <c r="V82" i="2"/>
  <c r="V83" i="2"/>
  <c r="V58" i="2"/>
  <c r="V59" i="2"/>
  <c r="V33" i="2"/>
  <c r="V34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77" i="2"/>
  <c r="V78" i="2"/>
  <c r="V79" i="2"/>
  <c r="V53" i="2"/>
  <c r="V54" i="2"/>
  <c r="V55" i="2"/>
  <c r="V28" i="2"/>
  <c r="V29" i="2"/>
  <c r="V30" i="2"/>
  <c r="V73" i="2"/>
  <c r="V74" i="2"/>
  <c r="V75" i="2"/>
  <c r="V49" i="2"/>
  <c r="V50" i="2"/>
  <c r="V51" i="2"/>
  <c r="V23" i="2"/>
  <c r="V24" i="2"/>
  <c r="V25" i="2"/>
  <c r="E130" i="2" l="1"/>
  <c r="E90" i="2"/>
  <c r="E18" i="2"/>
  <c r="V15" i="2"/>
  <c r="V16" i="2"/>
  <c r="V17" i="2"/>
  <c r="V18" i="2"/>
  <c r="V19" i="2"/>
  <c r="V20" i="2"/>
  <c r="V21" i="2"/>
  <c r="E36" i="2" s="1"/>
  <c r="V22" i="2"/>
  <c r="V26" i="2"/>
  <c r="V27" i="2"/>
  <c r="V31" i="2"/>
  <c r="V32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52" i="2"/>
  <c r="V56" i="2"/>
  <c r="V57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6" i="2"/>
  <c r="V80" i="2"/>
  <c r="V81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32" i="2"/>
  <c r="V133" i="2"/>
  <c r="V134" i="2"/>
  <c r="V135" i="2"/>
  <c r="V14" i="2"/>
  <c r="E79" i="2" l="1"/>
  <c r="E99" i="2"/>
  <c r="E58" i="2"/>
  <c r="E87" i="2"/>
  <c r="E114" i="2"/>
  <c r="E111" i="2"/>
  <c r="E145" i="2"/>
  <c r="E50" i="2"/>
  <c r="E17" i="2"/>
  <c r="E29" i="2"/>
  <c r="E88" i="2"/>
  <c r="E139" i="2"/>
  <c r="E147" i="2"/>
  <c r="E54" i="2"/>
  <c r="E106" i="2"/>
  <c r="E85" i="2"/>
  <c r="E61" i="2"/>
  <c r="E21" i="2"/>
  <c r="E66" i="2"/>
  <c r="E137" i="2"/>
  <c r="E56" i="2"/>
  <c r="E86" i="2"/>
  <c r="E105" i="2"/>
  <c r="E97" i="2"/>
  <c r="E131" i="2"/>
  <c r="E109" i="2"/>
  <c r="E135" i="2"/>
  <c r="E59" i="2"/>
  <c r="E96" i="2"/>
  <c r="E25" i="2"/>
  <c r="E129" i="2"/>
  <c r="E89" i="2"/>
  <c r="E149" i="2"/>
  <c r="E45" i="2"/>
  <c r="E84" i="2"/>
  <c r="E24" i="2"/>
  <c r="E110" i="2"/>
  <c r="E138" i="2"/>
  <c r="E150" i="2"/>
  <c r="E81" i="2"/>
  <c r="E39" i="2"/>
  <c r="E34" i="2"/>
  <c r="E126" i="2"/>
  <c r="E128" i="2"/>
  <c r="E28" i="2"/>
  <c r="E38" i="2"/>
  <c r="E136" i="2"/>
  <c r="E127" i="2"/>
  <c r="E134" i="2"/>
  <c r="E35" i="2"/>
  <c r="E91" i="2"/>
  <c r="E41" i="2"/>
  <c r="E64" i="2"/>
  <c r="E52" i="2"/>
  <c r="E120" i="2"/>
  <c r="E142" i="2"/>
  <c r="E16" i="2"/>
  <c r="E20" i="2"/>
  <c r="E108" i="2"/>
  <c r="E95" i="2"/>
  <c r="E78" i="2"/>
  <c r="E51" i="2"/>
  <c r="E22" i="2"/>
  <c r="E112" i="2"/>
  <c r="E74" i="2"/>
  <c r="E93" i="2"/>
  <c r="E121" i="2"/>
  <c r="E143" i="2"/>
  <c r="E33" i="2"/>
  <c r="E37" i="2"/>
  <c r="E146" i="2"/>
  <c r="E104" i="2"/>
  <c r="E141" i="2"/>
  <c r="E67" i="2"/>
  <c r="E55" i="2"/>
  <c r="E113" i="2"/>
  <c r="E75" i="2"/>
  <c r="E23" i="2"/>
  <c r="E57" i="2"/>
  <c r="E144" i="2"/>
  <c r="E49" i="2"/>
  <c r="E53" i="2"/>
  <c r="E132" i="2"/>
  <c r="E43" i="2"/>
  <c r="E124" i="2"/>
  <c r="E68" i="2"/>
  <c r="E98" i="2"/>
  <c r="E46" i="2"/>
  <c r="E77" i="2"/>
  <c r="E102" i="2"/>
  <c r="E115" i="2"/>
  <c r="E151" i="2"/>
  <c r="E65" i="2"/>
  <c r="E94" i="2"/>
  <c r="E27" i="2"/>
  <c r="E123" i="2"/>
  <c r="E48" i="2"/>
  <c r="E47" i="2"/>
  <c r="E69" i="2"/>
  <c r="E100" i="2"/>
  <c r="E62" i="2"/>
  <c r="E72" i="2"/>
  <c r="E103" i="2"/>
  <c r="E117" i="2"/>
  <c r="E76" i="2"/>
  <c r="E80" i="2"/>
  <c r="E40" i="2"/>
  <c r="E44" i="2"/>
  <c r="E125" i="2"/>
  <c r="E119" i="2"/>
  <c r="E70" i="2"/>
  <c r="E101" i="2"/>
  <c r="E140" i="2"/>
  <c r="E73" i="2"/>
  <c r="E42" i="2"/>
  <c r="E30" i="2"/>
  <c r="E92" i="2"/>
  <c r="E82" i="2"/>
  <c r="E31" i="2"/>
  <c r="E60" i="2"/>
  <c r="E107" i="2"/>
  <c r="E15" i="2"/>
  <c r="E71" i="2"/>
  <c r="E26" i="2"/>
  <c r="E32" i="2"/>
  <c r="E19" i="2"/>
  <c r="E118" i="2"/>
  <c r="E63" i="2"/>
  <c r="E116" i="2"/>
  <c r="E83" i="2"/>
  <c r="E122" i="2"/>
  <c r="E133" i="2"/>
  <c r="E148" i="2"/>
  <c r="Q86" i="2"/>
  <c r="Q133" i="2"/>
  <c r="I18" i="2"/>
  <c r="E14" i="2"/>
  <c r="Q126" i="2"/>
  <c r="I20" i="2"/>
  <c r="Q18" i="2"/>
  <c r="Q143" i="2"/>
  <c r="Q137" i="2"/>
  <c r="Q72" i="2"/>
  <c r="Q111" i="2"/>
  <c r="Q116" i="2"/>
  <c r="Q63" i="2"/>
  <c r="Q117" i="2"/>
  <c r="Q70" i="2"/>
  <c r="Q130" i="2"/>
  <c r="Q125" i="2"/>
  <c r="Q79" i="2"/>
  <c r="Q32" i="2"/>
  <c r="Q95" i="2"/>
  <c r="Q40" i="2"/>
  <c r="Q99" i="2"/>
  <c r="Q78" i="2"/>
  <c r="I66" i="2"/>
  <c r="I85" i="2"/>
  <c r="I96" i="2"/>
  <c r="I93" i="2"/>
  <c r="I92" i="2"/>
  <c r="I86" i="2"/>
  <c r="I101" i="2"/>
  <c r="I135" i="2"/>
  <c r="I64" i="2"/>
  <c r="I109" i="2"/>
  <c r="I115" i="2"/>
  <c r="I129" i="2"/>
  <c r="I122" i="2"/>
  <c r="I81" i="2"/>
  <c r="I27" i="2"/>
  <c r="I29" i="2"/>
  <c r="M14" i="2"/>
  <c r="M80" i="2"/>
  <c r="M22" i="2"/>
  <c r="M37" i="2"/>
  <c r="M39" i="2"/>
  <c r="M101" i="2"/>
  <c r="M81" i="2"/>
  <c r="M58" i="2"/>
  <c r="M118" i="2"/>
  <c r="M48" i="2"/>
  <c r="M117" i="2"/>
  <c r="M28" i="2"/>
  <c r="M127" i="2"/>
  <c r="M24" i="2"/>
  <c r="M82" i="2"/>
  <c r="M61" i="2"/>
  <c r="M63" i="2"/>
  <c r="Q46" i="2"/>
  <c r="I42" i="2"/>
  <c r="I47" i="2"/>
  <c r="M99" i="2"/>
  <c r="M113" i="2"/>
  <c r="M69" i="2"/>
  <c r="Q17" i="2"/>
  <c r="Q134" i="2"/>
  <c r="Q139" i="2"/>
  <c r="Q71" i="2"/>
  <c r="Q113" i="2"/>
  <c r="Q107" i="2"/>
  <c r="Q62" i="2"/>
  <c r="Q60" i="2"/>
  <c r="Q51" i="2"/>
  <c r="Q124" i="2"/>
  <c r="Q129" i="2"/>
  <c r="Q76" i="2"/>
  <c r="Q118" i="2"/>
  <c r="Q93" i="2"/>
  <c r="Q96" i="2"/>
  <c r="Q92" i="2"/>
  <c r="Q75" i="2"/>
  <c r="I67" i="2"/>
  <c r="I91" i="2"/>
  <c r="I23" i="2"/>
  <c r="I56" i="2"/>
  <c r="I97" i="2"/>
  <c r="I68" i="2"/>
  <c r="I31" i="2"/>
  <c r="I138" i="2"/>
  <c r="I141" i="2"/>
  <c r="I110" i="2"/>
  <c r="I116" i="2"/>
  <c r="I126" i="2"/>
  <c r="I120" i="2"/>
  <c r="I87" i="2"/>
  <c r="I30" i="2"/>
  <c r="I45" i="2"/>
  <c r="M15" i="2"/>
  <c r="M70" i="2"/>
  <c r="M54" i="2"/>
  <c r="M92" i="2"/>
  <c r="M52" i="2"/>
  <c r="M32" i="2"/>
  <c r="M71" i="2"/>
  <c r="M31" i="2"/>
  <c r="M124" i="2"/>
  <c r="M142" i="2"/>
  <c r="M112" i="2"/>
  <c r="M114" i="2"/>
  <c r="M41" i="2"/>
  <c r="M106" i="2"/>
  <c r="M88" i="2"/>
  <c r="M132" i="2"/>
  <c r="M138" i="2"/>
  <c r="Q144" i="2"/>
  <c r="Q24" i="2"/>
  <c r="Q25" i="2"/>
  <c r="I35" i="2"/>
  <c r="I127" i="2"/>
  <c r="M95" i="2"/>
  <c r="M65" i="2"/>
  <c r="M30" i="2"/>
  <c r="Q16" i="2"/>
  <c r="Q136" i="2"/>
  <c r="Q141" i="2"/>
  <c r="Q89" i="2"/>
  <c r="Q115" i="2"/>
  <c r="Q109" i="2"/>
  <c r="Q47" i="2"/>
  <c r="Q45" i="2"/>
  <c r="Q50" i="2"/>
  <c r="Q20" i="2"/>
  <c r="Q123" i="2"/>
  <c r="Q69" i="2"/>
  <c r="Q26" i="2"/>
  <c r="Q59" i="2"/>
  <c r="Q43" i="2"/>
  <c r="Q55" i="2"/>
  <c r="I14" i="2"/>
  <c r="I74" i="2"/>
  <c r="I19" i="2"/>
  <c r="I21" i="2"/>
  <c r="I36" i="2"/>
  <c r="I102" i="2"/>
  <c r="I75" i="2"/>
  <c r="I26" i="2"/>
  <c r="I43" i="2"/>
  <c r="I133" i="2"/>
  <c r="I111" i="2"/>
  <c r="I117" i="2"/>
  <c r="I123" i="2"/>
  <c r="I131" i="2"/>
  <c r="I69" i="2"/>
  <c r="I46" i="2"/>
  <c r="I60" i="2"/>
  <c r="M16" i="2"/>
  <c r="M77" i="2"/>
  <c r="M93" i="2"/>
  <c r="M97" i="2"/>
  <c r="M96" i="2"/>
  <c r="M33" i="2"/>
  <c r="M72" i="2"/>
  <c r="M26" i="2"/>
  <c r="M119" i="2"/>
  <c r="M87" i="2"/>
  <c r="M110" i="2"/>
  <c r="M29" i="2"/>
  <c r="M129" i="2"/>
  <c r="M49" i="2"/>
  <c r="M73" i="2"/>
  <c r="M44" i="2"/>
  <c r="M144" i="2"/>
  <c r="Q112" i="2"/>
  <c r="Q42" i="2"/>
  <c r="I100" i="2"/>
  <c r="I134" i="2"/>
  <c r="I146" i="2"/>
  <c r="M68" i="2"/>
  <c r="M125" i="2"/>
  <c r="Q15" i="2"/>
  <c r="Q138" i="2"/>
  <c r="Q132" i="2"/>
  <c r="Q83" i="2"/>
  <c r="Q106" i="2"/>
  <c r="Q41" i="2"/>
  <c r="Q44" i="2"/>
  <c r="Q29" i="2"/>
  <c r="Q74" i="2"/>
  <c r="Q82" i="2"/>
  <c r="Q128" i="2"/>
  <c r="Q87" i="2"/>
  <c r="Q102" i="2"/>
  <c r="Q103" i="2"/>
  <c r="Q105" i="2"/>
  <c r="Q54" i="2"/>
  <c r="I15" i="2"/>
  <c r="I82" i="2"/>
  <c r="I39" i="2"/>
  <c r="I53" i="2"/>
  <c r="I37" i="2"/>
  <c r="I32" i="2"/>
  <c r="I83" i="2"/>
  <c r="I105" i="2"/>
  <c r="I59" i="2"/>
  <c r="I136" i="2"/>
  <c r="I57" i="2"/>
  <c r="I107" i="2"/>
  <c r="I124" i="2"/>
  <c r="I24" i="2"/>
  <c r="I76" i="2"/>
  <c r="I61" i="2"/>
  <c r="I63" i="2"/>
  <c r="M17" i="2"/>
  <c r="M83" i="2"/>
  <c r="M56" i="2"/>
  <c r="M102" i="2"/>
  <c r="M23" i="2"/>
  <c r="M34" i="2"/>
  <c r="M78" i="2"/>
  <c r="M43" i="2"/>
  <c r="M122" i="2"/>
  <c r="M134" i="2"/>
  <c r="M108" i="2"/>
  <c r="M137" i="2"/>
  <c r="M126" i="2"/>
  <c r="M50" i="2"/>
  <c r="M79" i="2"/>
  <c r="M47" i="2"/>
  <c r="M145" i="2"/>
  <c r="Q49" i="2"/>
  <c r="Q34" i="2"/>
  <c r="I77" i="2"/>
  <c r="I72" i="2"/>
  <c r="I140" i="2"/>
  <c r="M67" i="2"/>
  <c r="M25" i="2"/>
  <c r="Q14" i="2"/>
  <c r="Q146" i="2"/>
  <c r="Q140" i="2"/>
  <c r="Q52" i="2"/>
  <c r="Q67" i="2"/>
  <c r="Q108" i="2"/>
  <c r="Q21" i="2"/>
  <c r="Q27" i="2"/>
  <c r="Q114" i="2"/>
  <c r="Q131" i="2"/>
  <c r="Q48" i="2"/>
  <c r="Q122" i="2"/>
  <c r="Q81" i="2"/>
  <c r="Q97" i="2"/>
  <c r="Q56" i="2"/>
  <c r="Q23" i="2"/>
  <c r="Q53" i="2"/>
  <c r="I16" i="2"/>
  <c r="I88" i="2"/>
  <c r="I94" i="2"/>
  <c r="I98" i="2"/>
  <c r="I55" i="2"/>
  <c r="I33" i="2"/>
  <c r="I89" i="2"/>
  <c r="I103" i="2"/>
  <c r="I121" i="2"/>
  <c r="I139" i="2"/>
  <c r="I112" i="2"/>
  <c r="I108" i="2"/>
  <c r="I119" i="2"/>
  <c r="I48" i="2"/>
  <c r="I78" i="2"/>
  <c r="I28" i="2"/>
  <c r="I144" i="2"/>
  <c r="M18" i="2"/>
  <c r="M89" i="2"/>
  <c r="M36" i="2"/>
  <c r="M38" i="2"/>
  <c r="M105" i="2"/>
  <c r="M35" i="2"/>
  <c r="M84" i="2"/>
  <c r="M59" i="2"/>
  <c r="M121" i="2"/>
  <c r="M90" i="2"/>
  <c r="M27" i="2"/>
  <c r="M140" i="2"/>
  <c r="M131" i="2"/>
  <c r="M51" i="2"/>
  <c r="M85" i="2"/>
  <c r="M62" i="2"/>
  <c r="M146" i="2"/>
  <c r="Q65" i="2"/>
  <c r="Q31" i="2"/>
  <c r="I22" i="2"/>
  <c r="I114" i="2"/>
  <c r="I90" i="2"/>
  <c r="M98" i="2"/>
  <c r="M133" i="2"/>
  <c r="M120" i="2"/>
  <c r="Q68" i="2"/>
  <c r="Q147" i="2"/>
  <c r="Q142" i="2"/>
  <c r="Q39" i="2"/>
  <c r="Q66" i="2"/>
  <c r="Q110" i="2"/>
  <c r="Q88" i="2"/>
  <c r="Q61" i="2"/>
  <c r="Q36" i="2"/>
  <c r="Q127" i="2"/>
  <c r="Q120" i="2"/>
  <c r="Q19" i="2"/>
  <c r="Q35" i="2"/>
  <c r="Q58" i="2"/>
  <c r="Q98" i="2"/>
  <c r="Q94" i="2"/>
  <c r="Q73" i="2"/>
  <c r="I17" i="2"/>
  <c r="I70" i="2"/>
  <c r="I99" i="2"/>
  <c r="I40" i="2"/>
  <c r="I95" i="2"/>
  <c r="I34" i="2"/>
  <c r="I71" i="2"/>
  <c r="I25" i="2"/>
  <c r="I125" i="2"/>
  <c r="I142" i="2"/>
  <c r="I113" i="2"/>
  <c r="I137" i="2"/>
  <c r="I130" i="2"/>
  <c r="I49" i="2"/>
  <c r="I84" i="2"/>
  <c r="I44" i="2"/>
  <c r="I145" i="2"/>
  <c r="M66" i="2"/>
  <c r="M19" i="2"/>
  <c r="M55" i="2"/>
  <c r="M94" i="2"/>
  <c r="M53" i="2"/>
  <c r="M86" i="2"/>
  <c r="M103" i="2"/>
  <c r="M141" i="2"/>
  <c r="M128" i="2"/>
  <c r="M109" i="2"/>
  <c r="M115" i="2"/>
  <c r="M143" i="2"/>
  <c r="M57" i="2"/>
  <c r="M64" i="2"/>
  <c r="M91" i="2"/>
  <c r="M135" i="2"/>
  <c r="M147" i="2"/>
  <c r="Q38" i="2"/>
  <c r="Q22" i="2"/>
  <c r="Q91" i="2"/>
  <c r="Q90" i="2"/>
  <c r="I58" i="2"/>
  <c r="I50" i="2"/>
  <c r="M20" i="2"/>
  <c r="M107" i="2"/>
  <c r="M45" i="2"/>
  <c r="Q80" i="2"/>
  <c r="Q145" i="2"/>
  <c r="Q135" i="2"/>
  <c r="Q37" i="2"/>
  <c r="Q64" i="2"/>
  <c r="Q57" i="2"/>
  <c r="Q28" i="2"/>
  <c r="Q30" i="2"/>
  <c r="Q77" i="2"/>
  <c r="Q121" i="2"/>
  <c r="Q119" i="2"/>
  <c r="Q85" i="2"/>
  <c r="Q33" i="2"/>
  <c r="Q100" i="2"/>
  <c r="Q101" i="2"/>
  <c r="Q104" i="2"/>
  <c r="Q84" i="2"/>
  <c r="I65" i="2"/>
  <c r="I79" i="2"/>
  <c r="I52" i="2"/>
  <c r="I54" i="2"/>
  <c r="I38" i="2"/>
  <c r="I80" i="2"/>
  <c r="I104" i="2"/>
  <c r="I132" i="2"/>
  <c r="I118" i="2"/>
  <c r="I41" i="2"/>
  <c r="I106" i="2"/>
  <c r="I143" i="2"/>
  <c r="I128" i="2"/>
  <c r="I51" i="2"/>
  <c r="I73" i="2"/>
  <c r="I62" i="2"/>
  <c r="I147" i="2"/>
  <c r="M74" i="2"/>
  <c r="M21" i="2"/>
  <c r="M100" i="2"/>
  <c r="M104" i="2"/>
  <c r="M40" i="2"/>
  <c r="M75" i="2"/>
  <c r="M42" i="2"/>
  <c r="M136" i="2"/>
  <c r="M139" i="2"/>
  <c r="M116" i="2"/>
  <c r="M111" i="2"/>
  <c r="M123" i="2"/>
  <c r="M130" i="2"/>
  <c r="M76" i="2"/>
  <c r="M46" i="2"/>
  <c r="M60" i="2"/>
  <c r="N147" i="3"/>
  <c r="Q147" i="3" s="1"/>
  <c r="N146" i="3"/>
  <c r="Q146" i="3" s="1"/>
  <c r="N145" i="3"/>
  <c r="Q145" i="3" s="1"/>
  <c r="S144" i="3"/>
  <c r="N144" i="3"/>
  <c r="Q144" i="3" s="1"/>
  <c r="P123" i="3"/>
  <c r="N123" i="3"/>
  <c r="P122" i="3"/>
  <c r="N122" i="3"/>
  <c r="P121" i="3"/>
  <c r="N121" i="3"/>
  <c r="P120" i="3"/>
  <c r="N120" i="3"/>
  <c r="P108" i="3"/>
  <c r="N108" i="3"/>
  <c r="P107" i="3"/>
  <c r="N107" i="3"/>
  <c r="P106" i="3"/>
  <c r="Q106" i="3" s="1"/>
  <c r="N106" i="3"/>
  <c r="P105" i="3"/>
  <c r="N105" i="3"/>
  <c r="P88" i="3"/>
  <c r="N88" i="3"/>
  <c r="P87" i="3"/>
  <c r="N87" i="3"/>
  <c r="P86" i="3"/>
  <c r="N86" i="3"/>
  <c r="P85" i="3"/>
  <c r="N85" i="3"/>
  <c r="P84" i="3"/>
  <c r="P78" i="3"/>
  <c r="N78" i="3"/>
  <c r="P77" i="3"/>
  <c r="N77" i="3"/>
  <c r="P76" i="3"/>
  <c r="N76" i="3"/>
  <c r="P75" i="3"/>
  <c r="Q75" i="3" s="1"/>
  <c r="N75" i="3"/>
  <c r="P58" i="3"/>
  <c r="N58" i="3"/>
  <c r="P57" i="3"/>
  <c r="N57" i="3"/>
  <c r="P56" i="3"/>
  <c r="N56" i="3"/>
  <c r="P55" i="3"/>
  <c r="N55" i="3"/>
  <c r="P22" i="3"/>
  <c r="N22" i="3"/>
  <c r="P21" i="3"/>
  <c r="Q21" i="3" s="1"/>
  <c r="P20" i="3"/>
  <c r="N20" i="3"/>
  <c r="P19" i="3"/>
  <c r="N19" i="3"/>
  <c r="P18" i="3"/>
  <c r="N18" i="3"/>
  <c r="P17" i="3"/>
  <c r="N17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Q88" i="3" l="1"/>
  <c r="Q55" i="3"/>
  <c r="F11" i="3"/>
  <c r="Q56" i="3"/>
  <c r="Q17" i="3"/>
  <c r="Q78" i="3"/>
  <c r="J11" i="3"/>
  <c r="Q57" i="3"/>
  <c r="Q121" i="3"/>
  <c r="Q87" i="3"/>
  <c r="Q18" i="3"/>
  <c r="D11" i="3"/>
  <c r="Q19" i="3"/>
  <c r="S55" i="3"/>
  <c r="S75" i="3"/>
  <c r="Q107" i="3"/>
  <c r="Q122" i="3"/>
  <c r="S84" i="3"/>
  <c r="H11" i="3"/>
  <c r="Q20" i="3"/>
  <c r="Q76" i="3"/>
  <c r="Q85" i="3"/>
  <c r="Q108" i="3"/>
  <c r="Q123" i="3"/>
  <c r="Q77" i="3"/>
  <c r="Q86" i="3"/>
  <c r="S105" i="3"/>
  <c r="Q120" i="3"/>
  <c r="S17" i="3"/>
  <c r="Q22" i="3"/>
  <c r="Q58" i="3"/>
  <c r="S120" i="3"/>
  <c r="Q84" i="3"/>
  <c r="Q105" i="3"/>
  <c r="J8" i="1"/>
  <c r="J25" i="1"/>
  <c r="S149" i="3" l="1"/>
  <c r="T17" i="3"/>
  <c r="J27" i="1"/>
  <c r="J14" i="1" l="1"/>
  <c r="T144" i="3" s="1"/>
  <c r="D10" i="2"/>
  <c r="D9" i="2"/>
  <c r="D8" i="2"/>
  <c r="D7" i="2"/>
  <c r="P6" i="2"/>
  <c r="L6" i="2"/>
  <c r="H6" i="2"/>
  <c r="D6" i="2"/>
  <c r="K28" i="1"/>
  <c r="P10" i="2" l="1"/>
  <c r="L10" i="2"/>
  <c r="H10" i="2"/>
  <c r="P9" i="2"/>
  <c r="L9" i="2"/>
  <c r="H9" i="2"/>
  <c r="P8" i="2"/>
  <c r="L8" i="2"/>
  <c r="H8" i="2"/>
  <c r="P7" i="2"/>
  <c r="L7" i="2"/>
  <c r="H7" i="2"/>
  <c r="D11" i="2"/>
  <c r="H11" i="2" l="1"/>
  <c r="L11" i="2"/>
  <c r="P11" i="2"/>
  <c r="K14" i="1" l="1"/>
  <c r="J21" i="1" l="1"/>
  <c r="J24" i="1"/>
  <c r="J22" i="1"/>
  <c r="J23" i="1"/>
  <c r="J20" i="1"/>
  <c r="K13" i="1"/>
  <c r="J12" i="1"/>
  <c r="J11" i="1"/>
  <c r="T105" i="3" s="1"/>
  <c r="J10" i="1"/>
  <c r="T75" i="3" s="1"/>
  <c r="J9" i="1"/>
  <c r="T55" i="3" s="1"/>
  <c r="J7" i="1"/>
  <c r="T84" i="3" s="1"/>
  <c r="K12" i="1" l="1"/>
  <c r="T120" i="3"/>
  <c r="K7" i="1"/>
  <c r="K9" i="1"/>
  <c r="K8" i="1"/>
  <c r="K10" i="1"/>
  <c r="K11" i="1"/>
  <c r="J28" i="1"/>
  <c r="J15" i="1"/>
</calcChain>
</file>

<file path=xl/sharedStrings.xml><?xml version="1.0" encoding="utf-8"?>
<sst xmlns="http://schemas.openxmlformats.org/spreadsheetml/2006/main" count="1797" uniqueCount="114">
  <si>
    <t>Trophée</t>
  </si>
  <si>
    <t>Pin's</t>
  </si>
  <si>
    <t>Médaille Or</t>
  </si>
  <si>
    <t>Mèdaille Ar</t>
  </si>
  <si>
    <t>Médaille Bz</t>
  </si>
  <si>
    <t>Rubans</t>
  </si>
  <si>
    <t>Diplôme</t>
  </si>
  <si>
    <t>Reçu</t>
  </si>
  <si>
    <t>FPF</t>
  </si>
  <si>
    <t>*-*-*-</t>
  </si>
  <si>
    <t>FIAP</t>
  </si>
  <si>
    <t>PSA</t>
  </si>
  <si>
    <t>GPU(UPI)</t>
  </si>
  <si>
    <t>ISF</t>
  </si>
  <si>
    <t>FDT</t>
  </si>
  <si>
    <t>DIVERS</t>
  </si>
  <si>
    <t>LEG</t>
  </si>
  <si>
    <t>SAC</t>
  </si>
  <si>
    <t>SMC</t>
  </si>
  <si>
    <t>BAG</t>
  </si>
  <si>
    <t>Médailles commandées</t>
  </si>
  <si>
    <t>Total</t>
  </si>
  <si>
    <t>Médailles reçues FDT 2021</t>
  </si>
  <si>
    <t>GPU</t>
  </si>
  <si>
    <t>Couleur</t>
  </si>
  <si>
    <t>Hiérarchie des
fédérations</t>
  </si>
  <si>
    <t>Pin's / Trophée / C.C</t>
  </si>
  <si>
    <t>Nature</t>
  </si>
  <si>
    <t>Monochrome</t>
  </si>
  <si>
    <t>Thème</t>
  </si>
  <si>
    <t>Récompenses</t>
  </si>
  <si>
    <t>Type de récompense</t>
  </si>
  <si>
    <t>Catégorie</t>
  </si>
  <si>
    <t>Dotation</t>
  </si>
  <si>
    <t>Prévu</t>
  </si>
  <si>
    <t>Réalisé</t>
  </si>
  <si>
    <t>Vérif</t>
  </si>
  <si>
    <t>4 Pins</t>
  </si>
  <si>
    <t>16 Or</t>
  </si>
  <si>
    <t>16 Argent</t>
  </si>
  <si>
    <t>16 Bronze</t>
  </si>
  <si>
    <t>12 CC</t>
  </si>
  <si>
    <t>4 Or</t>
  </si>
  <si>
    <t>4 Argent</t>
  </si>
  <si>
    <t>4 Bronze</t>
  </si>
  <si>
    <t>4 Trophées</t>
  </si>
  <si>
    <t>56 Diplômes</t>
  </si>
  <si>
    <t>24 Diplômes</t>
  </si>
  <si>
    <t>Spéciale</t>
  </si>
  <si>
    <t>Médaille Région Pays de la Loire</t>
  </si>
  <si>
    <t>Médaille de la Ville de Legé</t>
  </si>
  <si>
    <t>Médaille Crédit Mutuel Legé</t>
  </si>
  <si>
    <t>Pins FIAP au meilleur Auteur du Salon</t>
  </si>
  <si>
    <t>*-*-*-*</t>
  </si>
  <si>
    <t>Médaille d'Or FIAP</t>
  </si>
  <si>
    <t>Médaille d'Argent FIAP</t>
  </si>
  <si>
    <t>Médaille de Bronze FIAP</t>
  </si>
  <si>
    <t>Ruban FIAP coup de Cœur juge N°1</t>
  </si>
  <si>
    <t>Ruban FIAP coup de Cœur juge N°2</t>
  </si>
  <si>
    <t>Ruban FIAP coup de Cœur juge N°3</t>
  </si>
  <si>
    <t>Ruban FIAP</t>
  </si>
  <si>
    <t>Médaille d'Or PSA</t>
  </si>
  <si>
    <t>Médaille d'Argent PSA</t>
  </si>
  <si>
    <t>Médaille de Bronze PSA</t>
  </si>
  <si>
    <t>Ruban PSA</t>
  </si>
  <si>
    <t>Médaille d'Or GPU</t>
  </si>
  <si>
    <t>Médaille d'Argent GPU</t>
  </si>
  <si>
    <t>Médaille de Bronze GPU</t>
  </si>
  <si>
    <t>Ruban GPU</t>
  </si>
  <si>
    <t>Trophée FPF : Meilleur Auteur français</t>
  </si>
  <si>
    <t>Médaille d'Or FPF</t>
  </si>
  <si>
    <t>Médaille d'Argent FPF</t>
  </si>
  <si>
    <t>Médaille de Bronze FPF</t>
  </si>
  <si>
    <t>Diplôme FPF</t>
  </si>
  <si>
    <t>Médaille d'Or ISF</t>
  </si>
  <si>
    <t>Médaille d'Argent ISF</t>
  </si>
  <si>
    <t>Médaille de Bronze ISF</t>
  </si>
  <si>
    <t>Diplôme ISF</t>
  </si>
  <si>
    <t>Médaille d'Or FDT</t>
  </si>
  <si>
    <t>Médaille d'Argent FDT</t>
  </si>
  <si>
    <t>Médaille de Bronze FDT</t>
  </si>
  <si>
    <t>Diplôme FDT</t>
  </si>
  <si>
    <t>Zone FIAP de C14 à J57</t>
  </si>
  <si>
    <t>100 Rubans</t>
  </si>
  <si>
    <t>128 Rubans</t>
  </si>
  <si>
    <t>32 Rubans</t>
  </si>
  <si>
    <t>8 Or</t>
  </si>
  <si>
    <t>8 Argent</t>
  </si>
  <si>
    <t>8 Bronze</t>
  </si>
  <si>
    <t>48 Diplômes</t>
  </si>
  <si>
    <t>Diplôme FDT : Prix ACBM</t>
  </si>
  <si>
    <t>Diplôme FDT : Prix P.C Bagnols Marcoule</t>
  </si>
  <si>
    <t>Médaille prix du Conseil Général  du Gard</t>
  </si>
  <si>
    <t>Médaille prix de la ville de Saint Gervais</t>
  </si>
  <si>
    <t>LAG</t>
  </si>
  <si>
    <t>Zone GPU C78à J86</t>
  </si>
  <si>
    <t>Zone PSA C58 à J77</t>
  </si>
  <si>
    <t>Zone FPF C87à J107</t>
  </si>
  <si>
    <t>Récompense par club 2023</t>
  </si>
  <si>
    <t>Zone ISF C108 à J122</t>
  </si>
  <si>
    <t>Zone FDt C123 à J146</t>
  </si>
  <si>
    <t>Médaille de La Gacily</t>
  </si>
  <si>
    <t>Diplôme U.R 06</t>
  </si>
  <si>
    <t>Fédé</t>
  </si>
  <si>
    <t>Ordre voulu</t>
  </si>
  <si>
    <t>Récompense par club</t>
  </si>
  <si>
    <t>Cub 1</t>
  </si>
  <si>
    <t>Club 2</t>
  </si>
  <si>
    <t>Club 3</t>
  </si>
  <si>
    <t>Club 4</t>
  </si>
  <si>
    <t>Médailles 2023</t>
  </si>
  <si>
    <t>type</t>
  </si>
  <si>
    <t>code</t>
  </si>
  <si>
    <t>Médaille du Conseil Régional Basse 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</si>
</sst>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4"/>
      <color rgb="FF0000FF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20"/>
      <color rgb="FF0000FF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 style="medium">
        <color auto="1"/>
      </right>
      <top style="medium">
        <color rgb="FF0000FF"/>
      </top>
      <bottom style="medium">
        <color auto="1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204">
    <xf numFmtId="0" fontId="0" fillId="0" borderId="0" xfId="0"/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8" fillId="2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8" fillId="2" borderId="3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textRotation="180"/>
    </xf>
    <xf numFmtId="0" fontId="8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2" borderId="39" xfId="0" applyFont="1" applyFill="1" applyBorder="1" applyAlignment="1" applyProtection="1">
      <alignment vertical="center" textRotation="180"/>
      <protection locked="0"/>
    </xf>
    <xf numFmtId="0" fontId="16" fillId="2" borderId="41" xfId="0" applyFont="1" applyFill="1" applyBorder="1" applyAlignment="1" applyProtection="1">
      <alignment vertical="center" textRotation="180"/>
      <protection locked="0"/>
    </xf>
    <xf numFmtId="0" fontId="2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9" fillId="5" borderId="9" xfId="0" applyFont="1" applyFill="1" applyBorder="1" applyAlignment="1" applyProtection="1">
      <alignment horizontal="left" vertical="center"/>
      <protection locked="0" hidden="1"/>
    </xf>
    <xf numFmtId="0" fontId="9" fillId="5" borderId="11" xfId="0" applyFont="1" applyFill="1" applyBorder="1" applyAlignment="1" applyProtection="1">
      <alignment horizontal="center" vertical="center"/>
      <protection locked="0" hidden="1"/>
    </xf>
    <xf numFmtId="0" fontId="9" fillId="5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center" vertical="center"/>
      <protection locked="0" hidden="1"/>
    </xf>
    <xf numFmtId="0" fontId="23" fillId="5" borderId="11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10" fillId="2" borderId="13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2" borderId="9" xfId="1" applyFont="1" applyFill="1" applyBorder="1" applyAlignment="1" applyProtection="1">
      <alignment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0" fillId="2" borderId="11" xfId="1" applyFont="1" applyFill="1" applyBorder="1" applyAlignment="1" applyProtection="1">
      <alignment vertical="center"/>
      <protection hidden="1"/>
    </xf>
    <xf numFmtId="0" fontId="10" fillId="2" borderId="15" xfId="1" applyFont="1" applyFill="1" applyBorder="1" applyAlignment="1" applyProtection="1">
      <alignment vertical="center"/>
      <protection hidden="1"/>
    </xf>
    <xf numFmtId="0" fontId="10" fillId="2" borderId="14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 hidden="1"/>
    </xf>
    <xf numFmtId="0" fontId="9" fillId="5" borderId="14" xfId="0" applyFont="1" applyFill="1" applyBorder="1" applyAlignment="1" applyProtection="1">
      <alignment horizontal="center" vertical="center"/>
      <protection locked="0" hidden="1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vertical="center" wrapText="1"/>
      <protection locked="0" hidden="1"/>
    </xf>
    <xf numFmtId="0" fontId="7" fillId="2" borderId="13" xfId="2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18" fillId="2" borderId="46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 applyProtection="1">
      <alignment horizontal="center" vertical="center" textRotation="180"/>
    </xf>
    <xf numFmtId="0" fontId="26" fillId="2" borderId="39" xfId="0" applyFont="1" applyFill="1" applyBorder="1" applyAlignment="1" applyProtection="1">
      <alignment horizontal="center" vertical="center" textRotation="180"/>
    </xf>
    <xf numFmtId="0" fontId="26" fillId="2" borderId="41" xfId="0" applyFont="1" applyFill="1" applyBorder="1" applyAlignment="1" applyProtection="1">
      <alignment horizontal="center" vertical="center" textRotation="180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 textRotation="180"/>
    </xf>
    <xf numFmtId="0" fontId="16" fillId="2" borderId="39" xfId="0" applyFont="1" applyFill="1" applyBorder="1" applyAlignment="1" applyProtection="1">
      <alignment horizontal="center" vertical="center" textRotation="180"/>
    </xf>
    <xf numFmtId="0" fontId="16" fillId="2" borderId="41" xfId="0" applyFont="1" applyFill="1" applyBorder="1" applyAlignment="1" applyProtection="1">
      <alignment horizontal="center" vertical="center" textRotation="18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72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workbookViewId="0">
      <pane ySplit="13" topLeftCell="A14" activePane="bottomLeft" state="frozenSplit"/>
      <selection pane="bottomLeft" activeCell="C14" sqref="C14:J153"/>
    </sheetView>
  </sheetViews>
  <sheetFormatPr baseColWidth="10" defaultColWidth="11.42578125" defaultRowHeight="18" x14ac:dyDescent="0.25"/>
  <cols>
    <col min="1" max="1" width="2.7109375" style="1" bestFit="1" customWidth="1"/>
    <col min="2" max="2" width="7.5703125" style="2" bestFit="1" customWidth="1"/>
    <col min="3" max="3" width="32.7109375" style="71" customWidth="1"/>
    <col min="4" max="4" width="11.7109375" style="64" bestFit="1" customWidth="1"/>
    <col min="5" max="5" width="40.85546875" style="10" bestFit="1" customWidth="1"/>
    <col min="6" max="6" width="11.7109375" style="64" bestFit="1" customWidth="1"/>
    <col min="7" max="7" width="33.42578125" style="10" bestFit="1" customWidth="1"/>
    <col min="8" max="8" width="11.7109375" style="64" bestFit="1" customWidth="1"/>
    <col min="9" max="9" width="36.42578125" style="10" bestFit="1" customWidth="1"/>
    <col min="10" max="10" width="11.7109375" style="64" bestFit="1" customWidth="1"/>
    <col min="11" max="11" width="7.140625" style="6" customWidth="1"/>
    <col min="12" max="12" width="5.7109375" style="6" customWidth="1"/>
    <col min="13" max="13" width="12.7109375" style="6" customWidth="1"/>
    <col min="14" max="14" width="7.7109375" style="7" customWidth="1"/>
    <col min="15" max="15" width="1.7109375" style="8" customWidth="1"/>
    <col min="16" max="16" width="7.7109375" style="7" customWidth="1"/>
    <col min="17" max="17" width="3.7109375" style="9" customWidth="1"/>
    <col min="18" max="18" width="1.7109375" style="10" customWidth="1"/>
    <col min="19" max="19" width="5.7109375" style="75" customWidth="1"/>
    <col min="20" max="20" width="5.7109375" style="10" customWidth="1"/>
    <col min="21" max="21" width="1.7109375" style="10" customWidth="1"/>
    <col min="22" max="23" width="11.42578125" style="10"/>
    <col min="24" max="24" width="1.7109375" style="10" customWidth="1"/>
    <col min="25" max="16384" width="11.42578125" style="10"/>
  </cols>
  <sheetData>
    <row r="1" spans="1:24" ht="5.0999999999999996" customHeight="1" thickBot="1" x14ac:dyDescent="0.3">
      <c r="C1" s="3"/>
      <c r="D1" s="4"/>
      <c r="E1" s="5"/>
      <c r="F1" s="4"/>
      <c r="G1" s="5"/>
      <c r="H1" s="4"/>
      <c r="I1" s="5"/>
      <c r="J1" s="4"/>
    </row>
    <row r="2" spans="1:24" ht="30" customHeight="1" thickBot="1" x14ac:dyDescent="0.3">
      <c r="C2" s="174" t="s">
        <v>98</v>
      </c>
      <c r="D2" s="175"/>
      <c r="E2" s="175"/>
      <c r="F2" s="175"/>
      <c r="G2" s="175"/>
      <c r="H2" s="175"/>
      <c r="I2" s="175"/>
      <c r="J2" s="176"/>
      <c r="K2" s="11"/>
      <c r="L2" s="11"/>
      <c r="M2" s="11"/>
      <c r="S2" s="76"/>
      <c r="T2" s="12"/>
      <c r="V2" s="177" t="s">
        <v>25</v>
      </c>
      <c r="W2" s="178"/>
    </row>
    <row r="3" spans="1:24" s="17" customFormat="1" ht="5.0999999999999996" customHeight="1" thickBot="1" x14ac:dyDescent="0.3">
      <c r="A3" s="13"/>
      <c r="B3" s="14"/>
      <c r="C3" s="15"/>
      <c r="D3" s="16"/>
      <c r="E3" s="16"/>
      <c r="F3" s="16"/>
      <c r="G3" s="16"/>
      <c r="H3" s="16"/>
      <c r="I3" s="16"/>
      <c r="J3" s="16"/>
      <c r="K3" s="11"/>
      <c r="L3" s="11"/>
      <c r="M3" s="11"/>
      <c r="N3" s="7"/>
      <c r="O3" s="8"/>
      <c r="P3" s="7"/>
      <c r="Q3" s="9"/>
      <c r="R3" s="10"/>
      <c r="S3" s="76"/>
      <c r="T3" s="12"/>
      <c r="V3" s="179"/>
      <c r="W3" s="180"/>
    </row>
    <row r="4" spans="1:24" s="17" customFormat="1" ht="15" customHeight="1" x14ac:dyDescent="0.25">
      <c r="A4" s="13"/>
      <c r="B4" s="14"/>
      <c r="C4" s="181" t="s">
        <v>106</v>
      </c>
      <c r="D4" s="182"/>
      <c r="E4" s="181" t="s">
        <v>107</v>
      </c>
      <c r="F4" s="182"/>
      <c r="G4" s="181" t="s">
        <v>108</v>
      </c>
      <c r="H4" s="182"/>
      <c r="I4" s="181" t="s">
        <v>109</v>
      </c>
      <c r="J4" s="182"/>
      <c r="K4" s="11"/>
      <c r="L4" s="11"/>
      <c r="M4" s="11"/>
      <c r="N4" s="7"/>
      <c r="O4" s="8"/>
      <c r="P4" s="7"/>
      <c r="Q4" s="9"/>
      <c r="R4" s="10"/>
      <c r="S4" s="76"/>
      <c r="T4" s="12"/>
      <c r="V4" s="185" t="s">
        <v>10</v>
      </c>
      <c r="W4" s="186"/>
    </row>
    <row r="5" spans="1:24" s="17" customFormat="1" ht="15" customHeight="1" thickBot="1" x14ac:dyDescent="0.3">
      <c r="A5" s="13"/>
      <c r="B5" s="14"/>
      <c r="C5" s="183"/>
      <c r="D5" s="184"/>
      <c r="E5" s="183"/>
      <c r="F5" s="184"/>
      <c r="G5" s="183"/>
      <c r="H5" s="184"/>
      <c r="I5" s="183"/>
      <c r="J5" s="184"/>
      <c r="K5" s="11"/>
      <c r="L5" s="11"/>
      <c r="M5" s="11"/>
      <c r="N5" s="7"/>
      <c r="O5" s="8"/>
      <c r="P5" s="7"/>
      <c r="Q5" s="9"/>
      <c r="R5" s="10"/>
      <c r="S5" s="76"/>
      <c r="T5" s="12"/>
      <c r="V5" s="163" t="s">
        <v>11</v>
      </c>
      <c r="W5" s="164"/>
    </row>
    <row r="6" spans="1:24" s="17" customFormat="1" ht="15" customHeight="1" x14ac:dyDescent="0.25">
      <c r="A6" s="13"/>
      <c r="B6" s="14"/>
      <c r="C6" s="18" t="s">
        <v>26</v>
      </c>
      <c r="D6" s="19">
        <f>COUNTIF($D$14:$D$151,"*-*-*-*")</f>
        <v>5</v>
      </c>
      <c r="E6" s="18" t="s">
        <v>26</v>
      </c>
      <c r="F6" s="19">
        <f>COUNTIF($F$14:$F$147,"*-*-*-*")</f>
        <v>5</v>
      </c>
      <c r="G6" s="18" t="s">
        <v>26</v>
      </c>
      <c r="H6" s="19">
        <f>COUNTIF($H$14:$H$147,"*-*-*-*")</f>
        <v>5</v>
      </c>
      <c r="I6" s="18" t="s">
        <v>26</v>
      </c>
      <c r="J6" s="19">
        <f>COUNTIF($J$14:$J$147,"*-*-*-*")</f>
        <v>5</v>
      </c>
      <c r="K6" s="11"/>
      <c r="L6" s="11"/>
      <c r="M6" s="11"/>
      <c r="N6" s="7"/>
      <c r="O6" s="8"/>
      <c r="P6" s="7"/>
      <c r="Q6" s="9"/>
      <c r="R6" s="10"/>
      <c r="S6" s="76"/>
      <c r="T6" s="12"/>
      <c r="V6" s="163" t="s">
        <v>23</v>
      </c>
      <c r="W6" s="164"/>
    </row>
    <row r="7" spans="1:24" s="25" customFormat="1" ht="15" customHeight="1" x14ac:dyDescent="0.25">
      <c r="A7" s="20"/>
      <c r="B7" s="21"/>
      <c r="C7" s="22" t="s">
        <v>24</v>
      </c>
      <c r="D7" s="23">
        <f>COUNTIF($D$14:$D$151,"Couleur")</f>
        <v>37</v>
      </c>
      <c r="E7" s="22" t="s">
        <v>24</v>
      </c>
      <c r="F7" s="23">
        <f>COUNTIF($F$14:$F$149,"Couleur")</f>
        <v>30</v>
      </c>
      <c r="G7" s="22" t="s">
        <v>24</v>
      </c>
      <c r="H7" s="23">
        <f>COUNTIF($H$14:$H$149,"Couleur")</f>
        <v>32</v>
      </c>
      <c r="I7" s="22" t="s">
        <v>24</v>
      </c>
      <c r="J7" s="23">
        <f>COUNTIF($J$14:$J$149,"Couleur")</f>
        <v>36</v>
      </c>
      <c r="K7" s="24"/>
      <c r="L7" s="24"/>
      <c r="M7" s="24"/>
      <c r="N7" s="9"/>
      <c r="O7" s="8"/>
      <c r="P7" s="9"/>
      <c r="Q7" s="9"/>
      <c r="R7" s="17"/>
      <c r="S7" s="76"/>
      <c r="T7" s="12"/>
      <c r="V7" s="163" t="s">
        <v>8</v>
      </c>
      <c r="W7" s="164"/>
    </row>
    <row r="8" spans="1:24" s="25" customFormat="1" ht="15" customHeight="1" x14ac:dyDescent="0.25">
      <c r="A8" s="20"/>
      <c r="B8" s="21"/>
      <c r="C8" s="22" t="s">
        <v>27</v>
      </c>
      <c r="D8" s="23">
        <f>COUNTIF($D$14:$D$151,"Nature")</f>
        <v>36</v>
      </c>
      <c r="E8" s="22" t="s">
        <v>27</v>
      </c>
      <c r="F8" s="23">
        <f>COUNTIF($F$14:$F$149,"Nature")</f>
        <v>35</v>
      </c>
      <c r="G8" s="22" t="s">
        <v>27</v>
      </c>
      <c r="H8" s="23">
        <f>COUNTIF($H$14:$H$149,"Nature")</f>
        <v>29</v>
      </c>
      <c r="I8" s="22" t="s">
        <v>27</v>
      </c>
      <c r="J8" s="23">
        <f>COUNTIF($J$14:$J$149,"Nature")</f>
        <v>31</v>
      </c>
      <c r="K8" s="24"/>
      <c r="L8" s="24"/>
      <c r="M8" s="24"/>
      <c r="N8" s="9"/>
      <c r="O8" s="8"/>
      <c r="P8" s="9"/>
      <c r="Q8" s="9"/>
      <c r="R8" s="17"/>
      <c r="S8" s="76"/>
      <c r="T8" s="12"/>
      <c r="V8" s="163" t="s">
        <v>13</v>
      </c>
      <c r="W8" s="164"/>
    </row>
    <row r="9" spans="1:24" s="25" customFormat="1" ht="15" customHeight="1" thickBot="1" x14ac:dyDescent="0.3">
      <c r="A9" s="20"/>
      <c r="B9" s="2"/>
      <c r="C9" s="26" t="s">
        <v>28</v>
      </c>
      <c r="D9" s="23">
        <f>COUNTIF($D$14:$D$151,"Monochrome")</f>
        <v>31</v>
      </c>
      <c r="E9" s="26" t="s">
        <v>28</v>
      </c>
      <c r="F9" s="23">
        <f>COUNTIF($F$14:$F$149,"Monochrome")</f>
        <v>34</v>
      </c>
      <c r="G9" s="26" t="s">
        <v>28</v>
      </c>
      <c r="H9" s="23">
        <f>COUNTIF($H$14:$H$149,"Monochrome")</f>
        <v>34</v>
      </c>
      <c r="I9" s="26" t="s">
        <v>28</v>
      </c>
      <c r="J9" s="23">
        <f>COUNTIF($J$14:$J$149,"Monochrome")</f>
        <v>28</v>
      </c>
      <c r="K9" s="24"/>
      <c r="L9" s="24"/>
      <c r="M9" s="24"/>
      <c r="N9" s="9"/>
      <c r="O9" s="8"/>
      <c r="P9" s="9"/>
      <c r="Q9" s="9"/>
      <c r="R9" s="17"/>
      <c r="S9" s="76"/>
      <c r="T9" s="12"/>
      <c r="V9" s="163" t="s">
        <v>14</v>
      </c>
      <c r="W9" s="164"/>
    </row>
    <row r="10" spans="1:24" s="30" customFormat="1" ht="15" customHeight="1" thickBot="1" x14ac:dyDescent="0.3">
      <c r="A10" s="20"/>
      <c r="B10" s="27"/>
      <c r="C10" s="28" t="s">
        <v>29</v>
      </c>
      <c r="D10" s="29">
        <f>COUNTIF($D$14:$D$151,"Thème")</f>
        <v>29</v>
      </c>
      <c r="E10" s="28" t="s">
        <v>29</v>
      </c>
      <c r="F10" s="29">
        <f>COUNTIF($F$14:$F$149,"Thème")</f>
        <v>30</v>
      </c>
      <c r="G10" s="28" t="s">
        <v>29</v>
      </c>
      <c r="H10" s="29">
        <f>COUNTIF($H$14:$H$149,"Thème")</f>
        <v>34</v>
      </c>
      <c r="I10" s="28" t="s">
        <v>29</v>
      </c>
      <c r="J10" s="29">
        <f>COUNTIF($J$14:$J$149,"Thème")</f>
        <v>34</v>
      </c>
      <c r="K10" s="24"/>
      <c r="L10" s="24"/>
      <c r="M10" s="165" t="s">
        <v>30</v>
      </c>
      <c r="N10" s="166"/>
      <c r="O10" s="166"/>
      <c r="P10" s="166"/>
      <c r="Q10" s="166"/>
      <c r="R10" s="166"/>
      <c r="S10" s="166"/>
      <c r="T10" s="167"/>
      <c r="V10" s="171" t="s">
        <v>13</v>
      </c>
      <c r="W10" s="172"/>
    </row>
    <row r="11" spans="1:24" ht="15" customHeight="1" thickBot="1" x14ac:dyDescent="0.3">
      <c r="C11" s="31" t="s">
        <v>21</v>
      </c>
      <c r="D11" s="32">
        <f>SUM(D6:D10)</f>
        <v>138</v>
      </c>
      <c r="E11" s="31" t="s">
        <v>21</v>
      </c>
      <c r="F11" s="32">
        <f>SUM(F6:F10)</f>
        <v>134</v>
      </c>
      <c r="G11" s="31" t="s">
        <v>21</v>
      </c>
      <c r="H11" s="32">
        <f>SUM(H6:H10)</f>
        <v>134</v>
      </c>
      <c r="I11" s="31" t="s">
        <v>21</v>
      </c>
      <c r="J11" s="32">
        <f>SUM(J6:J10)</f>
        <v>134</v>
      </c>
      <c r="K11" s="33"/>
      <c r="L11" s="33"/>
      <c r="M11" s="168"/>
      <c r="N11" s="169"/>
      <c r="O11" s="169"/>
      <c r="P11" s="169"/>
      <c r="Q11" s="169"/>
      <c r="R11" s="169"/>
      <c r="S11" s="169"/>
      <c r="T11" s="170"/>
      <c r="V11" s="173"/>
      <c r="W11" s="173"/>
    </row>
    <row r="12" spans="1:24" s="12" customFormat="1" ht="5.0999999999999996" customHeight="1" thickBot="1" x14ac:dyDescent="0.3">
      <c r="A12" s="34"/>
      <c r="B12" s="27"/>
      <c r="C12" s="35"/>
      <c r="D12" s="36"/>
      <c r="E12" s="35"/>
      <c r="F12" s="36"/>
      <c r="G12" s="35"/>
      <c r="H12" s="36"/>
      <c r="I12" s="35"/>
      <c r="J12" s="36"/>
      <c r="K12" s="33"/>
      <c r="L12" s="33"/>
      <c r="M12" s="37"/>
      <c r="N12" s="37"/>
      <c r="O12" s="38"/>
      <c r="P12" s="37"/>
      <c r="Q12" s="37"/>
      <c r="R12" s="38"/>
      <c r="S12" s="37"/>
      <c r="T12" s="37"/>
      <c r="V12" s="44"/>
      <c r="W12" s="44"/>
    </row>
    <row r="13" spans="1:24" s="25" customFormat="1" ht="15" customHeight="1" thickBot="1" x14ac:dyDescent="0.3">
      <c r="A13" s="34"/>
      <c r="B13" s="20"/>
      <c r="C13" s="39" t="s">
        <v>31</v>
      </c>
      <c r="D13" s="39" t="s">
        <v>32</v>
      </c>
      <c r="E13" s="39" t="s">
        <v>31</v>
      </c>
      <c r="F13" s="39" t="s">
        <v>32</v>
      </c>
      <c r="G13" s="39" t="s">
        <v>31</v>
      </c>
      <c r="H13" s="39" t="s">
        <v>32</v>
      </c>
      <c r="I13" s="39" t="s">
        <v>31</v>
      </c>
      <c r="J13" s="39" t="s">
        <v>32</v>
      </c>
      <c r="K13" s="24"/>
      <c r="L13" s="24"/>
      <c r="M13" s="40" t="s">
        <v>33</v>
      </c>
      <c r="N13" s="40" t="s">
        <v>34</v>
      </c>
      <c r="O13" s="24"/>
      <c r="P13" s="161" t="s">
        <v>35</v>
      </c>
      <c r="Q13" s="162"/>
      <c r="S13" s="40" t="s">
        <v>21</v>
      </c>
      <c r="T13" s="40" t="s">
        <v>36</v>
      </c>
    </row>
    <row r="14" spans="1:24" s="25" customFormat="1" ht="15" customHeight="1" x14ac:dyDescent="0.25">
      <c r="A14" s="1">
        <v>1</v>
      </c>
      <c r="B14" s="41" t="s">
        <v>10</v>
      </c>
      <c r="C14" s="80" t="s">
        <v>52</v>
      </c>
      <c r="D14" s="81" t="s">
        <v>53</v>
      </c>
      <c r="E14" s="80" t="s">
        <v>52</v>
      </c>
      <c r="F14" s="81" t="s">
        <v>53</v>
      </c>
      <c r="G14" s="80" t="s">
        <v>52</v>
      </c>
      <c r="H14" s="81" t="s">
        <v>53</v>
      </c>
      <c r="I14" s="80" t="s">
        <v>52</v>
      </c>
      <c r="J14" s="81" t="s">
        <v>53</v>
      </c>
      <c r="K14" s="24">
        <v>1</v>
      </c>
      <c r="L14" s="24"/>
      <c r="M14" s="24"/>
      <c r="N14" s="42"/>
      <c r="O14" s="24"/>
      <c r="P14" s="42"/>
      <c r="Q14" s="42"/>
      <c r="R14" s="43"/>
      <c r="S14" s="42"/>
      <c r="T14" s="42"/>
      <c r="U14" s="30"/>
      <c r="X14" s="44"/>
    </row>
    <row r="15" spans="1:24" s="25" customFormat="1" ht="15" customHeight="1" x14ac:dyDescent="0.25">
      <c r="A15" s="34">
        <v>2</v>
      </c>
      <c r="B15" s="45" t="s">
        <v>10</v>
      </c>
      <c r="C15" s="82" t="s">
        <v>54</v>
      </c>
      <c r="D15" s="81" t="s">
        <v>24</v>
      </c>
      <c r="E15" s="82" t="s">
        <v>54</v>
      </c>
      <c r="F15" s="81" t="s">
        <v>24</v>
      </c>
      <c r="G15" s="82" t="s">
        <v>54</v>
      </c>
      <c r="H15" s="81" t="s">
        <v>24</v>
      </c>
      <c r="I15" s="82" t="s">
        <v>54</v>
      </c>
      <c r="J15" s="81" t="s">
        <v>24</v>
      </c>
      <c r="K15" s="24">
        <v>2</v>
      </c>
      <c r="L15" s="24"/>
      <c r="M15" s="24"/>
      <c r="N15" s="42"/>
      <c r="O15" s="24"/>
      <c r="P15" s="42"/>
      <c r="Q15" s="42"/>
      <c r="R15" s="43"/>
      <c r="S15" s="42"/>
      <c r="T15" s="42"/>
      <c r="U15" s="30"/>
      <c r="X15" s="44"/>
    </row>
    <row r="16" spans="1:24" s="44" customFormat="1" ht="15" customHeight="1" thickBot="1" x14ac:dyDescent="0.3">
      <c r="A16" s="1">
        <v>3</v>
      </c>
      <c r="B16" s="45" t="s">
        <v>10</v>
      </c>
      <c r="C16" s="82" t="s">
        <v>54</v>
      </c>
      <c r="D16" s="81" t="s">
        <v>27</v>
      </c>
      <c r="E16" s="82" t="s">
        <v>54</v>
      </c>
      <c r="F16" s="81" t="s">
        <v>27</v>
      </c>
      <c r="G16" s="82" t="s">
        <v>54</v>
      </c>
      <c r="H16" s="81" t="s">
        <v>27</v>
      </c>
      <c r="I16" s="82" t="s">
        <v>54</v>
      </c>
      <c r="J16" s="81" t="s">
        <v>27</v>
      </c>
      <c r="K16" s="24">
        <v>3</v>
      </c>
      <c r="L16" s="24"/>
      <c r="M16" s="24"/>
      <c r="N16" s="42"/>
      <c r="O16" s="24"/>
      <c r="P16" s="42"/>
      <c r="Q16" s="42"/>
      <c r="R16" s="30"/>
      <c r="S16" s="42"/>
      <c r="T16" s="42"/>
      <c r="U16" s="43"/>
      <c r="V16" s="25"/>
      <c r="W16" s="25"/>
    </row>
    <row r="17" spans="1:21" s="25" customFormat="1" ht="15" customHeight="1" x14ac:dyDescent="0.25">
      <c r="A17" s="1">
        <v>4</v>
      </c>
      <c r="B17" s="45" t="s">
        <v>10</v>
      </c>
      <c r="C17" s="82" t="s">
        <v>54</v>
      </c>
      <c r="D17" s="81" t="s">
        <v>28</v>
      </c>
      <c r="E17" s="82" t="s">
        <v>54</v>
      </c>
      <c r="F17" s="81" t="s">
        <v>28</v>
      </c>
      <c r="G17" s="82" t="s">
        <v>54</v>
      </c>
      <c r="H17" s="81" t="s">
        <v>28</v>
      </c>
      <c r="I17" s="82" t="s">
        <v>54</v>
      </c>
      <c r="J17" s="81" t="s">
        <v>28</v>
      </c>
      <c r="K17" s="24">
        <v>4</v>
      </c>
      <c r="L17" s="158" t="s">
        <v>10</v>
      </c>
      <c r="M17" s="46" t="s">
        <v>37</v>
      </c>
      <c r="N17" s="47">
        <f>'Médailles Commandées'!D8</f>
        <v>4</v>
      </c>
      <c r="O17" s="48"/>
      <c r="P17" s="47">
        <f>COUNTIF($C$14:$J$54,"Pins FIAP au meilleur Auteur du Salon")</f>
        <v>4</v>
      </c>
      <c r="Q17" s="24" t="str">
        <f t="shared" ref="Q17:Q22" si="0">IF(N17=P17,"OK","KO")</f>
        <v>OK</v>
      </c>
      <c r="S17" s="155">
        <f>SUM(P17:P22)</f>
        <v>164</v>
      </c>
      <c r="T17" s="155" t="str">
        <f>IF(S17='Médailles Commandées'!J8,"OK","KO")</f>
        <v>OK</v>
      </c>
      <c r="U17" s="43"/>
    </row>
    <row r="18" spans="1:21" s="25" customFormat="1" ht="15" customHeight="1" x14ac:dyDescent="0.25">
      <c r="A18" s="34">
        <v>5</v>
      </c>
      <c r="B18" s="45" t="s">
        <v>10</v>
      </c>
      <c r="C18" s="82" t="s">
        <v>54</v>
      </c>
      <c r="D18" s="81" t="s">
        <v>29</v>
      </c>
      <c r="E18" s="82" t="s">
        <v>54</v>
      </c>
      <c r="F18" s="81" t="s">
        <v>29</v>
      </c>
      <c r="G18" s="82" t="s">
        <v>54</v>
      </c>
      <c r="H18" s="81" t="s">
        <v>29</v>
      </c>
      <c r="I18" s="82" t="s">
        <v>54</v>
      </c>
      <c r="J18" s="81" t="s">
        <v>29</v>
      </c>
      <c r="K18" s="24">
        <v>5</v>
      </c>
      <c r="L18" s="159"/>
      <c r="M18" s="49" t="s">
        <v>38</v>
      </c>
      <c r="N18" s="50">
        <f>'Médailles Commandées'!E8</f>
        <v>16</v>
      </c>
      <c r="O18" s="48"/>
      <c r="P18" s="50">
        <f>COUNTIF($C$14:$J$54,"Médaille d'Or FIAP")</f>
        <v>16</v>
      </c>
      <c r="Q18" s="24" t="str">
        <f t="shared" si="0"/>
        <v>OK</v>
      </c>
      <c r="S18" s="156"/>
      <c r="T18" s="156"/>
      <c r="U18" s="51"/>
    </row>
    <row r="19" spans="1:21" s="25" customFormat="1" ht="15" customHeight="1" x14ac:dyDescent="0.25">
      <c r="A19" s="1">
        <v>6</v>
      </c>
      <c r="B19" s="45" t="s">
        <v>10</v>
      </c>
      <c r="C19" s="82" t="s">
        <v>55</v>
      </c>
      <c r="D19" s="81" t="s">
        <v>24</v>
      </c>
      <c r="E19" s="82" t="s">
        <v>55</v>
      </c>
      <c r="F19" s="81" t="s">
        <v>24</v>
      </c>
      <c r="G19" s="82" t="s">
        <v>55</v>
      </c>
      <c r="H19" s="81" t="s">
        <v>24</v>
      </c>
      <c r="I19" s="82" t="s">
        <v>55</v>
      </c>
      <c r="J19" s="81" t="s">
        <v>24</v>
      </c>
      <c r="K19" s="24">
        <v>6</v>
      </c>
      <c r="L19" s="159"/>
      <c r="M19" s="49" t="s">
        <v>39</v>
      </c>
      <c r="N19" s="50">
        <f>'Médailles Commandées'!F8</f>
        <v>16</v>
      </c>
      <c r="O19" s="48"/>
      <c r="P19" s="50">
        <f>COUNTIF($C$14:$J$54,"Médaille d'Argent FIAP")</f>
        <v>16</v>
      </c>
      <c r="Q19" s="24" t="str">
        <f t="shared" si="0"/>
        <v>OK</v>
      </c>
      <c r="S19" s="156"/>
      <c r="T19" s="156"/>
      <c r="U19" s="51"/>
    </row>
    <row r="20" spans="1:21" s="25" customFormat="1" ht="15" customHeight="1" x14ac:dyDescent="0.25">
      <c r="A20" s="1">
        <v>7</v>
      </c>
      <c r="B20" s="45" t="s">
        <v>10</v>
      </c>
      <c r="C20" s="82" t="s">
        <v>55</v>
      </c>
      <c r="D20" s="81" t="s">
        <v>27</v>
      </c>
      <c r="E20" s="82" t="s">
        <v>55</v>
      </c>
      <c r="F20" s="81" t="s">
        <v>27</v>
      </c>
      <c r="G20" s="82" t="s">
        <v>55</v>
      </c>
      <c r="H20" s="81" t="s">
        <v>27</v>
      </c>
      <c r="I20" s="82" t="s">
        <v>55</v>
      </c>
      <c r="J20" s="81" t="s">
        <v>27</v>
      </c>
      <c r="K20" s="24">
        <v>7</v>
      </c>
      <c r="L20" s="159"/>
      <c r="M20" s="49" t="s">
        <v>40</v>
      </c>
      <c r="N20" s="50">
        <f>'Médailles Commandées'!G8</f>
        <v>16</v>
      </c>
      <c r="O20" s="48"/>
      <c r="P20" s="50">
        <f>COUNTIF($C$14:$J$54,"Médaille de Bronze FIAP")</f>
        <v>16</v>
      </c>
      <c r="Q20" s="24" t="str">
        <f t="shared" si="0"/>
        <v>OK</v>
      </c>
      <c r="S20" s="156"/>
      <c r="T20" s="156"/>
      <c r="U20" s="51"/>
    </row>
    <row r="21" spans="1:21" s="25" customFormat="1" ht="15" customHeight="1" x14ac:dyDescent="0.25">
      <c r="A21" s="34">
        <v>8</v>
      </c>
      <c r="B21" s="45" t="s">
        <v>10</v>
      </c>
      <c r="C21" s="82" t="s">
        <v>55</v>
      </c>
      <c r="D21" s="81" t="s">
        <v>28</v>
      </c>
      <c r="E21" s="82" t="s">
        <v>55</v>
      </c>
      <c r="F21" s="81" t="s">
        <v>28</v>
      </c>
      <c r="G21" s="82" t="s">
        <v>55</v>
      </c>
      <c r="H21" s="81" t="s">
        <v>28</v>
      </c>
      <c r="I21" s="82" t="s">
        <v>55</v>
      </c>
      <c r="J21" s="81" t="s">
        <v>28</v>
      </c>
      <c r="K21" s="24">
        <v>8</v>
      </c>
      <c r="L21" s="159"/>
      <c r="M21" s="49" t="s">
        <v>41</v>
      </c>
      <c r="N21" s="52">
        <v>12</v>
      </c>
      <c r="O21" s="48"/>
      <c r="P21" s="50">
        <f>COUNTIF($C$14:$J$54,"Ruban FIAP coup de Cœur juge N°1")+COUNTIF($C$14:$J$54,"Ruban FIAP coup de Cœur juge N°2")+COUNTIF($C$14:$J$54,"Ruban FIAP coup de Cœur juge N°3")</f>
        <v>12</v>
      </c>
      <c r="Q21" s="24" t="str">
        <f t="shared" si="0"/>
        <v>OK</v>
      </c>
      <c r="S21" s="156"/>
      <c r="T21" s="156"/>
      <c r="U21" s="43"/>
    </row>
    <row r="22" spans="1:21" s="25" customFormat="1" ht="15" customHeight="1" thickBot="1" x14ac:dyDescent="0.3">
      <c r="A22" s="1">
        <v>9</v>
      </c>
      <c r="B22" s="45" t="s">
        <v>10</v>
      </c>
      <c r="C22" s="82" t="s">
        <v>55</v>
      </c>
      <c r="D22" s="81" t="s">
        <v>29</v>
      </c>
      <c r="E22" s="82" t="s">
        <v>55</v>
      </c>
      <c r="F22" s="81" t="s">
        <v>29</v>
      </c>
      <c r="G22" s="82" t="s">
        <v>55</v>
      </c>
      <c r="H22" s="81" t="s">
        <v>29</v>
      </c>
      <c r="I22" s="82" t="s">
        <v>55</v>
      </c>
      <c r="J22" s="81" t="s">
        <v>29</v>
      </c>
      <c r="K22" s="24">
        <v>9</v>
      </c>
      <c r="L22" s="160"/>
      <c r="M22" s="53" t="s">
        <v>83</v>
      </c>
      <c r="N22" s="54">
        <f>'Médailles Commandées'!$H$8-N21</f>
        <v>100</v>
      </c>
      <c r="O22" s="48"/>
      <c r="P22" s="54">
        <f>COUNTIF($C$14:$J$54,"Ruban FIAP")</f>
        <v>100</v>
      </c>
      <c r="Q22" s="24" t="str">
        <f t="shared" si="0"/>
        <v>OK</v>
      </c>
      <c r="S22" s="157"/>
      <c r="T22" s="157"/>
      <c r="U22" s="43"/>
    </row>
    <row r="23" spans="1:21" s="25" customFormat="1" ht="15" customHeight="1" x14ac:dyDescent="0.25">
      <c r="A23" s="1">
        <v>10</v>
      </c>
      <c r="B23" s="45" t="s">
        <v>10</v>
      </c>
      <c r="C23" s="82" t="s">
        <v>56</v>
      </c>
      <c r="D23" s="81" t="s">
        <v>24</v>
      </c>
      <c r="E23" s="82" t="s">
        <v>56</v>
      </c>
      <c r="F23" s="81" t="s">
        <v>24</v>
      </c>
      <c r="G23" s="82" t="s">
        <v>56</v>
      </c>
      <c r="H23" s="81" t="s">
        <v>24</v>
      </c>
      <c r="I23" s="82" t="s">
        <v>56</v>
      </c>
      <c r="J23" s="81" t="s">
        <v>24</v>
      </c>
      <c r="K23" s="24">
        <v>10</v>
      </c>
      <c r="L23" s="151" t="s">
        <v>82</v>
      </c>
      <c r="M23" s="151"/>
      <c r="N23" s="151"/>
      <c r="O23" s="151"/>
      <c r="P23" s="151"/>
      <c r="Q23" s="151"/>
      <c r="R23" s="151"/>
      <c r="S23" s="151"/>
      <c r="T23" s="151"/>
      <c r="U23" s="43"/>
    </row>
    <row r="24" spans="1:21" s="25" customFormat="1" ht="15" customHeight="1" x14ac:dyDescent="0.25">
      <c r="A24" s="34">
        <v>11</v>
      </c>
      <c r="B24" s="45" t="s">
        <v>10</v>
      </c>
      <c r="C24" s="82" t="s">
        <v>56</v>
      </c>
      <c r="D24" s="81" t="s">
        <v>27</v>
      </c>
      <c r="E24" s="82" t="s">
        <v>56</v>
      </c>
      <c r="F24" s="81" t="s">
        <v>27</v>
      </c>
      <c r="G24" s="82" t="s">
        <v>56</v>
      </c>
      <c r="H24" s="81" t="s">
        <v>27</v>
      </c>
      <c r="I24" s="82" t="s">
        <v>56</v>
      </c>
      <c r="J24" s="81" t="s">
        <v>27</v>
      </c>
      <c r="K24" s="24">
        <v>11</v>
      </c>
      <c r="L24" s="55"/>
      <c r="M24" s="24"/>
      <c r="N24" s="24"/>
      <c r="O24" s="24"/>
      <c r="P24" s="24"/>
      <c r="Q24" s="24"/>
      <c r="R24" s="44"/>
      <c r="S24" s="42"/>
      <c r="T24" s="42"/>
      <c r="U24" s="43"/>
    </row>
    <row r="25" spans="1:21" s="25" customFormat="1" ht="15" customHeight="1" x14ac:dyDescent="0.25">
      <c r="A25" s="1">
        <v>12</v>
      </c>
      <c r="B25" s="45" t="s">
        <v>10</v>
      </c>
      <c r="C25" s="82" t="s">
        <v>56</v>
      </c>
      <c r="D25" s="81" t="s">
        <v>28</v>
      </c>
      <c r="E25" s="82" t="s">
        <v>56</v>
      </c>
      <c r="F25" s="81" t="s">
        <v>28</v>
      </c>
      <c r="G25" s="82" t="s">
        <v>56</v>
      </c>
      <c r="H25" s="81" t="s">
        <v>28</v>
      </c>
      <c r="I25" s="82" t="s">
        <v>56</v>
      </c>
      <c r="J25" s="81" t="s">
        <v>28</v>
      </c>
      <c r="K25" s="24">
        <v>12</v>
      </c>
      <c r="L25" s="24"/>
      <c r="M25" s="24"/>
      <c r="N25" s="24"/>
      <c r="O25" s="24"/>
      <c r="P25" s="24"/>
      <c r="Q25" s="24"/>
      <c r="S25" s="42"/>
      <c r="T25" s="42"/>
      <c r="U25" s="43"/>
    </row>
    <row r="26" spans="1:21" s="25" customFormat="1" ht="15" customHeight="1" x14ac:dyDescent="0.25">
      <c r="A26" s="1">
        <v>13</v>
      </c>
      <c r="B26" s="45" t="s">
        <v>10</v>
      </c>
      <c r="C26" s="82" t="s">
        <v>56</v>
      </c>
      <c r="D26" s="81" t="s">
        <v>29</v>
      </c>
      <c r="E26" s="82" t="s">
        <v>56</v>
      </c>
      <c r="F26" s="81" t="s">
        <v>29</v>
      </c>
      <c r="G26" s="82" t="s">
        <v>56</v>
      </c>
      <c r="H26" s="81" t="s">
        <v>29</v>
      </c>
      <c r="I26" s="82" t="s">
        <v>56</v>
      </c>
      <c r="J26" s="81" t="s">
        <v>29</v>
      </c>
      <c r="K26" s="24">
        <v>13</v>
      </c>
      <c r="L26" s="24"/>
      <c r="M26" s="24"/>
      <c r="N26" s="24"/>
      <c r="O26" s="24"/>
      <c r="P26" s="24"/>
      <c r="Q26" s="24"/>
      <c r="S26" s="42"/>
      <c r="T26" s="42"/>
    </row>
    <row r="27" spans="1:21" s="25" customFormat="1" ht="15" customHeight="1" x14ac:dyDescent="0.25">
      <c r="A27" s="34">
        <v>14</v>
      </c>
      <c r="B27" s="45" t="s">
        <v>10</v>
      </c>
      <c r="C27" s="82" t="s">
        <v>57</v>
      </c>
      <c r="D27" s="81" t="s">
        <v>53</v>
      </c>
      <c r="E27" s="82" t="s">
        <v>57</v>
      </c>
      <c r="F27" s="81" t="s">
        <v>53</v>
      </c>
      <c r="G27" s="82" t="s">
        <v>57</v>
      </c>
      <c r="H27" s="81" t="s">
        <v>53</v>
      </c>
      <c r="I27" s="82" t="s">
        <v>57</v>
      </c>
      <c r="J27" s="81" t="s">
        <v>53</v>
      </c>
      <c r="K27" s="24">
        <v>14</v>
      </c>
      <c r="L27" s="24"/>
      <c r="M27" s="24"/>
      <c r="N27" s="24"/>
      <c r="O27" s="24"/>
      <c r="P27" s="24"/>
      <c r="Q27" s="24"/>
      <c r="S27" s="42"/>
      <c r="T27" s="42"/>
    </row>
    <row r="28" spans="1:21" s="25" customFormat="1" ht="15" customHeight="1" x14ac:dyDescent="0.25">
      <c r="A28" s="1">
        <v>15</v>
      </c>
      <c r="B28" s="45" t="s">
        <v>10</v>
      </c>
      <c r="C28" s="82" t="s">
        <v>58</v>
      </c>
      <c r="D28" s="81" t="s">
        <v>53</v>
      </c>
      <c r="E28" s="82" t="s">
        <v>58</v>
      </c>
      <c r="F28" s="81" t="s">
        <v>53</v>
      </c>
      <c r="G28" s="82" t="s">
        <v>58</v>
      </c>
      <c r="H28" s="81" t="s">
        <v>53</v>
      </c>
      <c r="I28" s="82" t="s">
        <v>58</v>
      </c>
      <c r="J28" s="81" t="s">
        <v>53</v>
      </c>
      <c r="K28" s="24">
        <v>15</v>
      </c>
      <c r="L28" s="24"/>
      <c r="M28" s="24"/>
      <c r="N28" s="24"/>
      <c r="O28" s="24"/>
      <c r="P28" s="24"/>
      <c r="Q28" s="24"/>
      <c r="S28" s="42"/>
      <c r="T28" s="42"/>
    </row>
    <row r="29" spans="1:21" s="25" customFormat="1" ht="15" customHeight="1" x14ac:dyDescent="0.25">
      <c r="A29" s="1">
        <v>16</v>
      </c>
      <c r="B29" s="45" t="s">
        <v>10</v>
      </c>
      <c r="C29" s="82" t="s">
        <v>59</v>
      </c>
      <c r="D29" s="81" t="s">
        <v>53</v>
      </c>
      <c r="E29" s="82" t="s">
        <v>59</v>
      </c>
      <c r="F29" s="81" t="s">
        <v>53</v>
      </c>
      <c r="G29" s="82" t="s">
        <v>59</v>
      </c>
      <c r="H29" s="81" t="s">
        <v>53</v>
      </c>
      <c r="I29" s="82" t="s">
        <v>59</v>
      </c>
      <c r="J29" s="81" t="s">
        <v>53</v>
      </c>
      <c r="K29" s="24">
        <v>16</v>
      </c>
      <c r="L29" s="24"/>
      <c r="M29" s="24"/>
      <c r="N29" s="24"/>
      <c r="O29" s="24"/>
      <c r="P29" s="24"/>
      <c r="Q29" s="24"/>
      <c r="S29" s="42"/>
      <c r="T29" s="42"/>
    </row>
    <row r="30" spans="1:21" s="25" customFormat="1" ht="15" customHeight="1" x14ac:dyDescent="0.25">
      <c r="A30" s="34">
        <v>17</v>
      </c>
      <c r="B30" s="45" t="s">
        <v>10</v>
      </c>
      <c r="C30" s="82" t="s">
        <v>60</v>
      </c>
      <c r="D30" s="81" t="s">
        <v>24</v>
      </c>
      <c r="E30" s="82" t="s">
        <v>60</v>
      </c>
      <c r="F30" s="81" t="s">
        <v>24</v>
      </c>
      <c r="G30" s="82" t="s">
        <v>60</v>
      </c>
      <c r="H30" s="81" t="s">
        <v>24</v>
      </c>
      <c r="I30" s="82" t="s">
        <v>60</v>
      </c>
      <c r="J30" s="81" t="s">
        <v>24</v>
      </c>
      <c r="K30" s="24">
        <v>17</v>
      </c>
      <c r="L30" s="24"/>
      <c r="M30" s="24"/>
      <c r="N30" s="24"/>
      <c r="O30" s="24"/>
      <c r="P30" s="24"/>
      <c r="Q30" s="24"/>
      <c r="S30" s="42"/>
      <c r="T30" s="42"/>
    </row>
    <row r="31" spans="1:21" s="25" customFormat="1" ht="15" customHeight="1" x14ac:dyDescent="0.25">
      <c r="A31" s="1">
        <v>18</v>
      </c>
      <c r="B31" s="45" t="s">
        <v>10</v>
      </c>
      <c r="C31" s="82" t="s">
        <v>60</v>
      </c>
      <c r="D31" s="81" t="s">
        <v>27</v>
      </c>
      <c r="E31" s="82" t="s">
        <v>60</v>
      </c>
      <c r="F31" s="81" t="s">
        <v>27</v>
      </c>
      <c r="G31" s="82" t="s">
        <v>60</v>
      </c>
      <c r="H31" s="81" t="s">
        <v>27</v>
      </c>
      <c r="I31" s="82" t="s">
        <v>60</v>
      </c>
      <c r="J31" s="81" t="s">
        <v>27</v>
      </c>
      <c r="K31" s="24">
        <v>18</v>
      </c>
      <c r="L31" s="24"/>
      <c r="M31" s="24"/>
      <c r="N31" s="56"/>
      <c r="O31" s="24"/>
      <c r="P31" s="24"/>
      <c r="Q31" s="24"/>
      <c r="S31" s="77"/>
    </row>
    <row r="32" spans="1:21" s="25" customFormat="1" ht="15" customHeight="1" x14ac:dyDescent="0.25">
      <c r="A32" s="1">
        <v>19</v>
      </c>
      <c r="B32" s="45" t="s">
        <v>10</v>
      </c>
      <c r="C32" s="82" t="s">
        <v>60</v>
      </c>
      <c r="D32" s="81" t="s">
        <v>28</v>
      </c>
      <c r="E32" s="82" t="s">
        <v>60</v>
      </c>
      <c r="F32" s="81" t="s">
        <v>28</v>
      </c>
      <c r="G32" s="82" t="s">
        <v>60</v>
      </c>
      <c r="H32" s="81" t="s">
        <v>28</v>
      </c>
      <c r="I32" s="82" t="s">
        <v>60</v>
      </c>
      <c r="J32" s="81" t="s">
        <v>28</v>
      </c>
      <c r="K32" s="24">
        <v>19</v>
      </c>
      <c r="L32" s="24"/>
      <c r="M32" s="24"/>
      <c r="N32" s="24"/>
      <c r="O32" s="24"/>
      <c r="P32" s="24"/>
      <c r="Q32" s="24"/>
      <c r="S32" s="77"/>
    </row>
    <row r="33" spans="1:23" s="25" customFormat="1" ht="15" customHeight="1" x14ac:dyDescent="0.25">
      <c r="A33" s="34">
        <v>20</v>
      </c>
      <c r="B33" s="45" t="s">
        <v>10</v>
      </c>
      <c r="C33" s="82" t="s">
        <v>60</v>
      </c>
      <c r="D33" s="81" t="s">
        <v>29</v>
      </c>
      <c r="E33" s="82" t="s">
        <v>60</v>
      </c>
      <c r="F33" s="81" t="s">
        <v>29</v>
      </c>
      <c r="G33" s="82" t="s">
        <v>60</v>
      </c>
      <c r="H33" s="81" t="s">
        <v>29</v>
      </c>
      <c r="I33" s="82" t="s">
        <v>60</v>
      </c>
      <c r="J33" s="81" t="s">
        <v>29</v>
      </c>
      <c r="K33" s="24">
        <v>20</v>
      </c>
      <c r="L33" s="24"/>
      <c r="M33" s="24"/>
      <c r="N33" s="24"/>
      <c r="O33" s="24"/>
      <c r="P33" s="24"/>
      <c r="Q33" s="24"/>
      <c r="S33" s="77"/>
    </row>
    <row r="34" spans="1:23" s="25" customFormat="1" ht="15" customHeight="1" x14ac:dyDescent="0.25">
      <c r="A34" s="1">
        <v>21</v>
      </c>
      <c r="B34" s="45" t="s">
        <v>10</v>
      </c>
      <c r="C34" s="82" t="s">
        <v>60</v>
      </c>
      <c r="D34" s="81" t="s">
        <v>24</v>
      </c>
      <c r="E34" s="82" t="s">
        <v>60</v>
      </c>
      <c r="F34" s="81" t="s">
        <v>24</v>
      </c>
      <c r="G34" s="82" t="s">
        <v>60</v>
      </c>
      <c r="H34" s="81" t="s">
        <v>24</v>
      </c>
      <c r="I34" s="82" t="s">
        <v>60</v>
      </c>
      <c r="J34" s="81" t="s">
        <v>24</v>
      </c>
      <c r="K34" s="24">
        <v>21</v>
      </c>
      <c r="L34" s="24"/>
      <c r="M34" s="24"/>
      <c r="N34" s="24"/>
      <c r="O34" s="24"/>
      <c r="P34" s="24"/>
      <c r="Q34" s="24"/>
      <c r="S34" s="77"/>
    </row>
    <row r="35" spans="1:23" s="25" customFormat="1" ht="15" customHeight="1" x14ac:dyDescent="0.25">
      <c r="A35" s="1">
        <v>22</v>
      </c>
      <c r="B35" s="45" t="s">
        <v>10</v>
      </c>
      <c r="C35" s="82" t="s">
        <v>60</v>
      </c>
      <c r="D35" s="81" t="s">
        <v>27</v>
      </c>
      <c r="E35" s="82" t="s">
        <v>60</v>
      </c>
      <c r="F35" s="81" t="s">
        <v>27</v>
      </c>
      <c r="G35" s="82" t="s">
        <v>60</v>
      </c>
      <c r="H35" s="81" t="s">
        <v>27</v>
      </c>
      <c r="I35" s="82" t="s">
        <v>60</v>
      </c>
      <c r="J35" s="81" t="s">
        <v>27</v>
      </c>
      <c r="K35" s="24">
        <v>22</v>
      </c>
      <c r="L35" s="24"/>
      <c r="M35" s="24"/>
      <c r="N35" s="24"/>
      <c r="O35" s="24"/>
      <c r="P35" s="24"/>
      <c r="Q35" s="24"/>
      <c r="S35" s="77"/>
    </row>
    <row r="36" spans="1:23" s="25" customFormat="1" ht="15" customHeight="1" x14ac:dyDescent="0.25">
      <c r="A36" s="34">
        <v>23</v>
      </c>
      <c r="B36" s="45" t="s">
        <v>10</v>
      </c>
      <c r="C36" s="82" t="s">
        <v>60</v>
      </c>
      <c r="D36" s="81" t="s">
        <v>28</v>
      </c>
      <c r="E36" s="82" t="s">
        <v>60</v>
      </c>
      <c r="F36" s="81" t="s">
        <v>28</v>
      </c>
      <c r="G36" s="82" t="s">
        <v>60</v>
      </c>
      <c r="H36" s="81" t="s">
        <v>28</v>
      </c>
      <c r="I36" s="82" t="s">
        <v>60</v>
      </c>
      <c r="J36" s="81" t="s">
        <v>28</v>
      </c>
      <c r="K36" s="24">
        <v>23</v>
      </c>
      <c r="L36" s="24"/>
      <c r="M36" s="24"/>
      <c r="N36" s="24"/>
      <c r="O36" s="24"/>
      <c r="P36" s="24"/>
      <c r="Q36" s="24"/>
      <c r="S36" s="77"/>
    </row>
    <row r="37" spans="1:23" s="25" customFormat="1" ht="15" customHeight="1" x14ac:dyDescent="0.25">
      <c r="A37" s="1">
        <v>24</v>
      </c>
      <c r="B37" s="45" t="s">
        <v>10</v>
      </c>
      <c r="C37" s="82" t="s">
        <v>60</v>
      </c>
      <c r="D37" s="81" t="s">
        <v>29</v>
      </c>
      <c r="E37" s="82" t="s">
        <v>60</v>
      </c>
      <c r="F37" s="81" t="s">
        <v>29</v>
      </c>
      <c r="G37" s="82" t="s">
        <v>60</v>
      </c>
      <c r="H37" s="81" t="s">
        <v>29</v>
      </c>
      <c r="I37" s="82" t="s">
        <v>60</v>
      </c>
      <c r="J37" s="81" t="s">
        <v>29</v>
      </c>
      <c r="K37" s="24">
        <v>24</v>
      </c>
      <c r="L37" s="24"/>
      <c r="M37" s="24"/>
      <c r="N37" s="24"/>
      <c r="O37" s="24"/>
      <c r="P37" s="24"/>
      <c r="Q37" s="24"/>
      <c r="S37" s="77"/>
    </row>
    <row r="38" spans="1:23" s="25" customFormat="1" ht="15" customHeight="1" x14ac:dyDescent="0.25">
      <c r="A38" s="1">
        <v>25</v>
      </c>
      <c r="B38" s="45" t="s">
        <v>10</v>
      </c>
      <c r="C38" s="82" t="s">
        <v>60</v>
      </c>
      <c r="D38" s="81" t="s">
        <v>24</v>
      </c>
      <c r="E38" s="82" t="s">
        <v>60</v>
      </c>
      <c r="F38" s="81" t="s">
        <v>24</v>
      </c>
      <c r="G38" s="82" t="s">
        <v>60</v>
      </c>
      <c r="H38" s="81" t="s">
        <v>24</v>
      </c>
      <c r="I38" s="82" t="s">
        <v>60</v>
      </c>
      <c r="J38" s="81" t="s">
        <v>24</v>
      </c>
      <c r="K38" s="24">
        <v>25</v>
      </c>
      <c r="L38" s="24"/>
      <c r="M38" s="24"/>
      <c r="N38" s="24"/>
      <c r="O38" s="24"/>
      <c r="P38" s="24"/>
      <c r="Q38" s="24"/>
      <c r="S38" s="77"/>
    </row>
    <row r="39" spans="1:23" s="25" customFormat="1" ht="15" customHeight="1" x14ac:dyDescent="0.25">
      <c r="A39" s="34">
        <v>26</v>
      </c>
      <c r="B39" s="45" t="s">
        <v>10</v>
      </c>
      <c r="C39" s="82" t="s">
        <v>60</v>
      </c>
      <c r="D39" s="81" t="s">
        <v>27</v>
      </c>
      <c r="E39" s="82" t="s">
        <v>60</v>
      </c>
      <c r="F39" s="81" t="s">
        <v>27</v>
      </c>
      <c r="G39" s="82" t="s">
        <v>60</v>
      </c>
      <c r="H39" s="81" t="s">
        <v>27</v>
      </c>
      <c r="I39" s="82" t="s">
        <v>60</v>
      </c>
      <c r="J39" s="81" t="s">
        <v>27</v>
      </c>
      <c r="K39" s="24">
        <v>26</v>
      </c>
      <c r="L39" s="24"/>
      <c r="M39" s="24"/>
      <c r="N39" s="24"/>
      <c r="O39" s="24"/>
      <c r="P39" s="24"/>
      <c r="Q39" s="24"/>
      <c r="S39" s="77"/>
    </row>
    <row r="40" spans="1:23" s="25" customFormat="1" ht="15" customHeight="1" x14ac:dyDescent="0.25">
      <c r="A40" s="1">
        <v>27</v>
      </c>
      <c r="B40" s="45" t="s">
        <v>10</v>
      </c>
      <c r="C40" s="82" t="s">
        <v>60</v>
      </c>
      <c r="D40" s="81" t="s">
        <v>28</v>
      </c>
      <c r="E40" s="82" t="s">
        <v>60</v>
      </c>
      <c r="F40" s="81" t="s">
        <v>28</v>
      </c>
      <c r="G40" s="82" t="s">
        <v>60</v>
      </c>
      <c r="H40" s="81" t="s">
        <v>28</v>
      </c>
      <c r="I40" s="82" t="s">
        <v>60</v>
      </c>
      <c r="J40" s="81" t="s">
        <v>28</v>
      </c>
      <c r="K40" s="24">
        <v>27</v>
      </c>
      <c r="L40" s="24"/>
      <c r="M40" s="24"/>
      <c r="N40" s="24"/>
      <c r="O40" s="24"/>
      <c r="P40" s="24"/>
      <c r="Q40" s="24"/>
      <c r="S40" s="77"/>
    </row>
    <row r="41" spans="1:23" s="25" customFormat="1" ht="15" customHeight="1" x14ac:dyDescent="0.25">
      <c r="A41" s="1">
        <v>28</v>
      </c>
      <c r="B41" s="45" t="s">
        <v>10</v>
      </c>
      <c r="C41" s="82" t="s">
        <v>60</v>
      </c>
      <c r="D41" s="81" t="s">
        <v>29</v>
      </c>
      <c r="E41" s="82" t="s">
        <v>60</v>
      </c>
      <c r="F41" s="81" t="s">
        <v>29</v>
      </c>
      <c r="G41" s="82" t="s">
        <v>60</v>
      </c>
      <c r="H41" s="81" t="s">
        <v>29</v>
      </c>
      <c r="I41" s="82" t="s">
        <v>60</v>
      </c>
      <c r="J41" s="81" t="s">
        <v>29</v>
      </c>
      <c r="K41" s="24">
        <v>28</v>
      </c>
      <c r="L41" s="24"/>
      <c r="M41" s="24"/>
      <c r="N41" s="24"/>
      <c r="O41" s="24"/>
      <c r="P41" s="24"/>
      <c r="Q41" s="24"/>
      <c r="S41" s="77"/>
    </row>
    <row r="42" spans="1:23" s="25" customFormat="1" ht="15" customHeight="1" x14ac:dyDescent="0.25">
      <c r="A42" s="34">
        <v>29</v>
      </c>
      <c r="B42" s="45" t="s">
        <v>10</v>
      </c>
      <c r="C42" s="82" t="s">
        <v>60</v>
      </c>
      <c r="D42" s="81" t="s">
        <v>24</v>
      </c>
      <c r="E42" s="82" t="s">
        <v>60</v>
      </c>
      <c r="F42" s="81" t="s">
        <v>24</v>
      </c>
      <c r="G42" s="82" t="s">
        <v>60</v>
      </c>
      <c r="H42" s="81" t="s">
        <v>24</v>
      </c>
      <c r="I42" s="82" t="s">
        <v>60</v>
      </c>
      <c r="J42" s="81" t="s">
        <v>24</v>
      </c>
      <c r="K42" s="24">
        <v>29</v>
      </c>
      <c r="L42" s="24"/>
      <c r="M42" s="24"/>
      <c r="N42" s="24"/>
      <c r="O42" s="24"/>
      <c r="P42" s="24"/>
      <c r="Q42" s="24"/>
      <c r="S42" s="77"/>
      <c r="V42" s="44"/>
      <c r="W42" s="44"/>
    </row>
    <row r="43" spans="1:23" s="25" customFormat="1" ht="15" customHeight="1" x14ac:dyDescent="0.25">
      <c r="A43" s="1">
        <v>30</v>
      </c>
      <c r="B43" s="45" t="s">
        <v>10</v>
      </c>
      <c r="C43" s="82" t="s">
        <v>60</v>
      </c>
      <c r="D43" s="81" t="s">
        <v>27</v>
      </c>
      <c r="E43" s="82" t="s">
        <v>60</v>
      </c>
      <c r="F43" s="81" t="s">
        <v>27</v>
      </c>
      <c r="G43" s="82" t="s">
        <v>60</v>
      </c>
      <c r="H43" s="81" t="s">
        <v>27</v>
      </c>
      <c r="I43" s="82" t="s">
        <v>60</v>
      </c>
      <c r="J43" s="81" t="s">
        <v>27</v>
      </c>
      <c r="K43" s="24">
        <v>30</v>
      </c>
      <c r="L43" s="24"/>
      <c r="M43" s="24"/>
      <c r="N43" s="24"/>
      <c r="O43" s="24"/>
      <c r="P43" s="24"/>
      <c r="Q43" s="24"/>
      <c r="S43" s="77"/>
    </row>
    <row r="44" spans="1:23" s="25" customFormat="1" ht="15" customHeight="1" x14ac:dyDescent="0.25">
      <c r="A44" s="1">
        <v>31</v>
      </c>
      <c r="B44" s="45" t="s">
        <v>10</v>
      </c>
      <c r="C44" s="82" t="s">
        <v>60</v>
      </c>
      <c r="D44" s="81" t="s">
        <v>28</v>
      </c>
      <c r="E44" s="82" t="s">
        <v>60</v>
      </c>
      <c r="F44" s="81" t="s">
        <v>28</v>
      </c>
      <c r="G44" s="82" t="s">
        <v>60</v>
      </c>
      <c r="H44" s="81" t="s">
        <v>28</v>
      </c>
      <c r="I44" s="82" t="s">
        <v>60</v>
      </c>
      <c r="J44" s="81" t="s">
        <v>28</v>
      </c>
      <c r="K44" s="24">
        <v>31</v>
      </c>
      <c r="L44" s="24"/>
      <c r="M44" s="24"/>
      <c r="N44" s="24"/>
      <c r="O44" s="24"/>
      <c r="P44" s="24"/>
      <c r="Q44" s="24"/>
      <c r="S44" s="77"/>
    </row>
    <row r="45" spans="1:23" s="25" customFormat="1" ht="15" customHeight="1" x14ac:dyDescent="0.25">
      <c r="A45" s="34">
        <v>32</v>
      </c>
      <c r="B45" s="45" t="s">
        <v>10</v>
      </c>
      <c r="C45" s="82" t="s">
        <v>60</v>
      </c>
      <c r="D45" s="81" t="s">
        <v>29</v>
      </c>
      <c r="E45" s="82" t="s">
        <v>60</v>
      </c>
      <c r="F45" s="81" t="s">
        <v>29</v>
      </c>
      <c r="G45" s="82" t="s">
        <v>60</v>
      </c>
      <c r="H45" s="81" t="s">
        <v>29</v>
      </c>
      <c r="I45" s="82" t="s">
        <v>60</v>
      </c>
      <c r="J45" s="81" t="s">
        <v>29</v>
      </c>
      <c r="K45" s="24">
        <v>32</v>
      </c>
      <c r="L45" s="24"/>
      <c r="M45" s="24"/>
      <c r="N45" s="24"/>
      <c r="O45" s="24"/>
      <c r="P45" s="24"/>
      <c r="Q45" s="24"/>
      <c r="S45" s="77"/>
    </row>
    <row r="46" spans="1:23" s="25" customFormat="1" ht="15" customHeight="1" x14ac:dyDescent="0.25">
      <c r="A46" s="1">
        <v>33</v>
      </c>
      <c r="B46" s="45" t="s">
        <v>10</v>
      </c>
      <c r="C46" s="82" t="s">
        <v>60</v>
      </c>
      <c r="D46" s="81" t="s">
        <v>24</v>
      </c>
      <c r="E46" s="82" t="s">
        <v>60</v>
      </c>
      <c r="F46" s="81" t="s">
        <v>24</v>
      </c>
      <c r="G46" s="82" t="s">
        <v>60</v>
      </c>
      <c r="H46" s="81" t="s">
        <v>24</v>
      </c>
      <c r="I46" s="82" t="s">
        <v>60</v>
      </c>
      <c r="J46" s="81" t="s">
        <v>24</v>
      </c>
      <c r="K46" s="24">
        <v>33</v>
      </c>
      <c r="L46" s="24"/>
      <c r="M46" s="24"/>
      <c r="N46" s="24"/>
      <c r="O46" s="24"/>
      <c r="P46" s="24"/>
      <c r="Q46" s="24"/>
      <c r="S46" s="77"/>
    </row>
    <row r="47" spans="1:23" s="25" customFormat="1" ht="15" customHeight="1" x14ac:dyDescent="0.25">
      <c r="A47" s="1">
        <v>34</v>
      </c>
      <c r="B47" s="45" t="s">
        <v>10</v>
      </c>
      <c r="C47" s="82" t="s">
        <v>60</v>
      </c>
      <c r="D47" s="81" t="s">
        <v>24</v>
      </c>
      <c r="E47" s="82" t="s">
        <v>60</v>
      </c>
      <c r="F47" s="81" t="s">
        <v>24</v>
      </c>
      <c r="G47" s="82" t="s">
        <v>60</v>
      </c>
      <c r="H47" s="81" t="s">
        <v>24</v>
      </c>
      <c r="I47" s="82" t="s">
        <v>60</v>
      </c>
      <c r="J47" s="81" t="s">
        <v>24</v>
      </c>
      <c r="K47" s="24">
        <v>34</v>
      </c>
      <c r="L47" s="24"/>
      <c r="M47" s="24"/>
      <c r="N47" s="24"/>
      <c r="O47" s="24"/>
      <c r="P47" s="24"/>
      <c r="Q47" s="24"/>
      <c r="S47" s="77"/>
    </row>
    <row r="48" spans="1:23" s="25" customFormat="1" ht="15" customHeight="1" x14ac:dyDescent="0.25">
      <c r="A48" s="34">
        <v>35</v>
      </c>
      <c r="B48" s="45" t="s">
        <v>10</v>
      </c>
      <c r="C48" s="82" t="s">
        <v>60</v>
      </c>
      <c r="D48" s="81" t="s">
        <v>27</v>
      </c>
      <c r="E48" s="82" t="s">
        <v>60</v>
      </c>
      <c r="F48" s="81" t="s">
        <v>27</v>
      </c>
      <c r="G48" s="82" t="s">
        <v>60</v>
      </c>
      <c r="H48" s="81" t="s">
        <v>27</v>
      </c>
      <c r="I48" s="82" t="s">
        <v>60</v>
      </c>
      <c r="J48" s="81" t="s">
        <v>27</v>
      </c>
      <c r="K48" s="24">
        <v>35</v>
      </c>
      <c r="L48" s="24"/>
      <c r="M48" s="24"/>
      <c r="N48" s="24"/>
      <c r="O48" s="24"/>
      <c r="P48" s="24"/>
      <c r="Q48" s="24"/>
      <c r="S48" s="77"/>
    </row>
    <row r="49" spans="1:23" s="25" customFormat="1" ht="15" customHeight="1" x14ac:dyDescent="0.25">
      <c r="A49" s="1">
        <v>36</v>
      </c>
      <c r="B49" s="45" t="s">
        <v>10</v>
      </c>
      <c r="C49" s="82" t="s">
        <v>60</v>
      </c>
      <c r="D49" s="81" t="s">
        <v>28</v>
      </c>
      <c r="E49" s="82" t="s">
        <v>60</v>
      </c>
      <c r="F49" s="81" t="s">
        <v>28</v>
      </c>
      <c r="G49" s="82" t="s">
        <v>60</v>
      </c>
      <c r="H49" s="81" t="s">
        <v>28</v>
      </c>
      <c r="I49" s="82" t="s">
        <v>60</v>
      </c>
      <c r="J49" s="81" t="s">
        <v>28</v>
      </c>
      <c r="K49" s="24">
        <v>36</v>
      </c>
      <c r="L49" s="24"/>
      <c r="M49" s="24"/>
      <c r="N49" s="24"/>
      <c r="O49" s="24"/>
      <c r="P49" s="24"/>
      <c r="Q49" s="24"/>
      <c r="S49" s="77"/>
    </row>
    <row r="50" spans="1:23" s="25" customFormat="1" ht="15" customHeight="1" x14ac:dyDescent="0.25">
      <c r="A50" s="1">
        <v>37</v>
      </c>
      <c r="B50" s="45" t="s">
        <v>10</v>
      </c>
      <c r="C50" s="82" t="s">
        <v>60</v>
      </c>
      <c r="D50" s="81" t="s">
        <v>29</v>
      </c>
      <c r="E50" s="82" t="s">
        <v>60</v>
      </c>
      <c r="F50" s="81" t="s">
        <v>29</v>
      </c>
      <c r="G50" s="82" t="s">
        <v>60</v>
      </c>
      <c r="H50" s="81" t="s">
        <v>29</v>
      </c>
      <c r="I50" s="82" t="s">
        <v>60</v>
      </c>
      <c r="J50" s="81" t="s">
        <v>29</v>
      </c>
      <c r="K50" s="24">
        <v>37</v>
      </c>
      <c r="L50" s="24"/>
      <c r="M50" s="24"/>
      <c r="N50" s="24"/>
      <c r="O50" s="24"/>
      <c r="P50" s="24"/>
      <c r="Q50" s="24"/>
      <c r="S50" s="77"/>
    </row>
    <row r="51" spans="1:23" s="25" customFormat="1" ht="15" customHeight="1" x14ac:dyDescent="0.25">
      <c r="A51" s="1">
        <v>38</v>
      </c>
      <c r="B51" s="45" t="s">
        <v>10</v>
      </c>
      <c r="C51" s="82" t="s">
        <v>60</v>
      </c>
      <c r="D51" s="81" t="s">
        <v>24</v>
      </c>
      <c r="E51" s="82" t="s">
        <v>60</v>
      </c>
      <c r="F51" s="81" t="s">
        <v>24</v>
      </c>
      <c r="G51" s="82" t="s">
        <v>60</v>
      </c>
      <c r="H51" s="81" t="s">
        <v>24</v>
      </c>
      <c r="I51" s="82" t="s">
        <v>60</v>
      </c>
      <c r="J51" s="81" t="s">
        <v>24</v>
      </c>
      <c r="K51" s="24">
        <v>38</v>
      </c>
      <c r="L51" s="24"/>
      <c r="M51" s="24"/>
      <c r="N51" s="24"/>
      <c r="O51" s="24"/>
      <c r="P51" s="24"/>
      <c r="Q51" s="24"/>
      <c r="S51" s="77"/>
    </row>
    <row r="52" spans="1:23" s="25" customFormat="1" ht="15" customHeight="1" x14ac:dyDescent="0.25">
      <c r="A52" s="34">
        <v>39</v>
      </c>
      <c r="B52" s="45" t="s">
        <v>10</v>
      </c>
      <c r="C52" s="82" t="s">
        <v>60</v>
      </c>
      <c r="D52" s="81" t="s">
        <v>27</v>
      </c>
      <c r="E52" s="82" t="s">
        <v>60</v>
      </c>
      <c r="F52" s="81" t="s">
        <v>27</v>
      </c>
      <c r="G52" s="82" t="s">
        <v>60</v>
      </c>
      <c r="H52" s="81" t="s">
        <v>27</v>
      </c>
      <c r="I52" s="82" t="s">
        <v>60</v>
      </c>
      <c r="J52" s="81" t="s">
        <v>27</v>
      </c>
      <c r="K52" s="24">
        <v>39</v>
      </c>
      <c r="L52" s="24"/>
      <c r="M52" s="24"/>
      <c r="N52" s="24"/>
      <c r="O52" s="24"/>
      <c r="P52" s="24"/>
      <c r="Q52" s="24"/>
      <c r="S52" s="77"/>
      <c r="V52" s="44"/>
      <c r="W52" s="44"/>
    </row>
    <row r="53" spans="1:23" s="25" customFormat="1" ht="15" customHeight="1" x14ac:dyDescent="0.25">
      <c r="A53" s="1">
        <v>40</v>
      </c>
      <c r="B53" s="45" t="s">
        <v>10</v>
      </c>
      <c r="C53" s="82" t="s">
        <v>60</v>
      </c>
      <c r="D53" s="81" t="s">
        <v>28</v>
      </c>
      <c r="E53" s="82" t="s">
        <v>60</v>
      </c>
      <c r="F53" s="81" t="s">
        <v>28</v>
      </c>
      <c r="G53" s="82" t="s">
        <v>60</v>
      </c>
      <c r="H53" s="81" t="s">
        <v>28</v>
      </c>
      <c r="I53" s="82" t="s">
        <v>60</v>
      </c>
      <c r="J53" s="81" t="s">
        <v>28</v>
      </c>
      <c r="K53" s="24">
        <v>40</v>
      </c>
      <c r="L53" s="24"/>
      <c r="M53" s="24"/>
      <c r="N53" s="24"/>
      <c r="O53" s="24"/>
      <c r="P53" s="24"/>
      <c r="Q53" s="24"/>
      <c r="S53" s="77"/>
      <c r="T53" s="44"/>
    </row>
    <row r="54" spans="1:23" s="25" customFormat="1" ht="15" customHeight="1" thickBot="1" x14ac:dyDescent="0.3">
      <c r="A54" s="1">
        <v>41</v>
      </c>
      <c r="B54" s="45" t="s">
        <v>10</v>
      </c>
      <c r="C54" s="82" t="s">
        <v>60</v>
      </c>
      <c r="D54" s="81" t="s">
        <v>29</v>
      </c>
      <c r="E54" s="82" t="s">
        <v>60</v>
      </c>
      <c r="F54" s="81" t="s">
        <v>29</v>
      </c>
      <c r="G54" s="82" t="s">
        <v>60</v>
      </c>
      <c r="H54" s="81" t="s">
        <v>29</v>
      </c>
      <c r="I54" s="82" t="s">
        <v>60</v>
      </c>
      <c r="J54" s="81" t="s">
        <v>29</v>
      </c>
      <c r="K54" s="24">
        <v>41</v>
      </c>
      <c r="L54" s="24"/>
      <c r="M54" s="24"/>
      <c r="N54" s="24"/>
      <c r="O54" s="24"/>
      <c r="P54" s="24"/>
      <c r="Q54" s="24"/>
      <c r="S54" s="77"/>
      <c r="T54" s="44"/>
    </row>
    <row r="55" spans="1:23" s="25" customFormat="1" ht="15" customHeight="1" x14ac:dyDescent="0.25">
      <c r="A55" s="1">
        <v>1</v>
      </c>
      <c r="B55" s="45" t="s">
        <v>11</v>
      </c>
      <c r="C55" s="83" t="s">
        <v>61</v>
      </c>
      <c r="D55" s="84" t="s">
        <v>24</v>
      </c>
      <c r="E55" s="83" t="s">
        <v>61</v>
      </c>
      <c r="F55" s="84" t="s">
        <v>24</v>
      </c>
      <c r="G55" s="83" t="s">
        <v>61</v>
      </c>
      <c r="H55" s="84" t="s">
        <v>24</v>
      </c>
      <c r="I55" s="83" t="s">
        <v>61</v>
      </c>
      <c r="J55" s="84" t="s">
        <v>24</v>
      </c>
      <c r="K55" s="24">
        <v>42</v>
      </c>
      <c r="L55" s="158" t="s">
        <v>11</v>
      </c>
      <c r="M55" s="46" t="s">
        <v>38</v>
      </c>
      <c r="N55" s="47">
        <f>'Médailles Commandées'!E9</f>
        <v>16</v>
      </c>
      <c r="O55" s="24"/>
      <c r="P55" s="47">
        <f>COUNTIF($C$55:$J$74,"Médaille d'Or PSA")</f>
        <v>16</v>
      </c>
      <c r="Q55" s="24" t="str">
        <f t="shared" ref="Q55:Q58" si="1">IF(N55=P55,"OK","KO")</f>
        <v>OK</v>
      </c>
      <c r="S55" s="155">
        <f>SUM(P55:P58)</f>
        <v>80</v>
      </c>
      <c r="T55" s="155" t="str">
        <f>IF(S55='Médailles Commandées'!J9,"OK","KO")</f>
        <v>OK</v>
      </c>
      <c r="V55" s="44"/>
      <c r="W55" s="44"/>
    </row>
    <row r="56" spans="1:23" s="25" customFormat="1" ht="15" customHeight="1" x14ac:dyDescent="0.25">
      <c r="A56" s="1">
        <v>2</v>
      </c>
      <c r="B56" s="45" t="s">
        <v>11</v>
      </c>
      <c r="C56" s="83" t="s">
        <v>61</v>
      </c>
      <c r="D56" s="84" t="s">
        <v>27</v>
      </c>
      <c r="E56" s="83" t="s">
        <v>61</v>
      </c>
      <c r="F56" s="84" t="s">
        <v>27</v>
      </c>
      <c r="G56" s="83" t="s">
        <v>61</v>
      </c>
      <c r="H56" s="84" t="s">
        <v>27</v>
      </c>
      <c r="I56" s="83" t="s">
        <v>61</v>
      </c>
      <c r="J56" s="84" t="s">
        <v>27</v>
      </c>
      <c r="K56" s="24">
        <v>43</v>
      </c>
      <c r="L56" s="159"/>
      <c r="M56" s="49" t="s">
        <v>39</v>
      </c>
      <c r="N56" s="50">
        <f>'Médailles Commandées'!F9</f>
        <v>16</v>
      </c>
      <c r="O56" s="24"/>
      <c r="P56" s="50">
        <f>COUNTIF($C$55:$J$74,"Médaille d'Argent PSA")</f>
        <v>16</v>
      </c>
      <c r="Q56" s="24" t="str">
        <f t="shared" si="1"/>
        <v>OK</v>
      </c>
      <c r="S56" s="156"/>
      <c r="T56" s="156"/>
      <c r="U56" s="44"/>
    </row>
    <row r="57" spans="1:23" s="25" customFormat="1" ht="15" customHeight="1" x14ac:dyDescent="0.25">
      <c r="A57" s="1">
        <v>3</v>
      </c>
      <c r="B57" s="45" t="s">
        <v>11</v>
      </c>
      <c r="C57" s="83" t="s">
        <v>61</v>
      </c>
      <c r="D57" s="84" t="s">
        <v>28</v>
      </c>
      <c r="E57" s="83" t="s">
        <v>61</v>
      </c>
      <c r="F57" s="84" t="s">
        <v>28</v>
      </c>
      <c r="G57" s="83" t="s">
        <v>61</v>
      </c>
      <c r="H57" s="84" t="s">
        <v>28</v>
      </c>
      <c r="I57" s="83" t="s">
        <v>61</v>
      </c>
      <c r="J57" s="84" t="s">
        <v>28</v>
      </c>
      <c r="K57" s="24">
        <v>44</v>
      </c>
      <c r="L57" s="159"/>
      <c r="M57" s="49" t="s">
        <v>40</v>
      </c>
      <c r="N57" s="50">
        <f>'Médailles Commandées'!G9</f>
        <v>16</v>
      </c>
      <c r="O57" s="24"/>
      <c r="P57" s="50">
        <f>COUNTIF($C$55:$J$74,"Médaille de Bronze PSA")</f>
        <v>16</v>
      </c>
      <c r="Q57" s="24" t="str">
        <f t="shared" si="1"/>
        <v>OK</v>
      </c>
      <c r="S57" s="156"/>
      <c r="T57" s="156"/>
      <c r="U57" s="44"/>
    </row>
    <row r="58" spans="1:23" s="25" customFormat="1" ht="15" customHeight="1" thickBot="1" x14ac:dyDescent="0.3">
      <c r="A58" s="1">
        <v>4</v>
      </c>
      <c r="B58" s="45" t="s">
        <v>11</v>
      </c>
      <c r="C58" s="83" t="s">
        <v>61</v>
      </c>
      <c r="D58" s="84" t="s">
        <v>29</v>
      </c>
      <c r="E58" s="83" t="s">
        <v>61</v>
      </c>
      <c r="F58" s="84" t="s">
        <v>29</v>
      </c>
      <c r="G58" s="83" t="s">
        <v>61</v>
      </c>
      <c r="H58" s="84" t="s">
        <v>29</v>
      </c>
      <c r="I58" s="83" t="s">
        <v>61</v>
      </c>
      <c r="J58" s="84" t="s">
        <v>29</v>
      </c>
      <c r="K58" s="24">
        <v>45</v>
      </c>
      <c r="L58" s="160"/>
      <c r="M58" s="53" t="s">
        <v>84</v>
      </c>
      <c r="N58" s="54">
        <f>'Médailles Commandées'!H9</f>
        <v>32</v>
      </c>
      <c r="O58" s="24"/>
      <c r="P58" s="54">
        <f>COUNTIF($C$55:$J$74,"Ruban PSA")</f>
        <v>32</v>
      </c>
      <c r="Q58" s="24" t="str">
        <f t="shared" si="1"/>
        <v>OK</v>
      </c>
      <c r="S58" s="157"/>
      <c r="T58" s="157"/>
      <c r="U58" s="44"/>
    </row>
    <row r="59" spans="1:23" s="25" customFormat="1" ht="15" customHeight="1" x14ac:dyDescent="0.25">
      <c r="A59" s="1">
        <v>5</v>
      </c>
      <c r="B59" s="45" t="s">
        <v>11</v>
      </c>
      <c r="C59" s="83" t="s">
        <v>62</v>
      </c>
      <c r="D59" s="84" t="s">
        <v>24</v>
      </c>
      <c r="E59" s="83" t="s">
        <v>62</v>
      </c>
      <c r="F59" s="84" t="s">
        <v>24</v>
      </c>
      <c r="G59" s="83" t="s">
        <v>62</v>
      </c>
      <c r="H59" s="84" t="s">
        <v>24</v>
      </c>
      <c r="I59" s="83" t="s">
        <v>62</v>
      </c>
      <c r="J59" s="84" t="s">
        <v>24</v>
      </c>
      <c r="K59" s="24">
        <v>46</v>
      </c>
      <c r="L59" s="151" t="s">
        <v>96</v>
      </c>
      <c r="M59" s="151"/>
      <c r="N59" s="151"/>
      <c r="O59" s="151"/>
      <c r="P59" s="151"/>
      <c r="Q59" s="151"/>
      <c r="R59" s="151"/>
      <c r="S59" s="151"/>
      <c r="T59" s="151"/>
      <c r="U59" s="44"/>
    </row>
    <row r="60" spans="1:23" s="44" customFormat="1" ht="15" customHeight="1" x14ac:dyDescent="0.25">
      <c r="A60" s="1">
        <v>6</v>
      </c>
      <c r="B60" s="45" t="s">
        <v>11</v>
      </c>
      <c r="C60" s="83" t="s">
        <v>62</v>
      </c>
      <c r="D60" s="84" t="s">
        <v>27</v>
      </c>
      <c r="E60" s="83" t="s">
        <v>62</v>
      </c>
      <c r="F60" s="84" t="s">
        <v>27</v>
      </c>
      <c r="G60" s="83" t="s">
        <v>62</v>
      </c>
      <c r="H60" s="84" t="s">
        <v>27</v>
      </c>
      <c r="I60" s="83" t="s">
        <v>62</v>
      </c>
      <c r="J60" s="84" t="s">
        <v>27</v>
      </c>
      <c r="K60" s="24">
        <v>47</v>
      </c>
      <c r="L60" s="24"/>
      <c r="M60" s="24"/>
      <c r="N60" s="24"/>
      <c r="O60" s="24"/>
      <c r="P60" s="24"/>
      <c r="Q60" s="24"/>
      <c r="R60" s="30"/>
      <c r="S60" s="78"/>
      <c r="T60" s="30"/>
      <c r="V60" s="25"/>
      <c r="W60" s="25"/>
    </row>
    <row r="61" spans="1:23" s="25" customFormat="1" ht="15" customHeight="1" x14ac:dyDescent="0.25">
      <c r="A61" s="1">
        <v>7</v>
      </c>
      <c r="B61" s="45" t="s">
        <v>11</v>
      </c>
      <c r="C61" s="83" t="s">
        <v>62</v>
      </c>
      <c r="D61" s="84" t="s">
        <v>28</v>
      </c>
      <c r="E61" s="83" t="s">
        <v>62</v>
      </c>
      <c r="F61" s="84" t="s">
        <v>28</v>
      </c>
      <c r="G61" s="83" t="s">
        <v>62</v>
      </c>
      <c r="H61" s="84" t="s">
        <v>28</v>
      </c>
      <c r="I61" s="83" t="s">
        <v>62</v>
      </c>
      <c r="J61" s="84" t="s">
        <v>28</v>
      </c>
      <c r="K61" s="24">
        <v>48</v>
      </c>
      <c r="L61" s="24"/>
      <c r="M61" s="24"/>
      <c r="N61" s="24"/>
      <c r="O61" s="24"/>
      <c r="P61" s="24"/>
      <c r="Q61" s="24"/>
      <c r="R61" s="30"/>
      <c r="S61" s="57"/>
      <c r="T61" s="57"/>
      <c r="U61" s="44"/>
    </row>
    <row r="62" spans="1:23" s="25" customFormat="1" ht="15" customHeight="1" x14ac:dyDescent="0.25">
      <c r="A62" s="1">
        <v>8</v>
      </c>
      <c r="B62" s="45" t="s">
        <v>11</v>
      </c>
      <c r="C62" s="83" t="s">
        <v>62</v>
      </c>
      <c r="D62" s="84" t="s">
        <v>29</v>
      </c>
      <c r="E62" s="83" t="s">
        <v>62</v>
      </c>
      <c r="F62" s="84" t="s">
        <v>29</v>
      </c>
      <c r="G62" s="83" t="s">
        <v>62</v>
      </c>
      <c r="H62" s="84" t="s">
        <v>29</v>
      </c>
      <c r="I62" s="83" t="s">
        <v>62</v>
      </c>
      <c r="J62" s="84" t="s">
        <v>29</v>
      </c>
      <c r="K62" s="24">
        <v>49</v>
      </c>
      <c r="L62" s="24"/>
      <c r="M62" s="24"/>
      <c r="N62" s="24"/>
      <c r="O62" s="24"/>
      <c r="P62" s="24"/>
      <c r="Q62" s="24"/>
      <c r="R62" s="30"/>
      <c r="S62" s="57"/>
      <c r="T62" s="57"/>
      <c r="U62" s="44"/>
    </row>
    <row r="63" spans="1:23" s="25" customFormat="1" ht="15" customHeight="1" x14ac:dyDescent="0.25">
      <c r="A63" s="1">
        <v>9</v>
      </c>
      <c r="B63" s="45" t="s">
        <v>11</v>
      </c>
      <c r="C63" s="83" t="s">
        <v>63</v>
      </c>
      <c r="D63" s="84" t="s">
        <v>24</v>
      </c>
      <c r="E63" s="83" t="s">
        <v>63</v>
      </c>
      <c r="F63" s="84" t="s">
        <v>24</v>
      </c>
      <c r="G63" s="83" t="s">
        <v>63</v>
      </c>
      <c r="H63" s="84" t="s">
        <v>24</v>
      </c>
      <c r="I63" s="83" t="s">
        <v>63</v>
      </c>
      <c r="J63" s="84" t="s">
        <v>24</v>
      </c>
      <c r="K63" s="24">
        <v>50</v>
      </c>
      <c r="L63" s="24"/>
      <c r="M63" s="24"/>
      <c r="N63" s="24"/>
      <c r="O63" s="24"/>
      <c r="P63" s="24"/>
      <c r="Q63" s="24"/>
      <c r="R63" s="30"/>
      <c r="S63" s="57"/>
      <c r="T63" s="57"/>
      <c r="U63" s="44"/>
    </row>
    <row r="64" spans="1:23" s="25" customFormat="1" ht="15" customHeight="1" x14ac:dyDescent="0.25">
      <c r="A64" s="1">
        <v>10</v>
      </c>
      <c r="B64" s="45" t="s">
        <v>11</v>
      </c>
      <c r="C64" s="83" t="s">
        <v>63</v>
      </c>
      <c r="D64" s="84" t="s">
        <v>27</v>
      </c>
      <c r="E64" s="83" t="s">
        <v>63</v>
      </c>
      <c r="F64" s="84" t="s">
        <v>27</v>
      </c>
      <c r="G64" s="83" t="s">
        <v>63</v>
      </c>
      <c r="H64" s="84" t="s">
        <v>27</v>
      </c>
      <c r="I64" s="83" t="s">
        <v>63</v>
      </c>
      <c r="J64" s="84" t="s">
        <v>27</v>
      </c>
      <c r="K64" s="24">
        <v>51</v>
      </c>
      <c r="L64" s="24"/>
      <c r="M64" s="24"/>
      <c r="N64" s="24"/>
      <c r="O64" s="24"/>
      <c r="P64" s="24"/>
      <c r="Q64" s="24"/>
      <c r="R64" s="30"/>
      <c r="S64" s="57"/>
      <c r="T64" s="57"/>
      <c r="U64" s="44"/>
    </row>
    <row r="65" spans="1:23" s="25" customFormat="1" ht="15" customHeight="1" x14ac:dyDescent="0.25">
      <c r="A65" s="1">
        <v>11</v>
      </c>
      <c r="B65" s="45" t="s">
        <v>11</v>
      </c>
      <c r="C65" s="83" t="s">
        <v>63</v>
      </c>
      <c r="D65" s="84" t="s">
        <v>28</v>
      </c>
      <c r="E65" s="83" t="s">
        <v>63</v>
      </c>
      <c r="F65" s="84" t="s">
        <v>28</v>
      </c>
      <c r="G65" s="83" t="s">
        <v>63</v>
      </c>
      <c r="H65" s="84" t="s">
        <v>28</v>
      </c>
      <c r="I65" s="83" t="s">
        <v>63</v>
      </c>
      <c r="J65" s="84" t="s">
        <v>28</v>
      </c>
      <c r="K65" s="24">
        <v>52</v>
      </c>
      <c r="L65" s="24"/>
      <c r="M65" s="24"/>
      <c r="N65" s="24"/>
      <c r="O65" s="30"/>
      <c r="P65" s="24"/>
      <c r="Q65" s="24"/>
      <c r="R65" s="30"/>
      <c r="S65" s="78"/>
      <c r="T65" s="30"/>
      <c r="U65" s="44"/>
    </row>
    <row r="66" spans="1:23" s="25" customFormat="1" ht="15" customHeight="1" x14ac:dyDescent="0.25">
      <c r="A66" s="1">
        <v>12</v>
      </c>
      <c r="B66" s="45" t="s">
        <v>11</v>
      </c>
      <c r="C66" s="83" t="s">
        <v>63</v>
      </c>
      <c r="D66" s="84" t="s">
        <v>29</v>
      </c>
      <c r="E66" s="83" t="s">
        <v>63</v>
      </c>
      <c r="F66" s="84" t="s">
        <v>29</v>
      </c>
      <c r="G66" s="83" t="s">
        <v>63</v>
      </c>
      <c r="H66" s="84" t="s">
        <v>29</v>
      </c>
      <c r="I66" s="83" t="s">
        <v>63</v>
      </c>
      <c r="J66" s="84" t="s">
        <v>29</v>
      </c>
      <c r="K66" s="24">
        <v>53</v>
      </c>
      <c r="L66" s="24"/>
      <c r="M66" s="24"/>
      <c r="N66" s="24"/>
      <c r="O66" s="24"/>
      <c r="P66" s="24"/>
      <c r="Q66" s="24"/>
      <c r="R66" s="30"/>
      <c r="S66" s="78"/>
      <c r="T66" s="30"/>
      <c r="U66" s="44"/>
    </row>
    <row r="67" spans="1:23" s="25" customFormat="1" ht="15" customHeight="1" x14ac:dyDescent="0.25">
      <c r="A67" s="1">
        <v>13</v>
      </c>
      <c r="B67" s="45" t="s">
        <v>11</v>
      </c>
      <c r="C67" s="83" t="s">
        <v>64</v>
      </c>
      <c r="D67" s="84" t="s">
        <v>24</v>
      </c>
      <c r="E67" s="83" t="s">
        <v>64</v>
      </c>
      <c r="F67" s="84" t="s">
        <v>24</v>
      </c>
      <c r="G67" s="83" t="s">
        <v>64</v>
      </c>
      <c r="H67" s="84" t="s">
        <v>24</v>
      </c>
      <c r="I67" s="83" t="s">
        <v>64</v>
      </c>
      <c r="J67" s="84" t="s">
        <v>24</v>
      </c>
      <c r="K67" s="24">
        <v>54</v>
      </c>
      <c r="L67" s="24"/>
      <c r="M67" s="24"/>
      <c r="N67" s="24"/>
      <c r="O67" s="24"/>
      <c r="P67" s="24"/>
      <c r="Q67" s="24"/>
      <c r="R67" s="30"/>
      <c r="S67" s="57"/>
      <c r="T67" s="57"/>
      <c r="U67" s="44"/>
    </row>
    <row r="68" spans="1:23" s="25" customFormat="1" ht="15" customHeight="1" x14ac:dyDescent="0.25">
      <c r="A68" s="1">
        <v>14</v>
      </c>
      <c r="B68" s="45" t="s">
        <v>11</v>
      </c>
      <c r="C68" s="83" t="s">
        <v>64</v>
      </c>
      <c r="D68" s="84" t="s">
        <v>27</v>
      </c>
      <c r="E68" s="83" t="s">
        <v>64</v>
      </c>
      <c r="F68" s="84" t="s">
        <v>27</v>
      </c>
      <c r="G68" s="83" t="s">
        <v>64</v>
      </c>
      <c r="H68" s="84" t="s">
        <v>27</v>
      </c>
      <c r="I68" s="83" t="s">
        <v>64</v>
      </c>
      <c r="J68" s="84" t="s">
        <v>27</v>
      </c>
      <c r="K68" s="24">
        <v>55</v>
      </c>
      <c r="L68" s="24"/>
      <c r="M68" s="24"/>
      <c r="N68" s="24"/>
      <c r="O68" s="24"/>
      <c r="P68" s="24"/>
      <c r="Q68" s="24"/>
      <c r="R68" s="30"/>
      <c r="S68" s="57"/>
      <c r="T68" s="57"/>
      <c r="U68" s="44"/>
    </row>
    <row r="69" spans="1:23" s="25" customFormat="1" ht="15" customHeight="1" x14ac:dyDescent="0.25">
      <c r="A69" s="1">
        <v>15</v>
      </c>
      <c r="B69" s="45" t="s">
        <v>11</v>
      </c>
      <c r="C69" s="83" t="s">
        <v>64</v>
      </c>
      <c r="D69" s="84" t="s">
        <v>28</v>
      </c>
      <c r="E69" s="83" t="s">
        <v>64</v>
      </c>
      <c r="F69" s="84" t="s">
        <v>28</v>
      </c>
      <c r="G69" s="83" t="s">
        <v>64</v>
      </c>
      <c r="H69" s="84" t="s">
        <v>28</v>
      </c>
      <c r="I69" s="83" t="s">
        <v>64</v>
      </c>
      <c r="J69" s="84" t="s">
        <v>28</v>
      </c>
      <c r="K69" s="24">
        <v>56</v>
      </c>
      <c r="L69" s="24"/>
      <c r="M69" s="24"/>
      <c r="N69" s="24"/>
      <c r="O69" s="24"/>
      <c r="P69" s="24"/>
      <c r="Q69" s="24"/>
      <c r="R69" s="30"/>
      <c r="S69" s="57"/>
      <c r="T69" s="57"/>
      <c r="U69" s="44"/>
    </row>
    <row r="70" spans="1:23" s="44" customFormat="1" ht="15" customHeight="1" x14ac:dyDescent="0.25">
      <c r="A70" s="1">
        <v>16</v>
      </c>
      <c r="B70" s="45" t="s">
        <v>11</v>
      </c>
      <c r="C70" s="83" t="s">
        <v>64</v>
      </c>
      <c r="D70" s="84" t="s">
        <v>29</v>
      </c>
      <c r="E70" s="83" t="s">
        <v>64</v>
      </c>
      <c r="F70" s="84" t="s">
        <v>29</v>
      </c>
      <c r="G70" s="83" t="s">
        <v>64</v>
      </c>
      <c r="H70" s="84" t="s">
        <v>29</v>
      </c>
      <c r="I70" s="83" t="s">
        <v>64</v>
      </c>
      <c r="J70" s="84" t="s">
        <v>29</v>
      </c>
      <c r="K70" s="24">
        <v>57</v>
      </c>
      <c r="L70" s="24"/>
      <c r="M70" s="24"/>
      <c r="N70" s="24"/>
      <c r="O70" s="24"/>
      <c r="P70" s="24"/>
      <c r="Q70" s="24"/>
      <c r="R70" s="30"/>
      <c r="S70" s="57"/>
      <c r="T70" s="57"/>
      <c r="V70" s="25"/>
      <c r="W70" s="25"/>
    </row>
    <row r="71" spans="1:23" s="25" customFormat="1" ht="15" customHeight="1" x14ac:dyDescent="0.25">
      <c r="A71" s="1">
        <v>17</v>
      </c>
      <c r="B71" s="45" t="s">
        <v>11</v>
      </c>
      <c r="C71" s="83" t="s">
        <v>64</v>
      </c>
      <c r="D71" s="84" t="s">
        <v>24</v>
      </c>
      <c r="E71" s="83" t="s">
        <v>64</v>
      </c>
      <c r="F71" s="84" t="s">
        <v>24</v>
      </c>
      <c r="G71" s="83" t="s">
        <v>64</v>
      </c>
      <c r="H71" s="84" t="s">
        <v>24</v>
      </c>
      <c r="I71" s="83" t="s">
        <v>64</v>
      </c>
      <c r="J71" s="84" t="s">
        <v>24</v>
      </c>
      <c r="K71" s="24">
        <v>58</v>
      </c>
      <c r="L71" s="24"/>
      <c r="M71" s="24"/>
      <c r="N71" s="24"/>
      <c r="O71" s="24"/>
      <c r="P71" s="24"/>
      <c r="Q71" s="24"/>
      <c r="R71" s="30"/>
      <c r="S71" s="57"/>
      <c r="T71" s="57"/>
      <c r="U71" s="44"/>
    </row>
    <row r="72" spans="1:23" s="25" customFormat="1" ht="15" customHeight="1" x14ac:dyDescent="0.25">
      <c r="A72" s="1">
        <v>18</v>
      </c>
      <c r="B72" s="45" t="s">
        <v>11</v>
      </c>
      <c r="C72" s="83" t="s">
        <v>64</v>
      </c>
      <c r="D72" s="84" t="s">
        <v>27</v>
      </c>
      <c r="E72" s="83" t="s">
        <v>64</v>
      </c>
      <c r="F72" s="84" t="s">
        <v>27</v>
      </c>
      <c r="G72" s="83" t="s">
        <v>64</v>
      </c>
      <c r="H72" s="84" t="s">
        <v>27</v>
      </c>
      <c r="I72" s="83" t="s">
        <v>64</v>
      </c>
      <c r="J72" s="84" t="s">
        <v>27</v>
      </c>
      <c r="K72" s="24">
        <v>59</v>
      </c>
      <c r="L72" s="24"/>
      <c r="M72" s="24"/>
      <c r="N72" s="24"/>
      <c r="O72" s="24"/>
      <c r="P72" s="24"/>
      <c r="Q72" s="24"/>
      <c r="R72" s="30"/>
      <c r="S72" s="57"/>
      <c r="T72" s="57"/>
      <c r="U72" s="44"/>
    </row>
    <row r="73" spans="1:23" s="25" customFormat="1" ht="15" customHeight="1" x14ac:dyDescent="0.25">
      <c r="A73" s="1">
        <v>19</v>
      </c>
      <c r="B73" s="45" t="s">
        <v>11</v>
      </c>
      <c r="C73" s="83" t="s">
        <v>64</v>
      </c>
      <c r="D73" s="84" t="s">
        <v>28</v>
      </c>
      <c r="E73" s="83" t="s">
        <v>64</v>
      </c>
      <c r="F73" s="84" t="s">
        <v>28</v>
      </c>
      <c r="G73" s="83" t="s">
        <v>64</v>
      </c>
      <c r="H73" s="84" t="s">
        <v>28</v>
      </c>
      <c r="I73" s="83" t="s">
        <v>64</v>
      </c>
      <c r="J73" s="84" t="s">
        <v>28</v>
      </c>
      <c r="K73" s="24">
        <v>60</v>
      </c>
      <c r="L73" s="24"/>
      <c r="M73" s="24"/>
      <c r="N73" s="24"/>
      <c r="O73" s="24"/>
      <c r="P73" s="24"/>
      <c r="Q73" s="24"/>
      <c r="R73" s="30"/>
      <c r="S73" s="57"/>
      <c r="T73" s="57"/>
      <c r="U73" s="44"/>
    </row>
    <row r="74" spans="1:23" s="25" customFormat="1" ht="15" customHeight="1" thickBot="1" x14ac:dyDescent="0.3">
      <c r="A74" s="1">
        <v>20</v>
      </c>
      <c r="B74" s="45" t="s">
        <v>11</v>
      </c>
      <c r="C74" s="83" t="s">
        <v>64</v>
      </c>
      <c r="D74" s="84" t="s">
        <v>29</v>
      </c>
      <c r="E74" s="83" t="s">
        <v>64</v>
      </c>
      <c r="F74" s="84" t="s">
        <v>29</v>
      </c>
      <c r="G74" s="83" t="s">
        <v>64</v>
      </c>
      <c r="H74" s="84" t="s">
        <v>29</v>
      </c>
      <c r="I74" s="83" t="s">
        <v>64</v>
      </c>
      <c r="J74" s="84" t="s">
        <v>29</v>
      </c>
      <c r="K74" s="24">
        <v>61</v>
      </c>
      <c r="L74" s="24"/>
      <c r="M74" s="24"/>
      <c r="N74" s="24"/>
      <c r="O74" s="24"/>
      <c r="P74" s="24"/>
      <c r="Q74" s="24"/>
      <c r="R74" s="30"/>
      <c r="S74" s="57"/>
      <c r="T74" s="57"/>
      <c r="U74" s="44"/>
    </row>
    <row r="75" spans="1:23" s="25" customFormat="1" ht="15" customHeight="1" x14ac:dyDescent="0.25">
      <c r="A75" s="1">
        <v>1</v>
      </c>
      <c r="B75" s="45" t="s">
        <v>23</v>
      </c>
      <c r="C75" s="82" t="s">
        <v>65</v>
      </c>
      <c r="D75" s="81" t="s">
        <v>24</v>
      </c>
      <c r="E75" s="82" t="s">
        <v>65</v>
      </c>
      <c r="F75" s="81" t="s">
        <v>27</v>
      </c>
      <c r="G75" s="82" t="s">
        <v>65</v>
      </c>
      <c r="H75" s="81" t="s">
        <v>28</v>
      </c>
      <c r="I75" s="82" t="s">
        <v>65</v>
      </c>
      <c r="J75" s="81" t="s">
        <v>29</v>
      </c>
      <c r="K75" s="24">
        <v>62</v>
      </c>
      <c r="L75" s="158" t="s">
        <v>23</v>
      </c>
      <c r="M75" s="46" t="s">
        <v>42</v>
      </c>
      <c r="N75" s="47">
        <f>'Médailles Commandées'!E10</f>
        <v>4</v>
      </c>
      <c r="O75" s="24"/>
      <c r="P75" s="47">
        <f>COUNTIF($C$75:$J$83,"Médaille d'Or GPU")</f>
        <v>4</v>
      </c>
      <c r="Q75" s="24" t="str">
        <f t="shared" ref="Q75:Q78" si="2">IF(N75=P75,"OK","KO")</f>
        <v>OK</v>
      </c>
      <c r="S75" s="155">
        <f>SUM(P75:P78)</f>
        <v>36</v>
      </c>
      <c r="T75" s="155" t="str">
        <f>IF(S75='Médailles Commandées'!J10,"OK","KO")</f>
        <v>OK</v>
      </c>
      <c r="U75" s="44"/>
    </row>
    <row r="76" spans="1:23" s="25" customFormat="1" ht="15" customHeight="1" x14ac:dyDescent="0.25">
      <c r="A76" s="1">
        <v>2</v>
      </c>
      <c r="B76" s="45" t="s">
        <v>23</v>
      </c>
      <c r="C76" s="82" t="s">
        <v>66</v>
      </c>
      <c r="D76" s="81" t="s">
        <v>27</v>
      </c>
      <c r="E76" s="82" t="s">
        <v>66</v>
      </c>
      <c r="F76" s="81" t="s">
        <v>28</v>
      </c>
      <c r="G76" s="82" t="s">
        <v>66</v>
      </c>
      <c r="H76" s="81" t="s">
        <v>29</v>
      </c>
      <c r="I76" s="82" t="s">
        <v>66</v>
      </c>
      <c r="J76" s="81" t="s">
        <v>24</v>
      </c>
      <c r="K76" s="24">
        <v>63</v>
      </c>
      <c r="L76" s="159"/>
      <c r="M76" s="49" t="s">
        <v>43</v>
      </c>
      <c r="N76" s="50">
        <f>'Médailles Commandées'!F10</f>
        <v>4</v>
      </c>
      <c r="O76" s="24"/>
      <c r="P76" s="50">
        <f>COUNTIF($C$75:$J$83,"Médaille d'Argent GPU")</f>
        <v>4</v>
      </c>
      <c r="Q76" s="24" t="str">
        <f t="shared" si="2"/>
        <v>OK</v>
      </c>
      <c r="S76" s="156"/>
      <c r="T76" s="156"/>
      <c r="U76" s="44"/>
    </row>
    <row r="77" spans="1:23" s="25" customFormat="1" ht="15" customHeight="1" x14ac:dyDescent="0.25">
      <c r="A77" s="1">
        <v>3</v>
      </c>
      <c r="B77" s="45" t="s">
        <v>23</v>
      </c>
      <c r="C77" s="82" t="s">
        <v>67</v>
      </c>
      <c r="D77" s="81" t="s">
        <v>28</v>
      </c>
      <c r="E77" s="82" t="s">
        <v>67</v>
      </c>
      <c r="F77" s="81" t="s">
        <v>29</v>
      </c>
      <c r="G77" s="82" t="s">
        <v>67</v>
      </c>
      <c r="H77" s="81" t="s">
        <v>24</v>
      </c>
      <c r="I77" s="82" t="s">
        <v>67</v>
      </c>
      <c r="J77" s="81" t="s">
        <v>27</v>
      </c>
      <c r="K77" s="24">
        <v>64</v>
      </c>
      <c r="L77" s="159"/>
      <c r="M77" s="49" t="s">
        <v>44</v>
      </c>
      <c r="N77" s="50">
        <f>'Médailles Commandées'!G10</f>
        <v>4</v>
      </c>
      <c r="O77" s="24"/>
      <c r="P77" s="50">
        <f>COUNTIF($C$75:$J$83,"Médaille de Bronze GPU")</f>
        <v>4</v>
      </c>
      <c r="Q77" s="24" t="str">
        <f t="shared" si="2"/>
        <v>OK</v>
      </c>
      <c r="S77" s="156"/>
      <c r="T77" s="156"/>
      <c r="U77" s="44"/>
    </row>
    <row r="78" spans="1:23" s="25" customFormat="1" ht="15" customHeight="1" thickBot="1" x14ac:dyDescent="0.3">
      <c r="A78" s="1">
        <v>4</v>
      </c>
      <c r="B78" s="45" t="s">
        <v>23</v>
      </c>
      <c r="C78" s="82" t="s">
        <v>68</v>
      </c>
      <c r="D78" s="81" t="s">
        <v>24</v>
      </c>
      <c r="E78" s="82" t="s">
        <v>68</v>
      </c>
      <c r="F78" s="81" t="s">
        <v>24</v>
      </c>
      <c r="G78" s="82" t="s">
        <v>68</v>
      </c>
      <c r="H78" s="81" t="s">
        <v>24</v>
      </c>
      <c r="I78" s="82" t="s">
        <v>68</v>
      </c>
      <c r="J78" s="81" t="s">
        <v>24</v>
      </c>
      <c r="K78" s="24">
        <v>65</v>
      </c>
      <c r="L78" s="160"/>
      <c r="M78" s="53" t="s">
        <v>85</v>
      </c>
      <c r="N78" s="54">
        <f>'Médailles Commandées'!H10</f>
        <v>24</v>
      </c>
      <c r="O78" s="24"/>
      <c r="P78" s="54">
        <f>COUNTIF($C$75:$J$83,"Ruban GPU")</f>
        <v>24</v>
      </c>
      <c r="Q78" s="24" t="str">
        <f t="shared" si="2"/>
        <v>OK</v>
      </c>
      <c r="S78" s="157"/>
      <c r="T78" s="157"/>
      <c r="U78" s="44"/>
    </row>
    <row r="79" spans="1:23" s="25" customFormat="1" ht="15" customHeight="1" x14ac:dyDescent="0.25">
      <c r="A79" s="1">
        <v>5</v>
      </c>
      <c r="B79" s="45" t="s">
        <v>23</v>
      </c>
      <c r="C79" s="82" t="s">
        <v>68</v>
      </c>
      <c r="D79" s="81" t="s">
        <v>27</v>
      </c>
      <c r="E79" s="82" t="s">
        <v>68</v>
      </c>
      <c r="F79" s="81" t="s">
        <v>27</v>
      </c>
      <c r="G79" s="82" t="s">
        <v>68</v>
      </c>
      <c r="H79" s="81" t="s">
        <v>27</v>
      </c>
      <c r="I79" s="82" t="s">
        <v>68</v>
      </c>
      <c r="J79" s="81" t="s">
        <v>27</v>
      </c>
      <c r="K79" s="24">
        <v>66</v>
      </c>
      <c r="L79" s="151" t="s">
        <v>95</v>
      </c>
      <c r="M79" s="151"/>
      <c r="N79" s="151"/>
      <c r="O79" s="151"/>
      <c r="P79" s="151"/>
      <c r="Q79" s="151"/>
      <c r="R79" s="151"/>
      <c r="S79" s="151"/>
      <c r="T79" s="151"/>
      <c r="V79" s="44"/>
      <c r="W79" s="44"/>
    </row>
    <row r="80" spans="1:23" s="25" customFormat="1" ht="15" customHeight="1" x14ac:dyDescent="0.25">
      <c r="A80" s="1">
        <v>6</v>
      </c>
      <c r="B80" s="45" t="s">
        <v>23</v>
      </c>
      <c r="C80" s="82" t="s">
        <v>68</v>
      </c>
      <c r="D80" s="81" t="s">
        <v>28</v>
      </c>
      <c r="E80" s="82" t="s">
        <v>68</v>
      </c>
      <c r="F80" s="81" t="s">
        <v>28</v>
      </c>
      <c r="G80" s="82" t="s">
        <v>68</v>
      </c>
      <c r="H80" s="81" t="s">
        <v>28</v>
      </c>
      <c r="I80" s="82" t="s">
        <v>68</v>
      </c>
      <c r="J80" s="81" t="s">
        <v>28</v>
      </c>
      <c r="K80" s="24">
        <v>67</v>
      </c>
      <c r="L80" s="24"/>
      <c r="M80" s="24"/>
      <c r="N80" s="24"/>
      <c r="O80" s="24"/>
      <c r="P80" s="24"/>
      <c r="Q80" s="24"/>
      <c r="R80" s="30"/>
      <c r="S80" s="57"/>
      <c r="T80" s="57"/>
      <c r="V80" s="44"/>
      <c r="W80" s="44"/>
    </row>
    <row r="81" spans="1:23" s="25" customFormat="1" ht="15" customHeight="1" x14ac:dyDescent="0.25">
      <c r="A81" s="1">
        <v>7</v>
      </c>
      <c r="B81" s="45" t="s">
        <v>23</v>
      </c>
      <c r="C81" s="82" t="s">
        <v>68</v>
      </c>
      <c r="D81" s="81" t="s">
        <v>29</v>
      </c>
      <c r="E81" s="82" t="s">
        <v>68</v>
      </c>
      <c r="F81" s="81" t="s">
        <v>29</v>
      </c>
      <c r="G81" s="82" t="s">
        <v>68</v>
      </c>
      <c r="H81" s="81" t="s">
        <v>29</v>
      </c>
      <c r="I81" s="82" t="s">
        <v>68</v>
      </c>
      <c r="J81" s="81" t="s">
        <v>29</v>
      </c>
      <c r="K81" s="24">
        <v>68</v>
      </c>
      <c r="L81" s="132"/>
      <c r="M81" s="132"/>
      <c r="N81" s="132"/>
      <c r="O81" s="132"/>
      <c r="P81" s="132"/>
      <c r="Q81" s="132"/>
      <c r="R81" s="132"/>
      <c r="S81" s="132"/>
      <c r="T81" s="132"/>
      <c r="V81" s="44"/>
      <c r="W81" s="44"/>
    </row>
    <row r="82" spans="1:23" s="25" customFormat="1" ht="15" customHeight="1" x14ac:dyDescent="0.25">
      <c r="A82" s="1">
        <v>8</v>
      </c>
      <c r="B82" s="45" t="s">
        <v>23</v>
      </c>
      <c r="C82" s="82" t="s">
        <v>68</v>
      </c>
      <c r="D82" s="81" t="s">
        <v>24</v>
      </c>
      <c r="E82" s="82" t="s">
        <v>68</v>
      </c>
      <c r="F82" s="81" t="s">
        <v>24</v>
      </c>
      <c r="G82" s="82" t="s">
        <v>68</v>
      </c>
      <c r="H82" s="81" t="s">
        <v>24</v>
      </c>
      <c r="I82" s="82" t="s">
        <v>68</v>
      </c>
      <c r="J82" s="81" t="s">
        <v>24</v>
      </c>
      <c r="K82" s="24">
        <v>69</v>
      </c>
      <c r="L82" s="132"/>
      <c r="M82" s="132"/>
      <c r="N82" s="132"/>
      <c r="O82" s="132"/>
      <c r="P82" s="132"/>
      <c r="Q82" s="132"/>
      <c r="R82" s="132"/>
      <c r="S82" s="132"/>
      <c r="T82" s="132"/>
      <c r="V82" s="44"/>
      <c r="W82" s="44"/>
    </row>
    <row r="83" spans="1:23" s="25" customFormat="1" ht="15" customHeight="1" thickBot="1" x14ac:dyDescent="0.3">
      <c r="A83" s="1">
        <v>9</v>
      </c>
      <c r="B83" s="45" t="s">
        <v>23</v>
      </c>
      <c r="C83" s="82" t="s">
        <v>68</v>
      </c>
      <c r="D83" s="81" t="s">
        <v>27</v>
      </c>
      <c r="E83" s="82" t="s">
        <v>68</v>
      </c>
      <c r="F83" s="81" t="s">
        <v>27</v>
      </c>
      <c r="G83" s="82" t="s">
        <v>68</v>
      </c>
      <c r="H83" s="81" t="s">
        <v>27</v>
      </c>
      <c r="I83" s="82" t="s">
        <v>68</v>
      </c>
      <c r="J83" s="81" t="s">
        <v>27</v>
      </c>
      <c r="K83" s="24">
        <v>70</v>
      </c>
      <c r="L83" s="132"/>
      <c r="M83" s="132"/>
      <c r="N83" s="132"/>
      <c r="O83" s="132"/>
      <c r="P83" s="132"/>
      <c r="Q83" s="132"/>
      <c r="R83" s="132"/>
      <c r="S83" s="132"/>
      <c r="T83" s="132"/>
      <c r="V83" s="44"/>
      <c r="W83" s="44"/>
    </row>
    <row r="84" spans="1:23" s="25" customFormat="1" ht="15" customHeight="1" x14ac:dyDescent="0.25">
      <c r="A84" s="1">
        <v>1</v>
      </c>
      <c r="B84" s="45" t="s">
        <v>8</v>
      </c>
      <c r="C84" s="83" t="s">
        <v>69</v>
      </c>
      <c r="D84" s="84" t="s">
        <v>53</v>
      </c>
      <c r="E84" s="83" t="s">
        <v>69</v>
      </c>
      <c r="F84" s="84" t="s">
        <v>53</v>
      </c>
      <c r="G84" s="83" t="s">
        <v>69</v>
      </c>
      <c r="H84" s="84" t="s">
        <v>53</v>
      </c>
      <c r="I84" s="83" t="s">
        <v>69</v>
      </c>
      <c r="J84" s="84" t="s">
        <v>53</v>
      </c>
      <c r="K84" s="24">
        <v>71</v>
      </c>
      <c r="L84" s="158" t="s">
        <v>8</v>
      </c>
      <c r="M84" s="58" t="s">
        <v>45</v>
      </c>
      <c r="N84" s="47">
        <v>4</v>
      </c>
      <c r="O84" s="24"/>
      <c r="P84" s="47">
        <f>COUNTIF($C$84:$J$104,"Trophée FPF : Meilleur Auteur français")</f>
        <v>4</v>
      </c>
      <c r="Q84" s="24" t="str">
        <f t="shared" ref="Q84:Q88" si="3">IF(N84=P84,"OK","KO")</f>
        <v>OK</v>
      </c>
      <c r="S84" s="155">
        <f>SUM(P84:P88)</f>
        <v>84</v>
      </c>
      <c r="T84" s="155" t="str">
        <f>IF(S84='Médailles Commandées'!J7,"OK","KO")</f>
        <v>OK</v>
      </c>
      <c r="V84" s="44"/>
      <c r="W84" s="44"/>
    </row>
    <row r="85" spans="1:23" s="25" customFormat="1" ht="15" customHeight="1" x14ac:dyDescent="0.25">
      <c r="A85" s="1">
        <v>2</v>
      </c>
      <c r="B85" s="45" t="s">
        <v>8</v>
      </c>
      <c r="C85" s="83" t="s">
        <v>70</v>
      </c>
      <c r="D85" s="84" t="s">
        <v>24</v>
      </c>
      <c r="E85" s="83" t="s">
        <v>70</v>
      </c>
      <c r="F85" s="84" t="s">
        <v>27</v>
      </c>
      <c r="G85" s="83" t="s">
        <v>70</v>
      </c>
      <c r="H85" s="84" t="s">
        <v>28</v>
      </c>
      <c r="I85" s="83" t="s">
        <v>70</v>
      </c>
      <c r="J85" s="84" t="s">
        <v>29</v>
      </c>
      <c r="K85" s="24">
        <v>72</v>
      </c>
      <c r="L85" s="159"/>
      <c r="M85" s="59" t="s">
        <v>86</v>
      </c>
      <c r="N85" s="50">
        <f>'Médailles Commandées'!$E$7</f>
        <v>8</v>
      </c>
      <c r="O85" s="24"/>
      <c r="P85" s="50">
        <f>COUNTIF($C$84:$J$104,"Médaille d'Or FPF")</f>
        <v>8</v>
      </c>
      <c r="Q85" s="24" t="str">
        <f t="shared" si="3"/>
        <v>OK</v>
      </c>
      <c r="S85" s="156"/>
      <c r="T85" s="156"/>
    </row>
    <row r="86" spans="1:23" s="25" customFormat="1" ht="15" customHeight="1" x14ac:dyDescent="0.25">
      <c r="A86" s="1">
        <v>3</v>
      </c>
      <c r="B86" s="45" t="s">
        <v>8</v>
      </c>
      <c r="C86" s="83" t="s">
        <v>70</v>
      </c>
      <c r="D86" s="84" t="s">
        <v>27</v>
      </c>
      <c r="E86" s="83" t="s">
        <v>70</v>
      </c>
      <c r="F86" s="84" t="s">
        <v>28</v>
      </c>
      <c r="G86" s="83" t="s">
        <v>70</v>
      </c>
      <c r="H86" s="84" t="s">
        <v>29</v>
      </c>
      <c r="I86" s="83" t="s">
        <v>70</v>
      </c>
      <c r="J86" s="84" t="s">
        <v>24</v>
      </c>
      <c r="K86" s="24">
        <v>73</v>
      </c>
      <c r="L86" s="159"/>
      <c r="M86" s="59" t="s">
        <v>87</v>
      </c>
      <c r="N86" s="50">
        <f>'Médailles Commandées'!$F$7</f>
        <v>8</v>
      </c>
      <c r="O86" s="24"/>
      <c r="P86" s="50">
        <f>COUNTIF($C$84:$J$104,"Médaille d'Argent FPF")</f>
        <v>8</v>
      </c>
      <c r="Q86" s="24" t="str">
        <f t="shared" si="3"/>
        <v>OK</v>
      </c>
      <c r="S86" s="156"/>
      <c r="T86" s="156"/>
    </row>
    <row r="87" spans="1:23" s="25" customFormat="1" ht="15" customHeight="1" x14ac:dyDescent="0.25">
      <c r="A87" s="1">
        <v>4</v>
      </c>
      <c r="B87" s="45" t="s">
        <v>8</v>
      </c>
      <c r="C87" s="83" t="s">
        <v>71</v>
      </c>
      <c r="D87" s="84" t="s">
        <v>24</v>
      </c>
      <c r="E87" s="83" t="s">
        <v>71</v>
      </c>
      <c r="F87" s="84" t="s">
        <v>27</v>
      </c>
      <c r="G87" s="83" t="s">
        <v>71</v>
      </c>
      <c r="H87" s="84" t="s">
        <v>28</v>
      </c>
      <c r="I87" s="83" t="s">
        <v>71</v>
      </c>
      <c r="J87" s="84" t="s">
        <v>29</v>
      </c>
      <c r="K87" s="24">
        <v>74</v>
      </c>
      <c r="L87" s="159"/>
      <c r="M87" s="59" t="s">
        <v>88</v>
      </c>
      <c r="N87" s="50">
        <f>'Médailles Commandées'!$G$7</f>
        <v>8</v>
      </c>
      <c r="O87" s="24"/>
      <c r="P87" s="50">
        <f>COUNTIF($C$84:$J$104,"Médaille de Bronze FPF")</f>
        <v>8</v>
      </c>
      <c r="Q87" s="24" t="str">
        <f t="shared" si="3"/>
        <v>OK</v>
      </c>
      <c r="S87" s="156"/>
      <c r="T87" s="156"/>
    </row>
    <row r="88" spans="1:23" s="25" customFormat="1" ht="15" customHeight="1" thickBot="1" x14ac:dyDescent="0.3">
      <c r="A88" s="1">
        <v>5</v>
      </c>
      <c r="B88" s="45" t="s">
        <v>8</v>
      </c>
      <c r="C88" s="83" t="s">
        <v>71</v>
      </c>
      <c r="D88" s="84" t="s">
        <v>27</v>
      </c>
      <c r="E88" s="83" t="s">
        <v>71</v>
      </c>
      <c r="F88" s="84" t="s">
        <v>28</v>
      </c>
      <c r="G88" s="83" t="s">
        <v>71</v>
      </c>
      <c r="H88" s="84" t="s">
        <v>29</v>
      </c>
      <c r="I88" s="83" t="s">
        <v>71</v>
      </c>
      <c r="J88" s="84" t="s">
        <v>24</v>
      </c>
      <c r="K88" s="24">
        <v>75</v>
      </c>
      <c r="L88" s="160"/>
      <c r="M88" s="60" t="s">
        <v>46</v>
      </c>
      <c r="N88" s="50">
        <f>'Médailles Commandées'!$I$7</f>
        <v>56</v>
      </c>
      <c r="O88" s="24"/>
      <c r="P88" s="50">
        <f>COUNTIF($C$84:$J$104,"Diplôme FPF")</f>
        <v>56</v>
      </c>
      <c r="Q88" s="24" t="str">
        <f t="shared" si="3"/>
        <v>OK</v>
      </c>
      <c r="S88" s="157"/>
      <c r="T88" s="157"/>
    </row>
    <row r="89" spans="1:23" s="25" customFormat="1" ht="15" customHeight="1" x14ac:dyDescent="0.25">
      <c r="A89" s="1">
        <v>6</v>
      </c>
      <c r="B89" s="45" t="s">
        <v>8</v>
      </c>
      <c r="C89" s="83" t="s">
        <v>72</v>
      </c>
      <c r="D89" s="84" t="s">
        <v>24</v>
      </c>
      <c r="E89" s="83" t="s">
        <v>72</v>
      </c>
      <c r="F89" s="84" t="s">
        <v>27</v>
      </c>
      <c r="G89" s="83" t="s">
        <v>72</v>
      </c>
      <c r="H89" s="84" t="s">
        <v>28</v>
      </c>
      <c r="I89" s="83" t="s">
        <v>72</v>
      </c>
      <c r="J89" s="84" t="s">
        <v>29</v>
      </c>
      <c r="K89" s="24">
        <v>76</v>
      </c>
      <c r="L89" s="151" t="s">
        <v>97</v>
      </c>
      <c r="M89" s="151"/>
      <c r="N89" s="151"/>
      <c r="O89" s="151"/>
      <c r="P89" s="151"/>
      <c r="Q89" s="151"/>
      <c r="R89" s="151"/>
      <c r="S89" s="151"/>
      <c r="T89" s="151"/>
    </row>
    <row r="90" spans="1:23" s="25" customFormat="1" ht="15" customHeight="1" x14ac:dyDescent="0.25">
      <c r="A90" s="1">
        <v>7</v>
      </c>
      <c r="B90" s="45" t="s">
        <v>8</v>
      </c>
      <c r="C90" s="83" t="s">
        <v>72</v>
      </c>
      <c r="D90" s="84" t="s">
        <v>27</v>
      </c>
      <c r="E90" s="83" t="s">
        <v>72</v>
      </c>
      <c r="F90" s="84" t="s">
        <v>28</v>
      </c>
      <c r="G90" s="83" t="s">
        <v>72</v>
      </c>
      <c r="H90" s="84" t="s">
        <v>29</v>
      </c>
      <c r="I90" s="83" t="s">
        <v>72</v>
      </c>
      <c r="J90" s="84" t="s">
        <v>24</v>
      </c>
      <c r="K90" s="24">
        <v>77</v>
      </c>
      <c r="L90" s="61"/>
      <c r="M90" s="42"/>
      <c r="N90" s="24"/>
      <c r="O90" s="24"/>
      <c r="P90" s="24"/>
      <c r="Q90" s="24"/>
      <c r="R90" s="43"/>
      <c r="S90" s="62"/>
      <c r="T90" s="62"/>
    </row>
    <row r="91" spans="1:23" s="25" customFormat="1" ht="15" customHeight="1" x14ac:dyDescent="0.25">
      <c r="A91" s="1">
        <v>8</v>
      </c>
      <c r="B91" s="45" t="s">
        <v>8</v>
      </c>
      <c r="C91" s="83" t="s">
        <v>73</v>
      </c>
      <c r="D91" s="84" t="s">
        <v>24</v>
      </c>
      <c r="E91" s="83" t="s">
        <v>73</v>
      </c>
      <c r="F91" s="84" t="s">
        <v>24</v>
      </c>
      <c r="G91" s="83" t="s">
        <v>73</v>
      </c>
      <c r="H91" s="84" t="s">
        <v>24</v>
      </c>
      <c r="I91" s="83" t="s">
        <v>73</v>
      </c>
      <c r="J91" s="84" t="s">
        <v>24</v>
      </c>
      <c r="K91" s="24">
        <v>78</v>
      </c>
      <c r="L91" s="61"/>
      <c r="M91" s="42"/>
      <c r="N91" s="24"/>
      <c r="O91" s="24"/>
      <c r="P91" s="24"/>
      <c r="Q91" s="24"/>
      <c r="R91" s="43"/>
      <c r="S91" s="62"/>
      <c r="T91" s="62"/>
    </row>
    <row r="92" spans="1:23" s="25" customFormat="1" ht="15" customHeight="1" x14ac:dyDescent="0.25">
      <c r="A92" s="1">
        <v>9</v>
      </c>
      <c r="B92" s="45" t="s">
        <v>8</v>
      </c>
      <c r="C92" s="83" t="s">
        <v>73</v>
      </c>
      <c r="D92" s="84" t="s">
        <v>27</v>
      </c>
      <c r="E92" s="83" t="s">
        <v>73</v>
      </c>
      <c r="F92" s="84" t="s">
        <v>27</v>
      </c>
      <c r="G92" s="83" t="s">
        <v>73</v>
      </c>
      <c r="H92" s="84" t="s">
        <v>27</v>
      </c>
      <c r="I92" s="83" t="s">
        <v>73</v>
      </c>
      <c r="J92" s="84" t="s">
        <v>27</v>
      </c>
      <c r="K92" s="24">
        <v>79</v>
      </c>
      <c r="L92" s="61"/>
      <c r="M92" s="42"/>
      <c r="N92" s="24"/>
      <c r="O92" s="24"/>
      <c r="P92" s="24"/>
      <c r="Q92" s="24"/>
      <c r="R92" s="43"/>
      <c r="S92" s="62"/>
      <c r="T92" s="62"/>
    </row>
    <row r="93" spans="1:23" s="25" customFormat="1" ht="15" customHeight="1" x14ac:dyDescent="0.25">
      <c r="A93" s="1">
        <v>10</v>
      </c>
      <c r="B93" s="45" t="s">
        <v>8</v>
      </c>
      <c r="C93" s="83" t="s">
        <v>73</v>
      </c>
      <c r="D93" s="84" t="s">
        <v>28</v>
      </c>
      <c r="E93" s="83" t="s">
        <v>73</v>
      </c>
      <c r="F93" s="84" t="s">
        <v>28</v>
      </c>
      <c r="G93" s="83" t="s">
        <v>73</v>
      </c>
      <c r="H93" s="84" t="s">
        <v>28</v>
      </c>
      <c r="I93" s="83" t="s">
        <v>73</v>
      </c>
      <c r="J93" s="84" t="s">
        <v>28</v>
      </c>
      <c r="K93" s="24">
        <v>80</v>
      </c>
      <c r="L93" s="61"/>
      <c r="M93" s="42"/>
      <c r="N93" s="24"/>
      <c r="O93" s="24"/>
      <c r="P93" s="24"/>
      <c r="Q93" s="24"/>
      <c r="R93" s="43"/>
      <c r="S93" s="62"/>
      <c r="T93" s="62"/>
    </row>
    <row r="94" spans="1:23" s="25" customFormat="1" ht="15" customHeight="1" x14ac:dyDescent="0.25">
      <c r="A94" s="1">
        <v>11</v>
      </c>
      <c r="B94" s="45" t="s">
        <v>8</v>
      </c>
      <c r="C94" s="83" t="s">
        <v>73</v>
      </c>
      <c r="D94" s="84" t="s">
        <v>29</v>
      </c>
      <c r="E94" s="83" t="s">
        <v>73</v>
      </c>
      <c r="F94" s="84" t="s">
        <v>29</v>
      </c>
      <c r="G94" s="83" t="s">
        <v>73</v>
      </c>
      <c r="H94" s="84" t="s">
        <v>29</v>
      </c>
      <c r="I94" s="83" t="s">
        <v>73</v>
      </c>
      <c r="J94" s="84" t="s">
        <v>29</v>
      </c>
      <c r="K94" s="24">
        <v>81</v>
      </c>
      <c r="L94" s="61"/>
      <c r="M94" s="42"/>
      <c r="N94" s="24"/>
      <c r="O94" s="24"/>
      <c r="P94" s="24"/>
      <c r="Q94" s="24"/>
      <c r="R94" s="43"/>
      <c r="S94" s="62"/>
      <c r="T94" s="62"/>
    </row>
    <row r="95" spans="1:23" s="25" customFormat="1" ht="15" customHeight="1" x14ac:dyDescent="0.25">
      <c r="A95" s="1">
        <v>12</v>
      </c>
      <c r="B95" s="45" t="s">
        <v>8</v>
      </c>
      <c r="C95" s="83" t="s">
        <v>73</v>
      </c>
      <c r="D95" s="84" t="s">
        <v>24</v>
      </c>
      <c r="E95" s="83" t="s">
        <v>73</v>
      </c>
      <c r="F95" s="84" t="s">
        <v>24</v>
      </c>
      <c r="G95" s="83" t="s">
        <v>73</v>
      </c>
      <c r="H95" s="84" t="s">
        <v>24</v>
      </c>
      <c r="I95" s="83" t="s">
        <v>73</v>
      </c>
      <c r="J95" s="84" t="s">
        <v>24</v>
      </c>
      <c r="K95" s="24">
        <v>82</v>
      </c>
      <c r="L95" s="61"/>
      <c r="M95" s="42"/>
      <c r="N95" s="24"/>
      <c r="O95" s="24"/>
      <c r="P95" s="24"/>
      <c r="Q95" s="24"/>
      <c r="R95" s="43"/>
      <c r="S95" s="62"/>
      <c r="T95" s="62"/>
      <c r="U95" s="10"/>
    </row>
    <row r="96" spans="1:23" s="25" customFormat="1" ht="15" customHeight="1" x14ac:dyDescent="0.25">
      <c r="A96" s="1">
        <v>13</v>
      </c>
      <c r="B96" s="45" t="s">
        <v>8</v>
      </c>
      <c r="C96" s="83" t="s">
        <v>73</v>
      </c>
      <c r="D96" s="84" t="s">
        <v>27</v>
      </c>
      <c r="E96" s="83" t="s">
        <v>73</v>
      </c>
      <c r="F96" s="84" t="s">
        <v>27</v>
      </c>
      <c r="G96" s="83" t="s">
        <v>73</v>
      </c>
      <c r="H96" s="84" t="s">
        <v>27</v>
      </c>
      <c r="I96" s="83" t="s">
        <v>73</v>
      </c>
      <c r="J96" s="84" t="s">
        <v>27</v>
      </c>
      <c r="K96" s="24">
        <v>83</v>
      </c>
      <c r="L96" s="61"/>
      <c r="M96" s="42"/>
      <c r="N96" s="24"/>
      <c r="O96" s="24"/>
      <c r="P96" s="24"/>
      <c r="Q96" s="24"/>
      <c r="R96" s="43"/>
      <c r="S96" s="62"/>
      <c r="T96" s="62"/>
      <c r="U96" s="10"/>
    </row>
    <row r="97" spans="1:23" s="25" customFormat="1" ht="15" customHeight="1" x14ac:dyDescent="0.25">
      <c r="A97" s="1">
        <v>14</v>
      </c>
      <c r="B97" s="45" t="s">
        <v>8</v>
      </c>
      <c r="C97" s="83" t="s">
        <v>73</v>
      </c>
      <c r="D97" s="84" t="s">
        <v>28</v>
      </c>
      <c r="E97" s="83" t="s">
        <v>73</v>
      </c>
      <c r="F97" s="84" t="s">
        <v>28</v>
      </c>
      <c r="G97" s="83" t="s">
        <v>73</v>
      </c>
      <c r="H97" s="84" t="s">
        <v>28</v>
      </c>
      <c r="I97" s="83" t="s">
        <v>73</v>
      </c>
      <c r="J97" s="84" t="s">
        <v>28</v>
      </c>
      <c r="K97" s="24">
        <v>84</v>
      </c>
      <c r="L97" s="61"/>
      <c r="M97" s="42"/>
      <c r="N97" s="24"/>
      <c r="O97" s="24"/>
      <c r="P97" s="24"/>
      <c r="Q97" s="24"/>
      <c r="R97" s="43"/>
      <c r="S97" s="62"/>
      <c r="T97" s="62"/>
      <c r="U97" s="10"/>
    </row>
    <row r="98" spans="1:23" s="25" customFormat="1" ht="15" customHeight="1" x14ac:dyDescent="0.25">
      <c r="A98" s="1">
        <v>15</v>
      </c>
      <c r="B98" s="45" t="s">
        <v>8</v>
      </c>
      <c r="C98" s="83" t="s">
        <v>73</v>
      </c>
      <c r="D98" s="84" t="s">
        <v>29</v>
      </c>
      <c r="E98" s="83" t="s">
        <v>73</v>
      </c>
      <c r="F98" s="84" t="s">
        <v>29</v>
      </c>
      <c r="G98" s="83" t="s">
        <v>73</v>
      </c>
      <c r="H98" s="84" t="s">
        <v>29</v>
      </c>
      <c r="I98" s="83" t="s">
        <v>73</v>
      </c>
      <c r="J98" s="84" t="s">
        <v>29</v>
      </c>
      <c r="K98" s="24">
        <v>85</v>
      </c>
      <c r="L98" s="61"/>
      <c r="M98" s="42"/>
      <c r="N98" s="24"/>
      <c r="O98" s="24"/>
      <c r="P98" s="24"/>
      <c r="Q98" s="24"/>
      <c r="R98" s="43"/>
      <c r="S98" s="62"/>
      <c r="T98" s="62"/>
      <c r="U98" s="10"/>
    </row>
    <row r="99" spans="1:23" s="25" customFormat="1" ht="15" customHeight="1" x14ac:dyDescent="0.25">
      <c r="A99" s="1">
        <v>16</v>
      </c>
      <c r="B99" s="45" t="s">
        <v>8</v>
      </c>
      <c r="C99" s="83" t="s">
        <v>73</v>
      </c>
      <c r="D99" s="84" t="s">
        <v>24</v>
      </c>
      <c r="E99" s="83" t="s">
        <v>73</v>
      </c>
      <c r="F99" s="84" t="s">
        <v>24</v>
      </c>
      <c r="G99" s="83" t="s">
        <v>73</v>
      </c>
      <c r="H99" s="84" t="s">
        <v>24</v>
      </c>
      <c r="I99" s="83" t="s">
        <v>73</v>
      </c>
      <c r="J99" s="84" t="s">
        <v>24</v>
      </c>
      <c r="K99" s="24">
        <v>86</v>
      </c>
      <c r="L99" s="61"/>
      <c r="M99" s="42"/>
      <c r="N99" s="24"/>
      <c r="O99" s="24"/>
      <c r="P99" s="24"/>
      <c r="Q99" s="24"/>
      <c r="R99" s="43"/>
      <c r="S99" s="62"/>
      <c r="T99" s="62"/>
      <c r="U99" s="10"/>
    </row>
    <row r="100" spans="1:23" s="44" customFormat="1" ht="15" customHeight="1" x14ac:dyDescent="0.25">
      <c r="A100" s="1">
        <v>17</v>
      </c>
      <c r="B100" s="45" t="s">
        <v>8</v>
      </c>
      <c r="C100" s="83" t="s">
        <v>73</v>
      </c>
      <c r="D100" s="84" t="s">
        <v>27</v>
      </c>
      <c r="E100" s="83" t="s">
        <v>73</v>
      </c>
      <c r="F100" s="84" t="s">
        <v>27</v>
      </c>
      <c r="G100" s="83" t="s">
        <v>73</v>
      </c>
      <c r="H100" s="84" t="s">
        <v>27</v>
      </c>
      <c r="I100" s="83" t="s">
        <v>73</v>
      </c>
      <c r="J100" s="84" t="s">
        <v>27</v>
      </c>
      <c r="K100" s="24">
        <v>87</v>
      </c>
      <c r="L100" s="61"/>
      <c r="M100" s="42"/>
      <c r="N100" s="24"/>
      <c r="O100" s="24"/>
      <c r="P100" s="24"/>
      <c r="Q100" s="24"/>
      <c r="R100" s="43"/>
      <c r="S100" s="62"/>
      <c r="T100" s="62"/>
      <c r="U100" s="10"/>
      <c r="V100" s="25"/>
      <c r="W100" s="25"/>
    </row>
    <row r="101" spans="1:23" s="44" customFormat="1" ht="15" customHeight="1" x14ac:dyDescent="0.25">
      <c r="A101" s="1">
        <v>18</v>
      </c>
      <c r="B101" s="45" t="s">
        <v>8</v>
      </c>
      <c r="C101" s="83" t="s">
        <v>73</v>
      </c>
      <c r="D101" s="84" t="s">
        <v>28</v>
      </c>
      <c r="E101" s="83" t="s">
        <v>73</v>
      </c>
      <c r="F101" s="84" t="s">
        <v>28</v>
      </c>
      <c r="G101" s="83" t="s">
        <v>73</v>
      </c>
      <c r="H101" s="84" t="s">
        <v>28</v>
      </c>
      <c r="I101" s="83" t="s">
        <v>73</v>
      </c>
      <c r="J101" s="84" t="s">
        <v>28</v>
      </c>
      <c r="K101" s="24">
        <v>88</v>
      </c>
      <c r="L101" s="61"/>
      <c r="M101" s="42"/>
      <c r="N101" s="24"/>
      <c r="O101" s="24"/>
      <c r="P101" s="24"/>
      <c r="Q101" s="24"/>
      <c r="R101" s="43"/>
      <c r="S101" s="62"/>
      <c r="T101" s="62"/>
      <c r="U101" s="10"/>
      <c r="V101" s="25"/>
      <c r="W101" s="25"/>
    </row>
    <row r="102" spans="1:23" s="44" customFormat="1" ht="15" customHeight="1" x14ac:dyDescent="0.25">
      <c r="A102" s="1">
        <v>19</v>
      </c>
      <c r="B102" s="45" t="s">
        <v>8</v>
      </c>
      <c r="C102" s="83" t="s">
        <v>73</v>
      </c>
      <c r="D102" s="84" t="s">
        <v>29</v>
      </c>
      <c r="E102" s="83" t="s">
        <v>73</v>
      </c>
      <c r="F102" s="84" t="s">
        <v>29</v>
      </c>
      <c r="G102" s="83" t="s">
        <v>73</v>
      </c>
      <c r="H102" s="84" t="s">
        <v>29</v>
      </c>
      <c r="I102" s="83" t="s">
        <v>73</v>
      </c>
      <c r="J102" s="84" t="s">
        <v>29</v>
      </c>
      <c r="K102" s="24">
        <v>89</v>
      </c>
      <c r="L102" s="61"/>
      <c r="M102" s="42"/>
      <c r="N102" s="24"/>
      <c r="O102" s="24"/>
      <c r="P102" s="24"/>
      <c r="Q102" s="24"/>
      <c r="R102" s="43"/>
      <c r="S102" s="62"/>
      <c r="T102" s="62"/>
      <c r="U102" s="10"/>
      <c r="V102" s="25"/>
      <c r="W102" s="25"/>
    </row>
    <row r="103" spans="1:23" s="44" customFormat="1" ht="15" customHeight="1" x14ac:dyDescent="0.25">
      <c r="A103" s="1">
        <v>20</v>
      </c>
      <c r="B103" s="45" t="s">
        <v>8</v>
      </c>
      <c r="C103" s="83" t="s">
        <v>73</v>
      </c>
      <c r="D103" s="84" t="s">
        <v>24</v>
      </c>
      <c r="E103" s="83" t="s">
        <v>73</v>
      </c>
      <c r="F103" s="84" t="s">
        <v>27</v>
      </c>
      <c r="G103" s="83" t="s">
        <v>73</v>
      </c>
      <c r="H103" s="84" t="s">
        <v>28</v>
      </c>
      <c r="I103" s="83" t="s">
        <v>73</v>
      </c>
      <c r="J103" s="84" t="s">
        <v>29</v>
      </c>
      <c r="K103" s="24">
        <v>90</v>
      </c>
      <c r="L103" s="25"/>
      <c r="M103" s="25"/>
      <c r="N103" s="25"/>
      <c r="O103" s="25"/>
      <c r="P103" s="25"/>
      <c r="Q103" s="25"/>
      <c r="R103" s="25"/>
      <c r="S103" s="77"/>
      <c r="T103" s="25"/>
      <c r="U103" s="10"/>
      <c r="V103" s="25"/>
      <c r="W103" s="25"/>
    </row>
    <row r="104" spans="1:23" s="44" customFormat="1" ht="15" customHeight="1" thickBot="1" x14ac:dyDescent="0.3">
      <c r="A104" s="1">
        <v>21</v>
      </c>
      <c r="B104" s="45" t="s">
        <v>8</v>
      </c>
      <c r="C104" s="83" t="s">
        <v>73</v>
      </c>
      <c r="D104" s="84" t="s">
        <v>27</v>
      </c>
      <c r="E104" s="83" t="s">
        <v>73</v>
      </c>
      <c r="F104" s="84" t="s">
        <v>28</v>
      </c>
      <c r="G104" s="83" t="s">
        <v>73</v>
      </c>
      <c r="H104" s="84" t="s">
        <v>29</v>
      </c>
      <c r="I104" s="83" t="s">
        <v>73</v>
      </c>
      <c r="J104" s="84" t="s">
        <v>24</v>
      </c>
      <c r="K104" s="24">
        <v>91</v>
      </c>
      <c r="L104" s="24"/>
      <c r="M104" s="24"/>
      <c r="N104" s="24"/>
      <c r="O104" s="24"/>
      <c r="P104" s="24"/>
      <c r="Q104" s="24"/>
      <c r="R104" s="25"/>
      <c r="S104" s="77"/>
      <c r="T104" s="25"/>
      <c r="U104" s="10"/>
      <c r="V104" s="25"/>
      <c r="W104" s="25"/>
    </row>
    <row r="105" spans="1:23" s="44" customFormat="1" ht="15" customHeight="1" x14ac:dyDescent="0.25">
      <c r="A105" s="1">
        <v>1</v>
      </c>
      <c r="B105" s="45" t="s">
        <v>13</v>
      </c>
      <c r="C105" s="82" t="s">
        <v>74</v>
      </c>
      <c r="D105" s="81" t="s">
        <v>24</v>
      </c>
      <c r="E105" s="82" t="s">
        <v>74</v>
      </c>
      <c r="F105" s="81" t="s">
        <v>27</v>
      </c>
      <c r="G105" s="82" t="s">
        <v>74</v>
      </c>
      <c r="H105" s="81" t="s">
        <v>28</v>
      </c>
      <c r="I105" s="82" t="s">
        <v>74</v>
      </c>
      <c r="J105" s="81" t="s">
        <v>29</v>
      </c>
      <c r="K105" s="24">
        <v>92</v>
      </c>
      <c r="L105" s="158" t="s">
        <v>13</v>
      </c>
      <c r="M105" s="46" t="s">
        <v>42</v>
      </c>
      <c r="N105" s="47">
        <f>'Médailles Commandées'!$E$11</f>
        <v>4</v>
      </c>
      <c r="O105" s="48"/>
      <c r="P105" s="47">
        <f>COUNTIF($C$105:$J$119,"Médaille d'Or ISF")</f>
        <v>4</v>
      </c>
      <c r="Q105" s="24" t="str">
        <f t="shared" ref="Q105:Q108" si="4">IF(N105=P105,"OK","KO")</f>
        <v>OK</v>
      </c>
      <c r="R105" s="25"/>
      <c r="S105" s="155">
        <f>SUM(P105:P108)</f>
        <v>60</v>
      </c>
      <c r="T105" s="155" t="str">
        <f>IF(S105='Médailles Commandées'!J11,"OK","KO")</f>
        <v>OK</v>
      </c>
      <c r="U105" s="10"/>
      <c r="V105" s="25"/>
      <c r="W105" s="25"/>
    </row>
    <row r="106" spans="1:23" s="44" customFormat="1" ht="15" customHeight="1" x14ac:dyDescent="0.25">
      <c r="A106" s="1">
        <v>2</v>
      </c>
      <c r="B106" s="45" t="s">
        <v>13</v>
      </c>
      <c r="C106" s="82" t="s">
        <v>75</v>
      </c>
      <c r="D106" s="81" t="s">
        <v>27</v>
      </c>
      <c r="E106" s="82" t="s">
        <v>75</v>
      </c>
      <c r="F106" s="81" t="s">
        <v>28</v>
      </c>
      <c r="G106" s="82" t="s">
        <v>75</v>
      </c>
      <c r="H106" s="81" t="s">
        <v>29</v>
      </c>
      <c r="I106" s="82" t="s">
        <v>75</v>
      </c>
      <c r="J106" s="81" t="s">
        <v>24</v>
      </c>
      <c r="K106" s="24">
        <v>93</v>
      </c>
      <c r="L106" s="159"/>
      <c r="M106" s="49" t="s">
        <v>43</v>
      </c>
      <c r="N106" s="50">
        <f>'Médailles Commandées'!$F$11</f>
        <v>4</v>
      </c>
      <c r="O106" s="48"/>
      <c r="P106" s="50">
        <f>COUNTIF($C$105:$J$119,"Médaille d'Argent ISF")</f>
        <v>4</v>
      </c>
      <c r="Q106" s="24" t="str">
        <f t="shared" si="4"/>
        <v>OK</v>
      </c>
      <c r="R106" s="25"/>
      <c r="S106" s="156"/>
      <c r="T106" s="156"/>
      <c r="U106" s="10"/>
      <c r="V106" s="25"/>
      <c r="W106" s="25"/>
    </row>
    <row r="107" spans="1:23" s="44" customFormat="1" ht="15" customHeight="1" x14ac:dyDescent="0.25">
      <c r="A107" s="63">
        <v>3</v>
      </c>
      <c r="B107" s="45" t="s">
        <v>13</v>
      </c>
      <c r="C107" s="82" t="s">
        <v>76</v>
      </c>
      <c r="D107" s="81" t="s">
        <v>28</v>
      </c>
      <c r="E107" s="82" t="s">
        <v>76</v>
      </c>
      <c r="F107" s="81" t="s">
        <v>29</v>
      </c>
      <c r="G107" s="82" t="s">
        <v>76</v>
      </c>
      <c r="H107" s="81" t="s">
        <v>24</v>
      </c>
      <c r="I107" s="82" t="s">
        <v>76</v>
      </c>
      <c r="J107" s="81" t="s">
        <v>27</v>
      </c>
      <c r="K107" s="24">
        <v>94</v>
      </c>
      <c r="L107" s="159"/>
      <c r="M107" s="49" t="s">
        <v>44</v>
      </c>
      <c r="N107" s="50">
        <f>'Médailles Commandées'!$G$11</f>
        <v>4</v>
      </c>
      <c r="O107" s="48"/>
      <c r="P107" s="50">
        <f>COUNTIF($C$105:$J$119,"Médaille de Bronze ISF")</f>
        <v>4</v>
      </c>
      <c r="Q107" s="24" t="str">
        <f t="shared" si="4"/>
        <v>OK</v>
      </c>
      <c r="R107" s="25"/>
      <c r="S107" s="156"/>
      <c r="T107" s="156"/>
      <c r="U107" s="10"/>
      <c r="V107" s="25"/>
      <c r="W107" s="25"/>
    </row>
    <row r="108" spans="1:23" s="44" customFormat="1" ht="15" customHeight="1" thickBot="1" x14ac:dyDescent="0.3">
      <c r="A108" s="1">
        <v>4</v>
      </c>
      <c r="B108" s="45" t="s">
        <v>13</v>
      </c>
      <c r="C108" s="82" t="s">
        <v>77</v>
      </c>
      <c r="D108" s="81" t="s">
        <v>24</v>
      </c>
      <c r="E108" s="82" t="s">
        <v>77</v>
      </c>
      <c r="F108" s="81" t="s">
        <v>24</v>
      </c>
      <c r="G108" s="82" t="s">
        <v>77</v>
      </c>
      <c r="H108" s="81" t="s">
        <v>24</v>
      </c>
      <c r="I108" s="82" t="s">
        <v>77</v>
      </c>
      <c r="J108" s="81" t="s">
        <v>24</v>
      </c>
      <c r="K108" s="24">
        <v>95</v>
      </c>
      <c r="L108" s="160"/>
      <c r="M108" s="53" t="s">
        <v>47</v>
      </c>
      <c r="N108" s="54">
        <f>'Médailles Commandées'!$I$11</f>
        <v>48</v>
      </c>
      <c r="O108" s="48"/>
      <c r="P108" s="54">
        <f>COUNTIF($C$105:$J$119,"Diplôme ISF")</f>
        <v>48</v>
      </c>
      <c r="Q108" s="24" t="str">
        <f t="shared" si="4"/>
        <v>OK</v>
      </c>
      <c r="R108" s="25"/>
      <c r="S108" s="157"/>
      <c r="T108" s="157"/>
      <c r="U108" s="10"/>
      <c r="V108" s="25"/>
      <c r="W108" s="25"/>
    </row>
    <row r="109" spans="1:23" s="25" customFormat="1" ht="15" customHeight="1" x14ac:dyDescent="0.25">
      <c r="A109" s="1">
        <v>5</v>
      </c>
      <c r="B109" s="45" t="s">
        <v>13</v>
      </c>
      <c r="C109" s="82" t="s">
        <v>77</v>
      </c>
      <c r="D109" s="81" t="s">
        <v>27</v>
      </c>
      <c r="E109" s="82" t="s">
        <v>77</v>
      </c>
      <c r="F109" s="81" t="s">
        <v>27</v>
      </c>
      <c r="G109" s="82" t="s">
        <v>77</v>
      </c>
      <c r="H109" s="81" t="s">
        <v>27</v>
      </c>
      <c r="I109" s="82" t="s">
        <v>77</v>
      </c>
      <c r="J109" s="81" t="s">
        <v>27</v>
      </c>
      <c r="K109" s="24">
        <v>96</v>
      </c>
      <c r="L109" s="151" t="s">
        <v>99</v>
      </c>
      <c r="M109" s="151"/>
      <c r="N109" s="151"/>
      <c r="O109" s="151"/>
      <c r="P109" s="151"/>
      <c r="Q109" s="151"/>
      <c r="R109" s="151"/>
      <c r="S109" s="151"/>
      <c r="T109" s="151"/>
      <c r="U109" s="10"/>
      <c r="V109" s="44"/>
      <c r="W109" s="44"/>
    </row>
    <row r="110" spans="1:23" s="25" customFormat="1" ht="15" customHeight="1" x14ac:dyDescent="0.25">
      <c r="A110" s="63">
        <v>6</v>
      </c>
      <c r="B110" s="45" t="s">
        <v>13</v>
      </c>
      <c r="C110" s="82" t="s">
        <v>77</v>
      </c>
      <c r="D110" s="81" t="s">
        <v>28</v>
      </c>
      <c r="E110" s="82" t="s">
        <v>77</v>
      </c>
      <c r="F110" s="81" t="s">
        <v>28</v>
      </c>
      <c r="G110" s="82" t="s">
        <v>77</v>
      </c>
      <c r="H110" s="81" t="s">
        <v>28</v>
      </c>
      <c r="I110" s="82" t="s">
        <v>77</v>
      </c>
      <c r="J110" s="81" t="s">
        <v>28</v>
      </c>
      <c r="K110" s="24">
        <v>97</v>
      </c>
      <c r="L110" s="132"/>
      <c r="M110" s="132"/>
      <c r="N110" s="132"/>
      <c r="O110" s="132"/>
      <c r="P110" s="132"/>
      <c r="Q110" s="132"/>
      <c r="R110" s="132"/>
      <c r="S110" s="132"/>
      <c r="T110" s="132"/>
      <c r="U110" s="10"/>
    </row>
    <row r="111" spans="1:23" s="25" customFormat="1" ht="15" customHeight="1" x14ac:dyDescent="0.25">
      <c r="A111" s="1">
        <v>7</v>
      </c>
      <c r="B111" s="45" t="s">
        <v>13</v>
      </c>
      <c r="C111" s="82" t="s">
        <v>77</v>
      </c>
      <c r="D111" s="81" t="s">
        <v>29</v>
      </c>
      <c r="E111" s="82" t="s">
        <v>77</v>
      </c>
      <c r="F111" s="81" t="s">
        <v>29</v>
      </c>
      <c r="G111" s="82" t="s">
        <v>77</v>
      </c>
      <c r="H111" s="81" t="s">
        <v>29</v>
      </c>
      <c r="I111" s="82" t="s">
        <v>77</v>
      </c>
      <c r="J111" s="81" t="s">
        <v>29</v>
      </c>
      <c r="K111" s="24">
        <v>98</v>
      </c>
      <c r="L111" s="132"/>
      <c r="M111" s="132"/>
      <c r="N111" s="132"/>
      <c r="O111" s="132"/>
      <c r="P111" s="132"/>
      <c r="Q111" s="132"/>
      <c r="R111" s="132"/>
      <c r="S111" s="132"/>
      <c r="T111" s="132"/>
      <c r="U111" s="10"/>
      <c r="V111" s="64"/>
      <c r="W111" s="64"/>
    </row>
    <row r="112" spans="1:23" s="25" customFormat="1" ht="15" customHeight="1" x14ac:dyDescent="0.25">
      <c r="A112" s="1">
        <v>8</v>
      </c>
      <c r="B112" s="45" t="s">
        <v>13</v>
      </c>
      <c r="C112" s="82" t="s">
        <v>77</v>
      </c>
      <c r="D112" s="81" t="s">
        <v>24</v>
      </c>
      <c r="E112" s="82" t="s">
        <v>77</v>
      </c>
      <c r="F112" s="81" t="s">
        <v>24</v>
      </c>
      <c r="G112" s="82" t="s">
        <v>77</v>
      </c>
      <c r="H112" s="81" t="s">
        <v>24</v>
      </c>
      <c r="I112" s="82" t="s">
        <v>77</v>
      </c>
      <c r="J112" s="81" t="s">
        <v>24</v>
      </c>
      <c r="K112" s="24">
        <v>99</v>
      </c>
      <c r="L112" s="132"/>
      <c r="M112" s="132"/>
      <c r="N112" s="132"/>
      <c r="O112" s="132"/>
      <c r="P112" s="132"/>
      <c r="Q112" s="132"/>
      <c r="R112" s="132"/>
      <c r="S112" s="132"/>
      <c r="T112" s="132"/>
      <c r="U112" s="10"/>
      <c r="V112" s="64"/>
      <c r="W112" s="64"/>
    </row>
    <row r="113" spans="1:23" s="25" customFormat="1" ht="15" customHeight="1" x14ac:dyDescent="0.25">
      <c r="A113" s="63">
        <v>9</v>
      </c>
      <c r="B113" s="45" t="s">
        <v>13</v>
      </c>
      <c r="C113" s="82" t="s">
        <v>77</v>
      </c>
      <c r="D113" s="81" t="s">
        <v>27</v>
      </c>
      <c r="E113" s="82" t="s">
        <v>77</v>
      </c>
      <c r="F113" s="81" t="s">
        <v>27</v>
      </c>
      <c r="G113" s="82" t="s">
        <v>77</v>
      </c>
      <c r="H113" s="81" t="s">
        <v>27</v>
      </c>
      <c r="I113" s="82" t="s">
        <v>77</v>
      </c>
      <c r="J113" s="81" t="s">
        <v>27</v>
      </c>
      <c r="K113" s="24">
        <v>100</v>
      </c>
      <c r="L113" s="132"/>
      <c r="M113" s="132"/>
      <c r="N113" s="132"/>
      <c r="O113" s="132"/>
      <c r="P113" s="132"/>
      <c r="Q113" s="132"/>
      <c r="R113" s="132"/>
      <c r="S113" s="132"/>
      <c r="T113" s="132"/>
      <c r="U113" s="10"/>
      <c r="V113" s="10"/>
      <c r="W113" s="10"/>
    </row>
    <row r="114" spans="1:23" s="25" customFormat="1" ht="15" customHeight="1" x14ac:dyDescent="0.25">
      <c r="A114" s="1">
        <v>10</v>
      </c>
      <c r="B114" s="45" t="s">
        <v>13</v>
      </c>
      <c r="C114" s="82" t="s">
        <v>77</v>
      </c>
      <c r="D114" s="81" t="s">
        <v>28</v>
      </c>
      <c r="E114" s="82" t="s">
        <v>77</v>
      </c>
      <c r="F114" s="81" t="s">
        <v>28</v>
      </c>
      <c r="G114" s="82" t="s">
        <v>77</v>
      </c>
      <c r="H114" s="81" t="s">
        <v>28</v>
      </c>
      <c r="I114" s="82" t="s">
        <v>77</v>
      </c>
      <c r="J114" s="81" t="s">
        <v>28</v>
      </c>
      <c r="K114" s="24">
        <v>101</v>
      </c>
      <c r="L114" s="132"/>
      <c r="M114" s="132"/>
      <c r="N114" s="132"/>
      <c r="O114" s="132"/>
      <c r="P114" s="132"/>
      <c r="Q114" s="132"/>
      <c r="R114" s="132"/>
      <c r="S114" s="132"/>
      <c r="T114" s="132"/>
      <c r="U114" s="10"/>
      <c r="V114" s="10"/>
      <c r="W114" s="10"/>
    </row>
    <row r="115" spans="1:23" s="25" customFormat="1" ht="15" customHeight="1" x14ac:dyDescent="0.25">
      <c r="A115" s="1">
        <v>11</v>
      </c>
      <c r="B115" s="45" t="s">
        <v>13</v>
      </c>
      <c r="C115" s="82" t="s">
        <v>77</v>
      </c>
      <c r="D115" s="81" t="s">
        <v>29</v>
      </c>
      <c r="E115" s="82" t="s">
        <v>77</v>
      </c>
      <c r="F115" s="81" t="s">
        <v>29</v>
      </c>
      <c r="G115" s="82" t="s">
        <v>77</v>
      </c>
      <c r="H115" s="81" t="s">
        <v>29</v>
      </c>
      <c r="I115" s="82" t="s">
        <v>77</v>
      </c>
      <c r="J115" s="81" t="s">
        <v>29</v>
      </c>
      <c r="K115" s="24">
        <v>102</v>
      </c>
      <c r="L115" s="132"/>
      <c r="M115" s="132"/>
      <c r="N115" s="132"/>
      <c r="O115" s="132"/>
      <c r="P115" s="132"/>
      <c r="Q115" s="132"/>
      <c r="R115" s="132"/>
      <c r="S115" s="132"/>
      <c r="T115" s="132"/>
      <c r="U115" s="10"/>
      <c r="V115" s="10"/>
      <c r="W115" s="10"/>
    </row>
    <row r="116" spans="1:23" s="25" customFormat="1" ht="15" customHeight="1" x14ac:dyDescent="0.25">
      <c r="A116" s="63">
        <v>12</v>
      </c>
      <c r="B116" s="45" t="s">
        <v>13</v>
      </c>
      <c r="C116" s="82" t="s">
        <v>77</v>
      </c>
      <c r="D116" s="81" t="s">
        <v>24</v>
      </c>
      <c r="E116" s="82" t="s">
        <v>77</v>
      </c>
      <c r="F116" s="81" t="s">
        <v>24</v>
      </c>
      <c r="G116" s="82" t="s">
        <v>77</v>
      </c>
      <c r="H116" s="81" t="s">
        <v>24</v>
      </c>
      <c r="I116" s="82" t="s">
        <v>77</v>
      </c>
      <c r="J116" s="81" t="s">
        <v>24</v>
      </c>
      <c r="K116" s="24">
        <v>103</v>
      </c>
      <c r="L116" s="132"/>
      <c r="M116" s="132"/>
      <c r="N116" s="132"/>
      <c r="O116" s="132"/>
      <c r="P116" s="132"/>
      <c r="Q116" s="132"/>
      <c r="R116" s="132"/>
      <c r="S116" s="132"/>
      <c r="T116" s="132"/>
      <c r="U116" s="10"/>
      <c r="V116" s="10"/>
      <c r="W116" s="10"/>
    </row>
    <row r="117" spans="1:23" s="25" customFormat="1" ht="15" customHeight="1" x14ac:dyDescent="0.25">
      <c r="A117" s="1">
        <v>13</v>
      </c>
      <c r="B117" s="45" t="s">
        <v>13</v>
      </c>
      <c r="C117" s="82" t="s">
        <v>77</v>
      </c>
      <c r="D117" s="81" t="s">
        <v>27</v>
      </c>
      <c r="E117" s="82" t="s">
        <v>77</v>
      </c>
      <c r="F117" s="81" t="s">
        <v>27</v>
      </c>
      <c r="G117" s="82" t="s">
        <v>77</v>
      </c>
      <c r="H117" s="81" t="s">
        <v>27</v>
      </c>
      <c r="I117" s="82" t="s">
        <v>77</v>
      </c>
      <c r="J117" s="81" t="s">
        <v>27</v>
      </c>
      <c r="K117" s="24">
        <v>104</v>
      </c>
      <c r="L117" s="132"/>
      <c r="M117" s="132"/>
      <c r="N117" s="132"/>
      <c r="O117" s="132"/>
      <c r="P117" s="132"/>
      <c r="Q117" s="132"/>
      <c r="R117" s="132"/>
      <c r="S117" s="132"/>
      <c r="T117" s="132"/>
      <c r="U117" s="10"/>
      <c r="V117" s="10"/>
      <c r="W117" s="10"/>
    </row>
    <row r="118" spans="1:23" s="25" customFormat="1" ht="15" customHeight="1" x14ac:dyDescent="0.25">
      <c r="A118" s="1">
        <v>14</v>
      </c>
      <c r="B118" s="45" t="s">
        <v>13</v>
      </c>
      <c r="C118" s="82" t="s">
        <v>77</v>
      </c>
      <c r="D118" s="81" t="s">
        <v>28</v>
      </c>
      <c r="E118" s="82" t="s">
        <v>77</v>
      </c>
      <c r="F118" s="81" t="s">
        <v>28</v>
      </c>
      <c r="G118" s="82" t="s">
        <v>77</v>
      </c>
      <c r="H118" s="81" t="s">
        <v>28</v>
      </c>
      <c r="I118" s="82" t="s">
        <v>77</v>
      </c>
      <c r="J118" s="81" t="s">
        <v>28</v>
      </c>
      <c r="K118" s="24">
        <v>105</v>
      </c>
      <c r="L118" s="132"/>
      <c r="M118" s="132"/>
      <c r="N118" s="132"/>
      <c r="O118" s="132"/>
      <c r="P118" s="132"/>
      <c r="Q118" s="132"/>
      <c r="R118" s="132"/>
      <c r="S118" s="132"/>
      <c r="T118" s="132"/>
      <c r="U118" s="10"/>
      <c r="V118" s="10"/>
      <c r="W118" s="10"/>
    </row>
    <row r="119" spans="1:23" s="25" customFormat="1" ht="15" customHeight="1" thickBot="1" x14ac:dyDescent="0.3">
      <c r="A119" s="63">
        <v>15</v>
      </c>
      <c r="B119" s="45" t="s">
        <v>13</v>
      </c>
      <c r="C119" s="82" t="s">
        <v>77</v>
      </c>
      <c r="D119" s="81" t="s">
        <v>29</v>
      </c>
      <c r="E119" s="82" t="s">
        <v>77</v>
      </c>
      <c r="F119" s="81" t="s">
        <v>29</v>
      </c>
      <c r="G119" s="82" t="s">
        <v>77</v>
      </c>
      <c r="H119" s="81" t="s">
        <v>29</v>
      </c>
      <c r="I119" s="82" t="s">
        <v>77</v>
      </c>
      <c r="J119" s="81" t="s">
        <v>29</v>
      </c>
      <c r="K119" s="24">
        <v>106</v>
      </c>
      <c r="L119" s="6"/>
      <c r="M119" s="6"/>
      <c r="N119" s="7"/>
      <c r="O119" s="8"/>
      <c r="P119" s="7"/>
      <c r="Q119" s="9"/>
      <c r="R119" s="10"/>
      <c r="S119" s="75"/>
      <c r="T119" s="10"/>
      <c r="U119" s="10"/>
      <c r="V119" s="10"/>
      <c r="W119" s="10"/>
    </row>
    <row r="120" spans="1:23" s="25" customFormat="1" ht="15" customHeight="1" x14ac:dyDescent="0.25">
      <c r="A120" s="1">
        <v>1</v>
      </c>
      <c r="B120" s="45" t="s">
        <v>14</v>
      </c>
      <c r="C120" s="83" t="s">
        <v>78</v>
      </c>
      <c r="D120" s="84" t="s">
        <v>24</v>
      </c>
      <c r="E120" s="83" t="s">
        <v>78</v>
      </c>
      <c r="F120" s="84" t="s">
        <v>24</v>
      </c>
      <c r="G120" s="83" t="s">
        <v>78</v>
      </c>
      <c r="H120" s="84" t="s">
        <v>24</v>
      </c>
      <c r="I120" s="83" t="s">
        <v>78</v>
      </c>
      <c r="J120" s="84" t="s">
        <v>24</v>
      </c>
      <c r="K120" s="24">
        <v>107</v>
      </c>
      <c r="L120" s="158" t="s">
        <v>14</v>
      </c>
      <c r="M120" s="46" t="s">
        <v>42</v>
      </c>
      <c r="N120" s="47">
        <f>'Médailles Commandées'!$E$12</f>
        <v>16</v>
      </c>
      <c r="O120" s="48"/>
      <c r="P120" s="47">
        <f>COUNTIF($C$120:$J$143,"Médaille d'Or FDT")</f>
        <v>16</v>
      </c>
      <c r="Q120" s="24" t="str">
        <f t="shared" ref="Q120:Q123" si="5">IF(N120=P120,"OK","KO")</f>
        <v>OK</v>
      </c>
      <c r="S120" s="155">
        <f>SUM(P120:P123)</f>
        <v>96</v>
      </c>
      <c r="T120" s="155" t="str">
        <f>IF(S120='Médailles Commandées'!J12,"OK","KO")</f>
        <v>OK</v>
      </c>
      <c r="U120" s="10"/>
      <c r="V120" s="10"/>
      <c r="W120" s="10"/>
    </row>
    <row r="121" spans="1:23" s="25" customFormat="1" ht="15" customHeight="1" x14ac:dyDescent="0.25">
      <c r="A121" s="63">
        <v>2</v>
      </c>
      <c r="B121" s="45" t="s">
        <v>14</v>
      </c>
      <c r="C121" s="83" t="s">
        <v>78</v>
      </c>
      <c r="D121" s="84" t="s">
        <v>27</v>
      </c>
      <c r="E121" s="83" t="s">
        <v>78</v>
      </c>
      <c r="F121" s="84" t="s">
        <v>27</v>
      </c>
      <c r="G121" s="83" t="s">
        <v>78</v>
      </c>
      <c r="H121" s="84" t="s">
        <v>27</v>
      </c>
      <c r="I121" s="83" t="s">
        <v>78</v>
      </c>
      <c r="J121" s="84" t="s">
        <v>27</v>
      </c>
      <c r="K121" s="24">
        <v>108</v>
      </c>
      <c r="L121" s="159"/>
      <c r="M121" s="49" t="s">
        <v>43</v>
      </c>
      <c r="N121" s="50">
        <f>'Médailles Commandées'!$F$12</f>
        <v>16</v>
      </c>
      <c r="O121" s="48"/>
      <c r="P121" s="50">
        <f>COUNTIF($C$120:$J$143,"Médaille d'Argent FDT")</f>
        <v>16</v>
      </c>
      <c r="Q121" s="24" t="str">
        <f t="shared" si="5"/>
        <v>OK</v>
      </c>
      <c r="S121" s="156"/>
      <c r="T121" s="156"/>
      <c r="U121" s="10"/>
      <c r="V121" s="10"/>
      <c r="W121" s="10"/>
    </row>
    <row r="122" spans="1:23" s="25" customFormat="1" ht="15" customHeight="1" x14ac:dyDescent="0.25">
      <c r="A122" s="1">
        <v>3</v>
      </c>
      <c r="B122" s="45" t="s">
        <v>14</v>
      </c>
      <c r="C122" s="83" t="s">
        <v>78</v>
      </c>
      <c r="D122" s="84" t="s">
        <v>28</v>
      </c>
      <c r="E122" s="83" t="s">
        <v>78</v>
      </c>
      <c r="F122" s="84" t="s">
        <v>28</v>
      </c>
      <c r="G122" s="83" t="s">
        <v>78</v>
      </c>
      <c r="H122" s="84" t="s">
        <v>28</v>
      </c>
      <c r="I122" s="83" t="s">
        <v>78</v>
      </c>
      <c r="J122" s="84" t="s">
        <v>28</v>
      </c>
      <c r="K122" s="24">
        <v>109</v>
      </c>
      <c r="L122" s="159"/>
      <c r="M122" s="49" t="s">
        <v>44</v>
      </c>
      <c r="N122" s="50">
        <f>'Médailles Commandées'!$G$12</f>
        <v>16</v>
      </c>
      <c r="O122" s="48"/>
      <c r="P122" s="50">
        <f>COUNTIF($C$120:$J$143,"Médaille de Bronze FDT")</f>
        <v>16</v>
      </c>
      <c r="Q122" s="24" t="str">
        <f t="shared" si="5"/>
        <v>OK</v>
      </c>
      <c r="S122" s="156"/>
      <c r="T122" s="156"/>
      <c r="U122" s="10"/>
      <c r="V122" s="10"/>
      <c r="W122" s="10"/>
    </row>
    <row r="123" spans="1:23" s="64" customFormat="1" ht="15.75" thickBot="1" x14ac:dyDescent="0.3">
      <c r="A123" s="1">
        <v>4</v>
      </c>
      <c r="B123" s="45" t="s">
        <v>14</v>
      </c>
      <c r="C123" s="83" t="s">
        <v>78</v>
      </c>
      <c r="D123" s="84" t="s">
        <v>29</v>
      </c>
      <c r="E123" s="83" t="s">
        <v>78</v>
      </c>
      <c r="F123" s="84" t="s">
        <v>29</v>
      </c>
      <c r="G123" s="83" t="s">
        <v>78</v>
      </c>
      <c r="H123" s="84" t="s">
        <v>29</v>
      </c>
      <c r="I123" s="83" t="s">
        <v>78</v>
      </c>
      <c r="J123" s="84" t="s">
        <v>29</v>
      </c>
      <c r="K123" s="24">
        <v>110</v>
      </c>
      <c r="L123" s="160"/>
      <c r="M123" s="53" t="s">
        <v>89</v>
      </c>
      <c r="N123" s="54">
        <f>'Médailles Commandées'!$I$12</f>
        <v>48</v>
      </c>
      <c r="O123" s="48"/>
      <c r="P123" s="54">
        <f>COUNTIF($C$120:$J$143,"Diplôme FDT")</f>
        <v>48</v>
      </c>
      <c r="Q123" s="24" t="str">
        <f t="shared" si="5"/>
        <v>OK</v>
      </c>
      <c r="R123" s="25"/>
      <c r="S123" s="157"/>
      <c r="T123" s="157"/>
      <c r="U123" s="10"/>
      <c r="V123" s="10"/>
      <c r="W123" s="10"/>
    </row>
    <row r="124" spans="1:23" s="64" customFormat="1" ht="15" x14ac:dyDescent="0.25">
      <c r="A124" s="63">
        <v>5</v>
      </c>
      <c r="B124" s="45" t="s">
        <v>14</v>
      </c>
      <c r="C124" s="83" t="s">
        <v>79</v>
      </c>
      <c r="D124" s="84" t="s">
        <v>24</v>
      </c>
      <c r="E124" s="83" t="s">
        <v>79</v>
      </c>
      <c r="F124" s="84" t="s">
        <v>24</v>
      </c>
      <c r="G124" s="83" t="s">
        <v>79</v>
      </c>
      <c r="H124" s="84" t="s">
        <v>24</v>
      </c>
      <c r="I124" s="83" t="s">
        <v>79</v>
      </c>
      <c r="J124" s="84" t="s">
        <v>24</v>
      </c>
      <c r="K124" s="24">
        <v>111</v>
      </c>
      <c r="L124" s="151" t="s">
        <v>100</v>
      </c>
      <c r="M124" s="151"/>
      <c r="N124" s="151"/>
      <c r="O124" s="151"/>
      <c r="P124" s="151"/>
      <c r="Q124" s="151"/>
      <c r="R124" s="151"/>
      <c r="S124" s="151"/>
      <c r="T124" s="151"/>
      <c r="U124" s="10"/>
      <c r="V124" s="10"/>
      <c r="W124" s="10"/>
    </row>
    <row r="125" spans="1:23" s="64" customFormat="1" ht="15.75" x14ac:dyDescent="0.25">
      <c r="A125" s="1">
        <v>6</v>
      </c>
      <c r="B125" s="45" t="s">
        <v>14</v>
      </c>
      <c r="C125" s="83" t="s">
        <v>79</v>
      </c>
      <c r="D125" s="84" t="s">
        <v>27</v>
      </c>
      <c r="E125" s="83" t="s">
        <v>79</v>
      </c>
      <c r="F125" s="84" t="s">
        <v>27</v>
      </c>
      <c r="G125" s="83" t="s">
        <v>79</v>
      </c>
      <c r="H125" s="84" t="s">
        <v>27</v>
      </c>
      <c r="I125" s="83" t="s">
        <v>79</v>
      </c>
      <c r="J125" s="84" t="s">
        <v>27</v>
      </c>
      <c r="K125" s="24">
        <v>112</v>
      </c>
      <c r="L125" s="6"/>
      <c r="M125" s="6"/>
      <c r="N125" s="7"/>
      <c r="O125" s="8"/>
      <c r="P125" s="7"/>
      <c r="Q125" s="9"/>
      <c r="R125" s="10"/>
      <c r="S125" s="75"/>
      <c r="T125" s="10"/>
      <c r="U125" s="10"/>
      <c r="V125" s="10"/>
      <c r="W125" s="10"/>
    </row>
    <row r="126" spans="1:23" s="64" customFormat="1" ht="15.75" x14ac:dyDescent="0.25">
      <c r="A126" s="1">
        <v>7</v>
      </c>
      <c r="B126" s="45" t="s">
        <v>14</v>
      </c>
      <c r="C126" s="83" t="s">
        <v>79</v>
      </c>
      <c r="D126" s="84" t="s">
        <v>28</v>
      </c>
      <c r="E126" s="83" t="s">
        <v>79</v>
      </c>
      <c r="F126" s="84" t="s">
        <v>28</v>
      </c>
      <c r="G126" s="83" t="s">
        <v>79</v>
      </c>
      <c r="H126" s="84" t="s">
        <v>28</v>
      </c>
      <c r="I126" s="83" t="s">
        <v>79</v>
      </c>
      <c r="J126" s="84" t="s">
        <v>28</v>
      </c>
      <c r="K126" s="24">
        <v>113</v>
      </c>
      <c r="L126" s="6"/>
      <c r="M126" s="6"/>
      <c r="N126" s="7"/>
      <c r="O126" s="8"/>
      <c r="P126" s="7"/>
      <c r="Q126" s="9"/>
      <c r="R126" s="10"/>
      <c r="S126" s="75"/>
      <c r="T126" s="10"/>
      <c r="U126" s="10"/>
      <c r="V126" s="10"/>
      <c r="W126" s="10"/>
    </row>
    <row r="127" spans="1:23" s="64" customFormat="1" ht="15.75" x14ac:dyDescent="0.25">
      <c r="A127" s="63">
        <v>8</v>
      </c>
      <c r="B127" s="45" t="s">
        <v>14</v>
      </c>
      <c r="C127" s="83" t="s">
        <v>79</v>
      </c>
      <c r="D127" s="84" t="s">
        <v>29</v>
      </c>
      <c r="E127" s="83" t="s">
        <v>79</v>
      </c>
      <c r="F127" s="84" t="s">
        <v>29</v>
      </c>
      <c r="G127" s="83" t="s">
        <v>79</v>
      </c>
      <c r="H127" s="84" t="s">
        <v>29</v>
      </c>
      <c r="I127" s="83" t="s">
        <v>79</v>
      </c>
      <c r="J127" s="84" t="s">
        <v>29</v>
      </c>
      <c r="K127" s="24">
        <v>114</v>
      </c>
      <c r="L127" s="6"/>
      <c r="M127" s="6"/>
      <c r="N127" s="7"/>
      <c r="O127" s="8"/>
      <c r="P127" s="7"/>
      <c r="Q127" s="9"/>
      <c r="R127" s="10"/>
      <c r="S127" s="75"/>
      <c r="T127" s="10"/>
      <c r="U127" s="10"/>
      <c r="V127" s="10"/>
      <c r="W127" s="10"/>
    </row>
    <row r="128" spans="1:23" s="64" customFormat="1" ht="15.75" x14ac:dyDescent="0.25">
      <c r="A128" s="1">
        <v>9</v>
      </c>
      <c r="B128" s="45" t="s">
        <v>14</v>
      </c>
      <c r="C128" s="83" t="s">
        <v>80</v>
      </c>
      <c r="D128" s="84" t="s">
        <v>24</v>
      </c>
      <c r="E128" s="83" t="s">
        <v>80</v>
      </c>
      <c r="F128" s="84" t="s">
        <v>24</v>
      </c>
      <c r="G128" s="83" t="s">
        <v>80</v>
      </c>
      <c r="H128" s="84" t="s">
        <v>24</v>
      </c>
      <c r="I128" s="83" t="s">
        <v>80</v>
      </c>
      <c r="J128" s="84" t="s">
        <v>24</v>
      </c>
      <c r="K128" s="24">
        <v>115</v>
      </c>
      <c r="L128" s="6"/>
      <c r="M128" s="6"/>
      <c r="N128" s="7"/>
      <c r="O128" s="8"/>
      <c r="P128" s="7"/>
      <c r="Q128" s="9"/>
      <c r="R128" s="10"/>
      <c r="S128" s="75"/>
      <c r="T128" s="10"/>
      <c r="U128" s="10"/>
      <c r="V128" s="10"/>
      <c r="W128" s="10"/>
    </row>
    <row r="129" spans="1:23" s="64" customFormat="1" ht="15.75" x14ac:dyDescent="0.25">
      <c r="A129" s="1">
        <v>10</v>
      </c>
      <c r="B129" s="45" t="s">
        <v>14</v>
      </c>
      <c r="C129" s="83" t="s">
        <v>80</v>
      </c>
      <c r="D129" s="84" t="s">
        <v>27</v>
      </c>
      <c r="E129" s="83" t="s">
        <v>80</v>
      </c>
      <c r="F129" s="84" t="s">
        <v>27</v>
      </c>
      <c r="G129" s="83" t="s">
        <v>80</v>
      </c>
      <c r="H129" s="84" t="s">
        <v>27</v>
      </c>
      <c r="I129" s="83" t="s">
        <v>80</v>
      </c>
      <c r="J129" s="84" t="s">
        <v>27</v>
      </c>
      <c r="K129" s="24">
        <v>116</v>
      </c>
      <c r="L129" s="6"/>
      <c r="M129" s="6"/>
      <c r="N129" s="7"/>
      <c r="O129" s="8"/>
      <c r="P129" s="7"/>
      <c r="Q129" s="9"/>
      <c r="R129" s="10"/>
      <c r="S129" s="75"/>
      <c r="T129" s="10"/>
      <c r="U129" s="10"/>
      <c r="V129" s="10"/>
      <c r="W129" s="10"/>
    </row>
    <row r="130" spans="1:23" s="64" customFormat="1" ht="15.75" x14ac:dyDescent="0.25">
      <c r="A130" s="63">
        <v>11</v>
      </c>
      <c r="B130" s="45" t="s">
        <v>14</v>
      </c>
      <c r="C130" s="83" t="s">
        <v>80</v>
      </c>
      <c r="D130" s="84" t="s">
        <v>28</v>
      </c>
      <c r="E130" s="83" t="s">
        <v>80</v>
      </c>
      <c r="F130" s="84" t="s">
        <v>28</v>
      </c>
      <c r="G130" s="83" t="s">
        <v>80</v>
      </c>
      <c r="H130" s="84" t="s">
        <v>28</v>
      </c>
      <c r="I130" s="83" t="s">
        <v>80</v>
      </c>
      <c r="J130" s="84" t="s">
        <v>28</v>
      </c>
      <c r="K130" s="24">
        <v>117</v>
      </c>
      <c r="L130" s="6"/>
      <c r="M130" s="6"/>
      <c r="N130" s="7"/>
      <c r="O130" s="8"/>
      <c r="P130" s="7"/>
      <c r="Q130" s="9"/>
      <c r="R130" s="10"/>
      <c r="S130" s="75"/>
      <c r="T130" s="10"/>
      <c r="U130" s="10"/>
      <c r="V130" s="66"/>
      <c r="W130" s="66"/>
    </row>
    <row r="131" spans="1:23" s="64" customFormat="1" ht="15.75" x14ac:dyDescent="0.25">
      <c r="A131" s="1">
        <v>12</v>
      </c>
      <c r="B131" s="45" t="s">
        <v>14</v>
      </c>
      <c r="C131" s="83" t="s">
        <v>80</v>
      </c>
      <c r="D131" s="84" t="s">
        <v>29</v>
      </c>
      <c r="E131" s="83" t="s">
        <v>80</v>
      </c>
      <c r="F131" s="84" t="s">
        <v>29</v>
      </c>
      <c r="G131" s="83" t="s">
        <v>80</v>
      </c>
      <c r="H131" s="84" t="s">
        <v>29</v>
      </c>
      <c r="I131" s="83" t="s">
        <v>80</v>
      </c>
      <c r="J131" s="84" t="s">
        <v>29</v>
      </c>
      <c r="K131" s="24">
        <v>118</v>
      </c>
      <c r="L131" s="6"/>
      <c r="M131" s="6"/>
      <c r="N131" s="7"/>
      <c r="O131" s="8"/>
      <c r="P131" s="7"/>
      <c r="Q131" s="9"/>
      <c r="R131" s="10"/>
      <c r="S131" s="75"/>
      <c r="T131" s="10"/>
      <c r="U131" s="10"/>
      <c r="V131" s="10"/>
      <c r="W131" s="10"/>
    </row>
    <row r="132" spans="1:23" s="64" customFormat="1" ht="15.75" x14ac:dyDescent="0.25">
      <c r="A132" s="1">
        <v>13</v>
      </c>
      <c r="B132" s="45" t="s">
        <v>14</v>
      </c>
      <c r="C132" s="83" t="s">
        <v>81</v>
      </c>
      <c r="D132" s="84" t="s">
        <v>24</v>
      </c>
      <c r="E132" s="83" t="s">
        <v>81</v>
      </c>
      <c r="F132" s="84" t="s">
        <v>24</v>
      </c>
      <c r="G132" s="83" t="s">
        <v>81</v>
      </c>
      <c r="H132" s="84" t="s">
        <v>24</v>
      </c>
      <c r="I132" s="83" t="s">
        <v>81</v>
      </c>
      <c r="J132" s="84" t="s">
        <v>24</v>
      </c>
      <c r="K132" s="24">
        <v>119</v>
      </c>
      <c r="L132" s="6"/>
      <c r="M132" s="6"/>
      <c r="N132" s="7"/>
      <c r="O132" s="8"/>
      <c r="P132" s="7"/>
      <c r="Q132" s="9"/>
      <c r="R132" s="10"/>
      <c r="S132" s="75"/>
      <c r="T132" s="10"/>
      <c r="U132" s="10"/>
      <c r="V132" s="10"/>
      <c r="W132" s="10"/>
    </row>
    <row r="133" spans="1:23" s="66" customFormat="1" ht="15.75" x14ac:dyDescent="0.25">
      <c r="A133" s="63">
        <v>14</v>
      </c>
      <c r="B133" s="45" t="s">
        <v>14</v>
      </c>
      <c r="C133" s="83" t="s">
        <v>81</v>
      </c>
      <c r="D133" s="84" t="s">
        <v>27</v>
      </c>
      <c r="E133" s="83" t="s">
        <v>81</v>
      </c>
      <c r="F133" s="84" t="s">
        <v>27</v>
      </c>
      <c r="G133" s="83" t="s">
        <v>81</v>
      </c>
      <c r="H133" s="84" t="s">
        <v>27</v>
      </c>
      <c r="I133" s="83" t="s">
        <v>81</v>
      </c>
      <c r="J133" s="84" t="s">
        <v>27</v>
      </c>
      <c r="K133" s="24">
        <v>120</v>
      </c>
      <c r="L133" s="6"/>
      <c r="M133" s="6"/>
      <c r="N133" s="7"/>
      <c r="O133" s="8"/>
      <c r="P133" s="7"/>
      <c r="Q133" s="9"/>
      <c r="R133" s="10"/>
      <c r="S133" s="75"/>
      <c r="T133" s="10"/>
      <c r="V133" s="10"/>
      <c r="W133" s="10"/>
    </row>
    <row r="134" spans="1:23" ht="15.75" x14ac:dyDescent="0.25">
      <c r="A134" s="1">
        <v>15</v>
      </c>
      <c r="B134" s="45" t="s">
        <v>14</v>
      </c>
      <c r="C134" s="83" t="s">
        <v>81</v>
      </c>
      <c r="D134" s="84" t="s">
        <v>28</v>
      </c>
      <c r="E134" s="83" t="s">
        <v>81</v>
      </c>
      <c r="F134" s="84" t="s">
        <v>28</v>
      </c>
      <c r="G134" s="83" t="s">
        <v>81</v>
      </c>
      <c r="H134" s="84" t="s">
        <v>28</v>
      </c>
      <c r="I134" s="83" t="s">
        <v>81</v>
      </c>
      <c r="J134" s="84" t="s">
        <v>28</v>
      </c>
      <c r="K134" s="24">
        <v>121</v>
      </c>
    </row>
    <row r="135" spans="1:23" ht="15.75" x14ac:dyDescent="0.25">
      <c r="A135" s="1">
        <v>16</v>
      </c>
      <c r="B135" s="45" t="s">
        <v>14</v>
      </c>
      <c r="C135" s="83" t="s">
        <v>81</v>
      </c>
      <c r="D135" s="84" t="s">
        <v>29</v>
      </c>
      <c r="E135" s="83" t="s">
        <v>81</v>
      </c>
      <c r="F135" s="84" t="s">
        <v>29</v>
      </c>
      <c r="G135" s="83" t="s">
        <v>81</v>
      </c>
      <c r="H135" s="84" t="s">
        <v>29</v>
      </c>
      <c r="I135" s="83" t="s">
        <v>81</v>
      </c>
      <c r="J135" s="84" t="s">
        <v>29</v>
      </c>
      <c r="K135" s="24">
        <v>122</v>
      </c>
    </row>
    <row r="136" spans="1:23" ht="15.75" x14ac:dyDescent="0.25">
      <c r="A136" s="63">
        <v>17</v>
      </c>
      <c r="B136" s="45" t="s">
        <v>14</v>
      </c>
      <c r="C136" s="83" t="s">
        <v>81</v>
      </c>
      <c r="D136" s="84" t="s">
        <v>24</v>
      </c>
      <c r="E136" s="83" t="s">
        <v>81</v>
      </c>
      <c r="F136" s="84" t="s">
        <v>24</v>
      </c>
      <c r="G136" s="83" t="s">
        <v>81</v>
      </c>
      <c r="H136" s="84" t="s">
        <v>24</v>
      </c>
      <c r="I136" s="83" t="s">
        <v>81</v>
      </c>
      <c r="J136" s="84" t="s">
        <v>24</v>
      </c>
      <c r="K136" s="24">
        <v>123</v>
      </c>
    </row>
    <row r="137" spans="1:23" ht="15.75" x14ac:dyDescent="0.25">
      <c r="A137" s="1">
        <v>18</v>
      </c>
      <c r="B137" s="45" t="s">
        <v>14</v>
      </c>
      <c r="C137" s="83" t="s">
        <v>81</v>
      </c>
      <c r="D137" s="84" t="s">
        <v>27</v>
      </c>
      <c r="E137" s="83" t="s">
        <v>81</v>
      </c>
      <c r="F137" s="84" t="s">
        <v>27</v>
      </c>
      <c r="G137" s="83" t="s">
        <v>81</v>
      </c>
      <c r="H137" s="84" t="s">
        <v>27</v>
      </c>
      <c r="I137" s="83" t="s">
        <v>81</v>
      </c>
      <c r="J137" s="84" t="s">
        <v>27</v>
      </c>
      <c r="K137" s="24">
        <v>124</v>
      </c>
    </row>
    <row r="138" spans="1:23" ht="15.75" x14ac:dyDescent="0.25">
      <c r="A138" s="1">
        <v>19</v>
      </c>
      <c r="B138" s="45" t="s">
        <v>14</v>
      </c>
      <c r="C138" s="83" t="s">
        <v>81</v>
      </c>
      <c r="D138" s="84" t="s">
        <v>28</v>
      </c>
      <c r="E138" s="83" t="s">
        <v>81</v>
      </c>
      <c r="F138" s="84" t="s">
        <v>28</v>
      </c>
      <c r="G138" s="83" t="s">
        <v>81</v>
      </c>
      <c r="H138" s="84" t="s">
        <v>28</v>
      </c>
      <c r="I138" s="83" t="s">
        <v>81</v>
      </c>
      <c r="J138" s="84" t="s">
        <v>28</v>
      </c>
      <c r="K138" s="24">
        <v>125</v>
      </c>
    </row>
    <row r="139" spans="1:23" ht="15.75" x14ac:dyDescent="0.25">
      <c r="A139" s="63">
        <v>20</v>
      </c>
      <c r="B139" s="45" t="s">
        <v>14</v>
      </c>
      <c r="C139" s="83" t="s">
        <v>81</v>
      </c>
      <c r="D139" s="84" t="s">
        <v>29</v>
      </c>
      <c r="E139" s="83" t="s">
        <v>81</v>
      </c>
      <c r="F139" s="84" t="s">
        <v>29</v>
      </c>
      <c r="G139" s="83" t="s">
        <v>81</v>
      </c>
      <c r="H139" s="84" t="s">
        <v>29</v>
      </c>
      <c r="I139" s="83" t="s">
        <v>81</v>
      </c>
      <c r="J139" s="84" t="s">
        <v>29</v>
      </c>
      <c r="K139" s="24">
        <v>126</v>
      </c>
    </row>
    <row r="140" spans="1:23" ht="15.75" x14ac:dyDescent="0.25">
      <c r="A140" s="1">
        <v>21</v>
      </c>
      <c r="B140" s="45" t="s">
        <v>14</v>
      </c>
      <c r="C140" s="83" t="s">
        <v>81</v>
      </c>
      <c r="D140" s="84" t="s">
        <v>24</v>
      </c>
      <c r="E140" s="83" t="s">
        <v>81</v>
      </c>
      <c r="F140" s="84" t="s">
        <v>24</v>
      </c>
      <c r="G140" s="83" t="s">
        <v>81</v>
      </c>
      <c r="H140" s="84" t="s">
        <v>24</v>
      </c>
      <c r="I140" s="83" t="s">
        <v>81</v>
      </c>
      <c r="J140" s="84" t="s">
        <v>24</v>
      </c>
      <c r="K140" s="24">
        <v>127</v>
      </c>
    </row>
    <row r="141" spans="1:23" ht="15.75" x14ac:dyDescent="0.25">
      <c r="A141" s="1">
        <v>22</v>
      </c>
      <c r="B141" s="45" t="s">
        <v>14</v>
      </c>
      <c r="C141" s="83" t="s">
        <v>81</v>
      </c>
      <c r="D141" s="84" t="s">
        <v>27</v>
      </c>
      <c r="E141" s="83" t="s">
        <v>81</v>
      </c>
      <c r="F141" s="84" t="s">
        <v>27</v>
      </c>
      <c r="G141" s="83" t="s">
        <v>81</v>
      </c>
      <c r="H141" s="84" t="s">
        <v>27</v>
      </c>
      <c r="I141" s="83" t="s">
        <v>81</v>
      </c>
      <c r="J141" s="84" t="s">
        <v>27</v>
      </c>
      <c r="K141" s="24">
        <v>128</v>
      </c>
    </row>
    <row r="142" spans="1:23" ht="15.75" x14ac:dyDescent="0.25">
      <c r="A142" s="63">
        <v>23</v>
      </c>
      <c r="B142" s="45" t="s">
        <v>14</v>
      </c>
      <c r="C142" s="83" t="s">
        <v>81</v>
      </c>
      <c r="D142" s="84" t="s">
        <v>28</v>
      </c>
      <c r="E142" s="83" t="s">
        <v>81</v>
      </c>
      <c r="F142" s="84" t="s">
        <v>28</v>
      </c>
      <c r="G142" s="83" t="s">
        <v>81</v>
      </c>
      <c r="H142" s="84" t="s">
        <v>28</v>
      </c>
      <c r="I142" s="83" t="s">
        <v>81</v>
      </c>
      <c r="J142" s="84" t="s">
        <v>28</v>
      </c>
      <c r="K142" s="24">
        <v>129</v>
      </c>
    </row>
    <row r="143" spans="1:23" ht="16.5" thickBot="1" x14ac:dyDescent="0.3">
      <c r="A143" s="1">
        <v>24</v>
      </c>
      <c r="B143" s="45" t="s">
        <v>14</v>
      </c>
      <c r="C143" s="83" t="s">
        <v>81</v>
      </c>
      <c r="D143" s="84" t="s">
        <v>29</v>
      </c>
      <c r="E143" s="83" t="s">
        <v>81</v>
      </c>
      <c r="F143" s="84" t="s">
        <v>29</v>
      </c>
      <c r="G143" s="83" t="s">
        <v>81</v>
      </c>
      <c r="H143" s="84" t="s">
        <v>29</v>
      </c>
      <c r="I143" s="83" t="s">
        <v>81</v>
      </c>
      <c r="J143" s="84" t="s">
        <v>29</v>
      </c>
      <c r="K143" s="24">
        <v>130</v>
      </c>
    </row>
    <row r="144" spans="1:23" ht="15" x14ac:dyDescent="0.25">
      <c r="A144" s="1">
        <v>1</v>
      </c>
      <c r="B144" s="131" t="s">
        <v>48</v>
      </c>
      <c r="C144" s="83" t="s">
        <v>102</v>
      </c>
      <c r="D144" s="84" t="s">
        <v>24</v>
      </c>
      <c r="E144" s="82" t="s">
        <v>113</v>
      </c>
      <c r="F144" s="81" t="s">
        <v>24</v>
      </c>
      <c r="G144" s="82" t="s">
        <v>101</v>
      </c>
      <c r="H144" s="81" t="s">
        <v>24</v>
      </c>
      <c r="I144" s="82" t="s">
        <v>90</v>
      </c>
      <c r="J144" s="81" t="s">
        <v>24</v>
      </c>
      <c r="K144" s="24">
        <v>1</v>
      </c>
      <c r="L144" s="152" t="s">
        <v>48</v>
      </c>
      <c r="M144" s="46" t="s">
        <v>16</v>
      </c>
      <c r="N144" s="47">
        <f>'Médailles Commandées'!$E$14</f>
        <v>4</v>
      </c>
      <c r="O144" s="48"/>
      <c r="P144" s="47">
        <v>4</v>
      </c>
      <c r="Q144" s="24" t="str">
        <f t="shared" ref="Q144:Q147" si="6">IF(N144=P144,"OK","KO")</f>
        <v>OK</v>
      </c>
      <c r="R144" s="25"/>
      <c r="S144" s="155">
        <f>SUM(P144:P148)</f>
        <v>16</v>
      </c>
      <c r="T144" s="155" t="str">
        <f>IF(S144='Médailles Commandées'!J14,"OK","KO")</f>
        <v>OK</v>
      </c>
    </row>
    <row r="145" spans="1:20" ht="15" x14ac:dyDescent="0.25">
      <c r="A145" s="1">
        <v>2</v>
      </c>
      <c r="B145" s="131" t="s">
        <v>48</v>
      </c>
      <c r="C145" s="83" t="s">
        <v>102</v>
      </c>
      <c r="D145" s="84" t="s">
        <v>27</v>
      </c>
      <c r="E145" s="82" t="s">
        <v>113</v>
      </c>
      <c r="F145" s="81" t="s">
        <v>27</v>
      </c>
      <c r="G145" s="82" t="s">
        <v>101</v>
      </c>
      <c r="H145" s="81" t="s">
        <v>27</v>
      </c>
      <c r="I145" s="82" t="s">
        <v>91</v>
      </c>
      <c r="J145" s="81" t="s">
        <v>27</v>
      </c>
      <c r="K145" s="24">
        <v>2</v>
      </c>
      <c r="L145" s="153"/>
      <c r="M145" s="49" t="s">
        <v>17</v>
      </c>
      <c r="N145" s="50">
        <f>'Médailles Commandées'!$F$14</f>
        <v>4</v>
      </c>
      <c r="O145" s="48"/>
      <c r="P145" s="50">
        <v>4</v>
      </c>
      <c r="Q145" s="24" t="str">
        <f t="shared" si="6"/>
        <v>OK</v>
      </c>
      <c r="R145" s="25"/>
      <c r="S145" s="156"/>
      <c r="T145" s="156"/>
    </row>
    <row r="146" spans="1:20" ht="15" x14ac:dyDescent="0.25">
      <c r="A146" s="1">
        <v>3</v>
      </c>
      <c r="B146" s="131" t="s">
        <v>48</v>
      </c>
      <c r="C146" s="83" t="s">
        <v>102</v>
      </c>
      <c r="D146" s="84" t="s">
        <v>28</v>
      </c>
      <c r="E146" s="82" t="s">
        <v>113</v>
      </c>
      <c r="F146" s="81" t="s">
        <v>28</v>
      </c>
      <c r="G146" s="82" t="s">
        <v>101</v>
      </c>
      <c r="H146" s="81" t="s">
        <v>28</v>
      </c>
      <c r="I146" s="82" t="s">
        <v>92</v>
      </c>
      <c r="J146" s="81" t="s">
        <v>28</v>
      </c>
      <c r="K146" s="24">
        <v>3</v>
      </c>
      <c r="L146" s="153"/>
      <c r="M146" s="49" t="s">
        <v>18</v>
      </c>
      <c r="N146" s="50">
        <f>'Médailles Commandées'!$G$14</f>
        <v>4</v>
      </c>
      <c r="O146" s="48"/>
      <c r="P146" s="50">
        <v>4</v>
      </c>
      <c r="Q146" s="24" t="str">
        <f t="shared" si="6"/>
        <v>OK</v>
      </c>
      <c r="R146" s="25"/>
      <c r="S146" s="156"/>
      <c r="T146" s="156"/>
    </row>
    <row r="147" spans="1:20" ht="15.75" thickBot="1" x14ac:dyDescent="0.3">
      <c r="A147" s="1">
        <v>4</v>
      </c>
      <c r="B147" s="131" t="s">
        <v>48</v>
      </c>
      <c r="C147" s="83" t="s">
        <v>102</v>
      </c>
      <c r="D147" s="84" t="s">
        <v>29</v>
      </c>
      <c r="E147" s="82" t="s">
        <v>113</v>
      </c>
      <c r="F147" s="81" t="s">
        <v>29</v>
      </c>
      <c r="G147" s="82" t="s">
        <v>101</v>
      </c>
      <c r="H147" s="81" t="s">
        <v>29</v>
      </c>
      <c r="I147" s="82" t="s">
        <v>93</v>
      </c>
      <c r="J147" s="81" t="s">
        <v>29</v>
      </c>
      <c r="K147" s="24">
        <v>4</v>
      </c>
      <c r="L147" s="154"/>
      <c r="M147" s="53" t="s">
        <v>19</v>
      </c>
      <c r="N147" s="54">
        <f>'Médailles Commandées'!$H$14</f>
        <v>4</v>
      </c>
      <c r="O147" s="48"/>
      <c r="P147" s="54">
        <v>4</v>
      </c>
      <c r="Q147" s="24" t="str">
        <f t="shared" si="6"/>
        <v>OK</v>
      </c>
      <c r="R147" s="25"/>
      <c r="S147" s="157"/>
      <c r="T147" s="157"/>
    </row>
    <row r="148" spans="1:20" ht="15.75" x14ac:dyDescent="0.25">
      <c r="B148" s="131" t="s">
        <v>48</v>
      </c>
      <c r="C148" s="133" t="s">
        <v>49</v>
      </c>
      <c r="D148" s="84" t="s">
        <v>24</v>
      </c>
      <c r="E148" s="82"/>
      <c r="F148" s="81"/>
      <c r="G148" s="82"/>
      <c r="H148" s="81"/>
      <c r="I148" s="82"/>
      <c r="J148" s="81"/>
    </row>
    <row r="149" spans="1:20" ht="16.5" thickBot="1" x14ac:dyDescent="0.3">
      <c r="B149" s="131" t="s">
        <v>48</v>
      </c>
      <c r="C149" s="133" t="s">
        <v>51</v>
      </c>
      <c r="D149" s="84" t="s">
        <v>27</v>
      </c>
      <c r="E149" s="129"/>
      <c r="F149" s="130"/>
      <c r="G149" s="129"/>
      <c r="H149" s="130"/>
      <c r="I149" s="129"/>
      <c r="J149" s="130"/>
      <c r="S149" s="75">
        <f>S120+S105+S84+S75+S55+S17+S144</f>
        <v>536</v>
      </c>
    </row>
    <row r="150" spans="1:20" ht="15.75" x14ac:dyDescent="0.25">
      <c r="B150" s="131" t="s">
        <v>48</v>
      </c>
      <c r="C150" s="133" t="s">
        <v>50</v>
      </c>
      <c r="D150" s="84" t="s">
        <v>28</v>
      </c>
      <c r="E150" s="66"/>
      <c r="F150" s="1"/>
      <c r="G150" s="66"/>
      <c r="H150" s="1"/>
      <c r="I150" s="66"/>
      <c r="J150" s="1"/>
    </row>
    <row r="151" spans="1:20" ht="15.75" x14ac:dyDescent="0.25">
      <c r="B151" s="131" t="s">
        <v>48</v>
      </c>
      <c r="C151" s="133" t="s">
        <v>50</v>
      </c>
      <c r="D151" s="84" t="s">
        <v>29</v>
      </c>
      <c r="L151" s="65"/>
      <c r="M151" s="65"/>
      <c r="N151" s="72"/>
      <c r="O151" s="73"/>
      <c r="P151" s="72"/>
      <c r="Q151" s="74"/>
      <c r="R151" s="66"/>
      <c r="S151" s="79"/>
      <c r="T151" s="66"/>
    </row>
    <row r="152" spans="1:20" ht="15.75" x14ac:dyDescent="0.25">
      <c r="B152" s="67"/>
      <c r="C152" s="85"/>
      <c r="D152" s="81"/>
    </row>
    <row r="153" spans="1:20" ht="16.5" thickBot="1" x14ac:dyDescent="0.3">
      <c r="B153" s="68"/>
      <c r="C153" s="129"/>
      <c r="D153" s="130"/>
    </row>
    <row r="154" spans="1:20" ht="15.75" x14ac:dyDescent="0.25">
      <c r="B154" s="69"/>
      <c r="C154" s="70"/>
      <c r="D154" s="1"/>
    </row>
  </sheetData>
  <mergeCells count="43">
    <mergeCell ref="C2:J2"/>
    <mergeCell ref="V2:W3"/>
    <mergeCell ref="C4:D5"/>
    <mergeCell ref="E4:F5"/>
    <mergeCell ref="G4:H5"/>
    <mergeCell ref="I4:J5"/>
    <mergeCell ref="V4:W4"/>
    <mergeCell ref="V5:W5"/>
    <mergeCell ref="V6:W6"/>
    <mergeCell ref="V7:W7"/>
    <mergeCell ref="V8:W8"/>
    <mergeCell ref="V9:W9"/>
    <mergeCell ref="M10:T11"/>
    <mergeCell ref="V10:W10"/>
    <mergeCell ref="V11:W11"/>
    <mergeCell ref="L84:L88"/>
    <mergeCell ref="S84:S88"/>
    <mergeCell ref="T84:T88"/>
    <mergeCell ref="P13:Q13"/>
    <mergeCell ref="L17:L22"/>
    <mergeCell ref="S17:S22"/>
    <mergeCell ref="T17:T22"/>
    <mergeCell ref="L23:T23"/>
    <mergeCell ref="L55:L58"/>
    <mergeCell ref="S55:S58"/>
    <mergeCell ref="T55:T58"/>
    <mergeCell ref="L59:T59"/>
    <mergeCell ref="L75:L78"/>
    <mergeCell ref="S75:S78"/>
    <mergeCell ref="T75:T78"/>
    <mergeCell ref="L79:T79"/>
    <mergeCell ref="L124:T124"/>
    <mergeCell ref="L144:L147"/>
    <mergeCell ref="S144:S147"/>
    <mergeCell ref="T144:T147"/>
    <mergeCell ref="L89:T89"/>
    <mergeCell ref="L105:L108"/>
    <mergeCell ref="S105:S108"/>
    <mergeCell ref="T105:T108"/>
    <mergeCell ref="L109:T109"/>
    <mergeCell ref="L120:L123"/>
    <mergeCell ref="S120:S123"/>
    <mergeCell ref="T120:T123"/>
  </mergeCells>
  <conditionalFormatting sqref="T67 T74 Q17:Q22 Q80 Q105:Q108 T105 Q67:Q74 Q95:Q102 T95:T102">
    <cfRule type="cellIs" dxfId="171" priority="46" operator="equal">
      <formula>"KO"</formula>
    </cfRule>
    <cfRule type="cellIs" dxfId="170" priority="47" operator="equal">
      <formula>"OK"</formula>
    </cfRule>
  </conditionalFormatting>
  <conditionalFormatting sqref="Q55:Q58">
    <cfRule type="cellIs" dxfId="169" priority="44" operator="equal">
      <formula>"KO"</formula>
    </cfRule>
    <cfRule type="cellIs" dxfId="168" priority="45" operator="equal">
      <formula>"OK"</formula>
    </cfRule>
  </conditionalFormatting>
  <conditionalFormatting sqref="Q61:Q65">
    <cfRule type="cellIs" dxfId="167" priority="42" operator="equal">
      <formula>"KO"</formula>
    </cfRule>
    <cfRule type="cellIs" dxfId="166" priority="43" operator="equal">
      <formula>"OK"</formula>
    </cfRule>
  </conditionalFormatting>
  <conditionalFormatting sqref="T61:T64 T55:T58 T17">
    <cfRule type="cellIs" dxfId="165" priority="39" operator="equal">
      <formula>"KO"</formula>
    </cfRule>
    <cfRule type="cellIs" dxfId="164" priority="40" operator="equal">
      <formula>"OK"</formula>
    </cfRule>
  </conditionalFormatting>
  <conditionalFormatting sqref="C153 G144:G147 I144:I145 J84:J86 H84:H86 F84:F86 D84:D86 D14:D50 F14:F50 H14:H50 J14:J50 D55:D81 F55:F81 H55:H81 J55:J81 E148:J148 E144:E147 D144:D152">
    <cfRule type="cellIs" dxfId="163" priority="41" operator="equal">
      <formula>"*-*-*-"</formula>
    </cfRule>
  </conditionalFormatting>
  <conditionalFormatting sqref="I149 G149 E149">
    <cfRule type="cellIs" dxfId="162" priority="38" operator="equal">
      <formula>"*-*-*-"</formula>
    </cfRule>
  </conditionalFormatting>
  <conditionalFormatting sqref="Q75:Q78">
    <cfRule type="cellIs" dxfId="161" priority="36" operator="equal">
      <formula>"KO"</formula>
    </cfRule>
    <cfRule type="cellIs" dxfId="160" priority="37" operator="equal">
      <formula>"OK"</formula>
    </cfRule>
  </conditionalFormatting>
  <conditionalFormatting sqref="T75:T78">
    <cfRule type="cellIs" dxfId="159" priority="34" operator="equal">
      <formula>"KO"</formula>
    </cfRule>
    <cfRule type="cellIs" dxfId="158" priority="35" operator="equal">
      <formula>"OK"</formula>
    </cfRule>
  </conditionalFormatting>
  <conditionalFormatting sqref="Q90:Q94 Q84:Q88">
    <cfRule type="cellIs" dxfId="157" priority="32" operator="equal">
      <formula>"KO"</formula>
    </cfRule>
    <cfRule type="cellIs" dxfId="156" priority="33" operator="equal">
      <formula>"OK"</formula>
    </cfRule>
  </conditionalFormatting>
  <conditionalFormatting sqref="T84 T90:T94">
    <cfRule type="cellIs" dxfId="155" priority="30" operator="equal">
      <formula>"KO"</formula>
    </cfRule>
    <cfRule type="cellIs" dxfId="154" priority="31" operator="equal">
      <formula>"OK"</formula>
    </cfRule>
  </conditionalFormatting>
  <conditionalFormatting sqref="Q120:Q123">
    <cfRule type="cellIs" dxfId="153" priority="28" operator="equal">
      <formula>"KO"</formula>
    </cfRule>
    <cfRule type="cellIs" dxfId="152" priority="29" operator="equal">
      <formula>"OK"</formula>
    </cfRule>
  </conditionalFormatting>
  <conditionalFormatting sqref="T120:T123">
    <cfRule type="cellIs" dxfId="151" priority="26" operator="equal">
      <formula>"KO"</formula>
    </cfRule>
    <cfRule type="cellIs" dxfId="150" priority="27" operator="equal">
      <formula>"OK"</formula>
    </cfRule>
  </conditionalFormatting>
  <conditionalFormatting sqref="J144:J147 H144:H147 F144:F147">
    <cfRule type="cellIs" dxfId="149" priority="24" operator="equal">
      <formula>"*-*-*-"</formula>
    </cfRule>
  </conditionalFormatting>
  <conditionalFormatting sqref="I146:I147">
    <cfRule type="cellIs" dxfId="148" priority="25" operator="equal">
      <formula>"*-*-*-"</formula>
    </cfRule>
  </conditionalFormatting>
  <conditionalFormatting sqref="D116:D119">
    <cfRule type="cellIs" dxfId="147" priority="22" operator="equal">
      <formula>"*-*-*-"</formula>
    </cfRule>
  </conditionalFormatting>
  <conditionalFormatting sqref="J120:J131 H120:H131 F120:F131 D120:D131 D140:D143 F140:F143 H140:H143 J140:J143">
    <cfRule type="cellIs" dxfId="146" priority="21" operator="equal">
      <formula>"*-*-*-"</formula>
    </cfRule>
  </conditionalFormatting>
  <conditionalFormatting sqref="D87:D88 F87:F88 H87:H88 J87:J88">
    <cfRule type="cellIs" dxfId="145" priority="20" operator="equal">
      <formula>"*-*-*-"</formula>
    </cfRule>
  </conditionalFormatting>
  <conditionalFormatting sqref="D89:D90 F89:F90 H89:H90 J89:J90">
    <cfRule type="cellIs" dxfId="144" priority="19" operator="equal">
      <formula>"*-*-*-"</formula>
    </cfRule>
  </conditionalFormatting>
  <conditionalFormatting sqref="D95:D98 F95:F98 H95:H98 J95:J98">
    <cfRule type="cellIs" dxfId="143" priority="18" operator="equal">
      <formula>"*-*-*-"</formula>
    </cfRule>
  </conditionalFormatting>
  <conditionalFormatting sqref="D99:D102 F99:F102 H99:H102 J99:J102">
    <cfRule type="cellIs" dxfId="142" priority="17" operator="equal">
      <formula>"*-*-*-"</formula>
    </cfRule>
  </conditionalFormatting>
  <conditionalFormatting sqref="D103:D104">
    <cfRule type="cellIs" dxfId="141" priority="16" operator="equal">
      <formula>"*-*-*-"</formula>
    </cfRule>
  </conditionalFormatting>
  <conditionalFormatting sqref="F103:F104">
    <cfRule type="cellIs" dxfId="140" priority="15" operator="equal">
      <formula>"*-*-*-"</formula>
    </cfRule>
  </conditionalFormatting>
  <conditionalFormatting sqref="H103:H104">
    <cfRule type="cellIs" dxfId="139" priority="14" operator="equal">
      <formula>"*-*-*-"</formula>
    </cfRule>
  </conditionalFormatting>
  <conditionalFormatting sqref="J103:J104">
    <cfRule type="cellIs" dxfId="138" priority="13" operator="equal">
      <formula>"*-*-*-"</formula>
    </cfRule>
  </conditionalFormatting>
  <conditionalFormatting sqref="J108:J111 H108:H111 F108:F111">
    <cfRule type="cellIs" dxfId="137" priority="12" operator="equal">
      <formula>"*-*-*-"</formula>
    </cfRule>
  </conditionalFormatting>
  <conditionalFormatting sqref="D108:D111">
    <cfRule type="cellIs" dxfId="136" priority="11" operator="equal">
      <formula>"*-*-*-"</formula>
    </cfRule>
  </conditionalFormatting>
  <conditionalFormatting sqref="J112:J115 H112:H115 F112:F115">
    <cfRule type="cellIs" dxfId="135" priority="10" operator="equal">
      <formula>"*-*-*-"</formula>
    </cfRule>
  </conditionalFormatting>
  <conditionalFormatting sqref="D112:D115">
    <cfRule type="cellIs" dxfId="134" priority="9" operator="equal">
      <formula>"*-*-*-"</formula>
    </cfRule>
  </conditionalFormatting>
  <conditionalFormatting sqref="D132:D135 F132:F135 H132:H135 J132:J135">
    <cfRule type="cellIs" dxfId="133" priority="8" operator="equal">
      <formula>"*-*-*-"</formula>
    </cfRule>
  </conditionalFormatting>
  <conditionalFormatting sqref="D91:D94 F91:F94 H91:H94 J91:J94 D105:D107 F105:F107 H105:H107 J105:J107 J116:J119 H116:H119 F116:F119">
    <cfRule type="cellIs" dxfId="132" priority="23" operator="equal">
      <formula>"*-*-*-"</formula>
    </cfRule>
  </conditionalFormatting>
  <conditionalFormatting sqref="D136:D139 F136:F139 H136:H139 J136:J139">
    <cfRule type="cellIs" dxfId="131" priority="7" operator="equal">
      <formula>"*-*-*-"</formula>
    </cfRule>
  </conditionalFormatting>
  <conditionalFormatting sqref="D82:D83 F82:F83 H82:H83 J82:J83">
    <cfRule type="cellIs" dxfId="130" priority="6" operator="equal">
      <formula>"*-*-*-"</formula>
    </cfRule>
  </conditionalFormatting>
  <conditionalFormatting sqref="Q144:Q147">
    <cfRule type="cellIs" dxfId="129" priority="4" operator="equal">
      <formula>"KO"</formula>
    </cfRule>
    <cfRule type="cellIs" dxfId="128" priority="5" operator="equal">
      <formula>"OK"</formula>
    </cfRule>
  </conditionalFormatting>
  <conditionalFormatting sqref="T144:T147">
    <cfRule type="cellIs" dxfId="127" priority="2" operator="equal">
      <formula>"KO"</formula>
    </cfRule>
    <cfRule type="cellIs" dxfId="126" priority="3" operator="equal">
      <formula>"OK"</formula>
    </cfRule>
  </conditionalFormatting>
  <conditionalFormatting sqref="D51:D54 F51:F54 H51:H54 J51:J54">
    <cfRule type="cellIs" dxfId="125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154"/>
  <sheetViews>
    <sheetView tabSelected="1" workbookViewId="0">
      <pane ySplit="13" topLeftCell="A14" activePane="bottomLeft" state="frozenSplit"/>
      <selection pane="bottomLeft" activeCell="A14" sqref="A14"/>
    </sheetView>
  </sheetViews>
  <sheetFormatPr baseColWidth="10" defaultColWidth="11.42578125" defaultRowHeight="18" x14ac:dyDescent="0.25"/>
  <cols>
    <col min="1" max="1" width="2.7109375" style="1" bestFit="1" customWidth="1"/>
    <col min="2" max="2" width="7.7109375" style="2" customWidth="1"/>
    <col min="3" max="3" width="32.7109375" style="71" customWidth="1"/>
    <col min="4" max="4" width="11.7109375" style="64" bestFit="1" customWidth="1"/>
    <col min="5" max="5" width="4.28515625" style="64" customWidth="1"/>
    <col min="6" max="6" width="7.7109375" style="64" customWidth="1"/>
    <col min="7" max="7" width="40.85546875" style="10" bestFit="1" customWidth="1"/>
    <col min="8" max="8" width="11.7109375" style="64" bestFit="1" customWidth="1"/>
    <col min="9" max="9" width="4.28515625" style="64" customWidth="1"/>
    <col min="10" max="10" width="7.7109375" style="64" customWidth="1"/>
    <col min="11" max="11" width="33.42578125" style="10" bestFit="1" customWidth="1"/>
    <col min="12" max="12" width="11.7109375" style="64" bestFit="1" customWidth="1"/>
    <col min="13" max="13" width="4.28515625" style="64" customWidth="1"/>
    <col min="14" max="14" width="7.7109375" style="64" customWidth="1"/>
    <col min="15" max="15" width="36.42578125" style="10" bestFit="1" customWidth="1"/>
    <col min="16" max="16" width="11.7109375" style="64" bestFit="1" customWidth="1"/>
    <col min="17" max="17" width="4.28515625" style="64" customWidth="1"/>
    <col min="18" max="18" width="2.7109375" style="10" customWidth="1"/>
    <col min="19" max="19" width="7.5703125" style="10" bestFit="1" customWidth="1"/>
    <col min="20" max="20" width="40.85546875" style="10" bestFit="1" customWidth="1"/>
    <col min="21" max="21" width="11.7109375" style="10" bestFit="1" customWidth="1"/>
    <col min="22" max="22" width="42.5703125" style="43" bestFit="1" customWidth="1"/>
    <col min="23" max="23" width="5.42578125" style="196" bestFit="1" customWidth="1"/>
    <col min="24" max="16384" width="11.42578125" style="10"/>
  </cols>
  <sheetData>
    <row r="1" spans="1:23" ht="5.0999999999999996" customHeight="1" thickBot="1" x14ac:dyDescent="0.3">
      <c r="C1" s="3"/>
      <c r="D1" s="4"/>
      <c r="E1" s="4"/>
      <c r="F1" s="4"/>
      <c r="G1" s="5"/>
      <c r="H1" s="4"/>
      <c r="I1" s="4"/>
      <c r="J1" s="4"/>
      <c r="K1" s="5"/>
      <c r="L1" s="4"/>
      <c r="M1" s="4"/>
      <c r="N1" s="4"/>
      <c r="O1" s="5"/>
      <c r="P1" s="4"/>
      <c r="Q1" s="4"/>
    </row>
    <row r="2" spans="1:23" ht="30" customHeight="1" thickBot="1" x14ac:dyDescent="0.3">
      <c r="C2" s="174" t="s">
        <v>105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  <c r="Q2" s="145"/>
    </row>
    <row r="3" spans="1:23" s="17" customFormat="1" ht="5.0999999999999996" customHeight="1" thickBot="1" x14ac:dyDescent="0.3">
      <c r="A3" s="13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V3" s="43"/>
      <c r="W3" s="203"/>
    </row>
    <row r="4" spans="1:23" s="17" customFormat="1" ht="15" customHeight="1" x14ac:dyDescent="0.25">
      <c r="A4" s="13"/>
      <c r="B4" s="140"/>
      <c r="C4" s="181" t="s">
        <v>106</v>
      </c>
      <c r="D4" s="182"/>
      <c r="E4" s="145"/>
      <c r="F4" s="140"/>
      <c r="G4" s="181" t="s">
        <v>107</v>
      </c>
      <c r="H4" s="182"/>
      <c r="I4" s="145"/>
      <c r="J4" s="140"/>
      <c r="K4" s="181" t="s">
        <v>108</v>
      </c>
      <c r="L4" s="182"/>
      <c r="M4" s="145"/>
      <c r="N4" s="140"/>
      <c r="O4" s="181" t="s">
        <v>109</v>
      </c>
      <c r="P4" s="182"/>
      <c r="Q4" s="145"/>
      <c r="S4" s="144"/>
      <c r="T4" s="9"/>
      <c r="V4" s="43"/>
      <c r="W4" s="43"/>
    </row>
    <row r="5" spans="1:23" s="17" customFormat="1" ht="15" customHeight="1" thickBot="1" x14ac:dyDescent="0.3">
      <c r="A5" s="13"/>
      <c r="B5" s="141"/>
      <c r="C5" s="183"/>
      <c r="D5" s="184"/>
      <c r="E5" s="145"/>
      <c r="F5" s="141"/>
      <c r="G5" s="183"/>
      <c r="H5" s="184"/>
      <c r="I5" s="145"/>
      <c r="J5" s="141"/>
      <c r="K5" s="183"/>
      <c r="L5" s="184"/>
      <c r="M5" s="145"/>
      <c r="N5" s="141"/>
      <c r="O5" s="183"/>
      <c r="P5" s="184"/>
      <c r="Q5" s="145"/>
      <c r="S5" s="144"/>
      <c r="T5" s="9"/>
      <c r="V5" s="43"/>
      <c r="W5" s="43"/>
    </row>
    <row r="6" spans="1:23" s="17" customFormat="1" ht="15" customHeight="1" x14ac:dyDescent="0.25">
      <c r="A6" s="13"/>
      <c r="B6" s="142"/>
      <c r="C6" s="18" t="s">
        <v>26</v>
      </c>
      <c r="D6" s="19">
        <f>COUNTIF($D$14:$D$151,"*-*-*-*")</f>
        <v>5</v>
      </c>
      <c r="E6" s="146"/>
      <c r="F6" s="142"/>
      <c r="G6" s="18" t="s">
        <v>26</v>
      </c>
      <c r="H6" s="19">
        <f>COUNTIF($H$14:$H$147,"*-*-*-*")</f>
        <v>5</v>
      </c>
      <c r="I6" s="146"/>
      <c r="J6" s="142"/>
      <c r="K6" s="18" t="s">
        <v>26</v>
      </c>
      <c r="L6" s="19">
        <f>COUNTIF($L$14:$L$147,"*-*-*-*")</f>
        <v>5</v>
      </c>
      <c r="M6" s="146"/>
      <c r="N6" s="142"/>
      <c r="O6" s="18" t="s">
        <v>26</v>
      </c>
      <c r="P6" s="19">
        <f>COUNTIF($P$14:$P$147,"*-*-*-*")</f>
        <v>5</v>
      </c>
      <c r="Q6" s="146"/>
      <c r="S6" s="144"/>
      <c r="T6" s="9"/>
      <c r="V6" s="43"/>
      <c r="W6" s="43"/>
    </row>
    <row r="7" spans="1:23" s="25" customFormat="1" ht="15" customHeight="1" x14ac:dyDescent="0.25">
      <c r="A7" s="20"/>
      <c r="B7" s="142"/>
      <c r="C7" s="22" t="s">
        <v>24</v>
      </c>
      <c r="D7" s="23">
        <f>COUNTIF($D$14:$D$151,"Couleur")</f>
        <v>37</v>
      </c>
      <c r="E7" s="146"/>
      <c r="F7" s="142"/>
      <c r="G7" s="22" t="s">
        <v>24</v>
      </c>
      <c r="H7" s="23">
        <f>COUNTIF($H$14:$H$153,"Couleur")</f>
        <v>30</v>
      </c>
      <c r="I7" s="146"/>
      <c r="J7" s="142"/>
      <c r="K7" s="22" t="s">
        <v>24</v>
      </c>
      <c r="L7" s="23">
        <f>COUNTIF($L$14:$L$153,"Couleur")</f>
        <v>32</v>
      </c>
      <c r="M7" s="146"/>
      <c r="N7" s="142"/>
      <c r="O7" s="22" t="s">
        <v>24</v>
      </c>
      <c r="P7" s="23">
        <f>COUNTIF($P$14:$P$153,"Couleur")</f>
        <v>36</v>
      </c>
      <c r="Q7" s="146"/>
      <c r="V7" s="43"/>
      <c r="W7" s="196"/>
    </row>
    <row r="8" spans="1:23" s="25" customFormat="1" ht="15" customHeight="1" thickBot="1" x14ac:dyDescent="0.3">
      <c r="A8" s="20"/>
      <c r="B8" s="142"/>
      <c r="C8" s="22" t="s">
        <v>27</v>
      </c>
      <c r="D8" s="23">
        <f>COUNTIF($D$14:$D$151,"Nature")</f>
        <v>36</v>
      </c>
      <c r="E8" s="146"/>
      <c r="F8" s="142"/>
      <c r="G8" s="22" t="s">
        <v>27</v>
      </c>
      <c r="H8" s="23">
        <f>COUNTIF($H$14:$H$153,"Nature")</f>
        <v>35</v>
      </c>
      <c r="I8" s="146"/>
      <c r="J8" s="142"/>
      <c r="K8" s="22" t="s">
        <v>27</v>
      </c>
      <c r="L8" s="23">
        <f>COUNTIF($L$14:$L$153,"Nature")</f>
        <v>29</v>
      </c>
      <c r="M8" s="146"/>
      <c r="N8" s="142"/>
      <c r="O8" s="22" t="s">
        <v>27</v>
      </c>
      <c r="P8" s="23">
        <f>COUNTIF($P$14:$P$153,"Nature")</f>
        <v>31</v>
      </c>
      <c r="Q8" s="146"/>
      <c r="V8" s="43"/>
      <c r="W8" s="196"/>
    </row>
    <row r="9" spans="1:23" s="25" customFormat="1" ht="15" customHeight="1" x14ac:dyDescent="0.25">
      <c r="A9" s="20"/>
      <c r="B9" s="142"/>
      <c r="C9" s="26" t="s">
        <v>28</v>
      </c>
      <c r="D9" s="23">
        <f>COUNTIF($D$14:$D$151,"Monochrome")</f>
        <v>31</v>
      </c>
      <c r="E9" s="146"/>
      <c r="F9" s="142"/>
      <c r="G9" s="26" t="s">
        <v>28</v>
      </c>
      <c r="H9" s="23">
        <f>COUNTIF($H$14:$H$153,"Monochrome")</f>
        <v>34</v>
      </c>
      <c r="I9" s="146"/>
      <c r="J9" s="142"/>
      <c r="K9" s="26" t="s">
        <v>28</v>
      </c>
      <c r="L9" s="23">
        <f>COUNTIF($L$14:$L$153,"Monochrome")</f>
        <v>34</v>
      </c>
      <c r="M9" s="146"/>
      <c r="N9" s="142"/>
      <c r="O9" s="26" t="s">
        <v>28</v>
      </c>
      <c r="P9" s="23">
        <f>COUNTIF($P$14:$P$153,"Monochrome")</f>
        <v>28</v>
      </c>
      <c r="Q9" s="146"/>
      <c r="S9" s="181" t="s">
        <v>104</v>
      </c>
      <c r="T9" s="187"/>
      <c r="U9" s="187"/>
      <c r="V9" s="43"/>
      <c r="W9" s="196"/>
    </row>
    <row r="10" spans="1:23" s="30" customFormat="1" ht="15" customHeight="1" thickBot="1" x14ac:dyDescent="0.3">
      <c r="A10" s="20"/>
      <c r="B10" s="142"/>
      <c r="C10" s="28" t="s">
        <v>29</v>
      </c>
      <c r="D10" s="29">
        <f>COUNTIF($D$14:$D$151,"Thème")</f>
        <v>29</v>
      </c>
      <c r="E10" s="146"/>
      <c r="F10" s="142"/>
      <c r="G10" s="28" t="s">
        <v>29</v>
      </c>
      <c r="H10" s="29">
        <f>COUNTIF($H$14:$H$153,"Thème")</f>
        <v>30</v>
      </c>
      <c r="I10" s="146"/>
      <c r="J10" s="142"/>
      <c r="K10" s="28" t="s">
        <v>29</v>
      </c>
      <c r="L10" s="29">
        <f>COUNTIF($L$14:$L$153,"Thème")</f>
        <v>34</v>
      </c>
      <c r="M10" s="146"/>
      <c r="N10" s="142"/>
      <c r="O10" s="28" t="s">
        <v>29</v>
      </c>
      <c r="P10" s="29">
        <f>COUNTIF($P$14:$P$153,"Thème")</f>
        <v>34</v>
      </c>
      <c r="Q10" s="146"/>
      <c r="S10" s="183"/>
      <c r="T10" s="188"/>
      <c r="U10" s="188"/>
      <c r="W10" s="24"/>
    </row>
    <row r="11" spans="1:23" ht="15" customHeight="1" thickBot="1" x14ac:dyDescent="0.3">
      <c r="B11" s="143"/>
      <c r="C11" s="31" t="s">
        <v>21</v>
      </c>
      <c r="D11" s="32">
        <f>SUM(D6:D10)</f>
        <v>138</v>
      </c>
      <c r="E11" s="147"/>
      <c r="F11" s="143"/>
      <c r="G11" s="31" t="s">
        <v>21</v>
      </c>
      <c r="H11" s="32">
        <f>SUM(H6:H10)</f>
        <v>134</v>
      </c>
      <c r="I11" s="147"/>
      <c r="J11" s="143"/>
      <c r="K11" s="31" t="s">
        <v>21</v>
      </c>
      <c r="L11" s="32">
        <f>SUM(L6:L10)</f>
        <v>134</v>
      </c>
      <c r="M11" s="147"/>
      <c r="N11" s="143"/>
      <c r="O11" s="31" t="s">
        <v>21</v>
      </c>
      <c r="P11" s="32">
        <f>SUM(P6:P10)</f>
        <v>134</v>
      </c>
      <c r="Q11" s="147"/>
      <c r="S11" s="12"/>
      <c r="T11" s="12"/>
      <c r="U11" s="12"/>
    </row>
    <row r="12" spans="1:23" s="12" customFormat="1" ht="5.0999999999999996" customHeight="1" thickBot="1" x14ac:dyDescent="0.3">
      <c r="A12" s="34"/>
      <c r="B12" s="27"/>
      <c r="C12" s="35"/>
      <c r="D12" s="36"/>
      <c r="E12" s="62"/>
      <c r="F12" s="36"/>
      <c r="G12" s="35"/>
      <c r="H12" s="36"/>
      <c r="I12" s="62"/>
      <c r="J12" s="36"/>
      <c r="K12" s="35"/>
      <c r="L12" s="36"/>
      <c r="M12" s="62"/>
      <c r="N12" s="36"/>
      <c r="O12" s="35"/>
      <c r="P12" s="36"/>
      <c r="Q12" s="62"/>
      <c r="S12" s="25"/>
      <c r="T12" s="25"/>
      <c r="U12" s="25"/>
      <c r="V12" s="30"/>
      <c r="W12" s="24"/>
    </row>
    <row r="13" spans="1:23" s="25" customFormat="1" ht="15" customHeight="1" thickBot="1" x14ac:dyDescent="0.3">
      <c r="A13" s="34"/>
      <c r="B13" s="134" t="s">
        <v>103</v>
      </c>
      <c r="C13" s="134" t="s">
        <v>31</v>
      </c>
      <c r="D13" s="134" t="s">
        <v>32</v>
      </c>
      <c r="E13" s="148"/>
      <c r="F13" s="134" t="s">
        <v>103</v>
      </c>
      <c r="G13" s="134" t="s">
        <v>31</v>
      </c>
      <c r="H13" s="134" t="s">
        <v>32</v>
      </c>
      <c r="I13" s="148"/>
      <c r="J13" s="134" t="s">
        <v>103</v>
      </c>
      <c r="K13" s="134" t="s">
        <v>31</v>
      </c>
      <c r="L13" s="134" t="s">
        <v>32</v>
      </c>
      <c r="M13" s="148"/>
      <c r="N13" s="134" t="s">
        <v>103</v>
      </c>
      <c r="O13" s="134" t="s">
        <v>31</v>
      </c>
      <c r="P13" s="134" t="s">
        <v>32</v>
      </c>
      <c r="Q13" s="148"/>
      <c r="S13" s="134" t="s">
        <v>103</v>
      </c>
      <c r="T13" s="134" t="s">
        <v>31</v>
      </c>
      <c r="U13" s="134" t="s">
        <v>32</v>
      </c>
      <c r="V13" s="43" t="s">
        <v>111</v>
      </c>
      <c r="W13" s="197" t="s">
        <v>112</v>
      </c>
    </row>
    <row r="14" spans="1:23" s="25" customFormat="1" ht="15" customHeight="1" x14ac:dyDescent="0.25">
      <c r="A14" s="1">
        <v>1</v>
      </c>
      <c r="B14" s="198" t="str">
        <f>IF(Répartition!$B14="","",Répartition!$B14)</f>
        <v>FIAP</v>
      </c>
      <c r="C14" s="80" t="str">
        <f>IF(Répartition!$C14="","",Répartition!$C14)</f>
        <v>Pins FIAP au meilleur Auteur du Salon</v>
      </c>
      <c r="D14" s="202" t="str">
        <f>IF(Répartition!$D14="","",Répartition!$D14)</f>
        <v>*-*-*-*</v>
      </c>
      <c r="E14" s="149">
        <f>VLOOKUP(C14&amp;D14,code,2,0)</f>
        <v>1</v>
      </c>
      <c r="F14" s="198" t="str">
        <f>IF(Répartition!$B14="","",Répartition!$B14)</f>
        <v>FIAP</v>
      </c>
      <c r="G14" s="80" t="str">
        <f>IF(Répartition!$E14="","",Répartition!$E14)</f>
        <v>Pins FIAP au meilleur Auteur du Salon</v>
      </c>
      <c r="H14" s="202" t="str">
        <f>IF(Répartition!$F14="","",Répartition!$F14)</f>
        <v>*-*-*-*</v>
      </c>
      <c r="I14" s="149">
        <f>VLOOKUP(G14&amp;H14,code,2,0)</f>
        <v>1</v>
      </c>
      <c r="J14" s="198" t="str">
        <f>IF(Répartition!$B14="","",Répartition!$B14)</f>
        <v>FIAP</v>
      </c>
      <c r="K14" s="80" t="str">
        <f>IF(Répartition!$G14="","",Répartition!$G14)</f>
        <v>Pins FIAP au meilleur Auteur du Salon</v>
      </c>
      <c r="L14" s="202" t="str">
        <f>IF(Répartition!$H14="","",Répartition!$H14)</f>
        <v>*-*-*-*</v>
      </c>
      <c r="M14" s="149">
        <f>VLOOKUP(K14&amp;L14,code,2,0)</f>
        <v>1</v>
      </c>
      <c r="N14" s="198" t="str">
        <f>IF(Répartition!$B14="","",Répartition!$B14)</f>
        <v>FIAP</v>
      </c>
      <c r="O14" s="80" t="str">
        <f>IF(Répartition!$I14="","",Répartition!$I14)</f>
        <v>Pins FIAP au meilleur Auteur du Salon</v>
      </c>
      <c r="P14" s="202" t="str">
        <f>IF(Répartition!$J14="","",Répartition!$J14)</f>
        <v>*-*-*-*</v>
      </c>
      <c r="Q14" s="149">
        <f>VLOOKUP(O14&amp;P14,code,2,0)</f>
        <v>1</v>
      </c>
      <c r="S14" s="41" t="s">
        <v>10</v>
      </c>
      <c r="T14" s="135" t="s">
        <v>52</v>
      </c>
      <c r="U14" s="136" t="s">
        <v>53</v>
      </c>
      <c r="V14" s="43" t="str">
        <f>T14&amp;U14</f>
        <v>Pins FIAP au meilleur Auteur du Salon*-*-*-*</v>
      </c>
      <c r="W14" s="197">
        <v>1</v>
      </c>
    </row>
    <row r="15" spans="1:23" s="25" customFormat="1" ht="15" customHeight="1" x14ac:dyDescent="0.25">
      <c r="A15" s="34">
        <v>2</v>
      </c>
      <c r="B15" s="199" t="str">
        <f>IF(Répartition!$B15="","",Répartition!$B15)</f>
        <v>FIAP</v>
      </c>
      <c r="C15" s="82" t="str">
        <f>IF(Répartition!$C15="","",Répartition!$C15)</f>
        <v>Médaille d'Or FIAP</v>
      </c>
      <c r="D15" s="81" t="str">
        <f>IF(Répartition!$D15="","",Répartition!$D15)</f>
        <v>Couleur</v>
      </c>
      <c r="E15" s="149">
        <f>VLOOKUP(C15&amp;D15,code,2,0)</f>
        <v>2</v>
      </c>
      <c r="F15" s="199" t="str">
        <f>IF(Répartition!$B15="","",Répartition!$B15)</f>
        <v>FIAP</v>
      </c>
      <c r="G15" s="82" t="str">
        <f>IF(Répartition!$E15="","",Répartition!$E15)</f>
        <v>Médaille d'Or FIAP</v>
      </c>
      <c r="H15" s="81" t="str">
        <f>IF(Répartition!$F15="","",Répartition!$F15)</f>
        <v>Couleur</v>
      </c>
      <c r="I15" s="149">
        <f>VLOOKUP(G15&amp;H15,code,2,0)</f>
        <v>2</v>
      </c>
      <c r="J15" s="199" t="str">
        <f>IF(Répartition!$B15="","",Répartition!$B15)</f>
        <v>FIAP</v>
      </c>
      <c r="K15" s="82" t="str">
        <f>IF(Répartition!$G15="","",Répartition!$G15)</f>
        <v>Médaille d'Or FIAP</v>
      </c>
      <c r="L15" s="81" t="str">
        <f>IF(Répartition!$H15="","",Répartition!$H15)</f>
        <v>Couleur</v>
      </c>
      <c r="M15" s="149">
        <f>VLOOKUP(K15&amp;L15,code,2,0)</f>
        <v>2</v>
      </c>
      <c r="N15" s="199" t="str">
        <f>IF(Répartition!$B15="","",Répartition!$B15)</f>
        <v>FIAP</v>
      </c>
      <c r="O15" s="82" t="str">
        <f>IF(Répartition!$I15="","",Répartition!$I15)</f>
        <v>Médaille d'Or FIAP</v>
      </c>
      <c r="P15" s="81" t="str">
        <f>IF(Répartition!$J15="","",Répartition!$J15)</f>
        <v>Couleur</v>
      </c>
      <c r="Q15" s="149">
        <f>VLOOKUP(O15&amp;P15,code,2,0)</f>
        <v>2</v>
      </c>
      <c r="S15" s="45" t="s">
        <v>10</v>
      </c>
      <c r="T15" s="137" t="s">
        <v>54</v>
      </c>
      <c r="U15" s="136" t="s">
        <v>24</v>
      </c>
      <c r="V15" s="43" t="str">
        <f t="shared" ref="V15:V95" si="0">T15&amp;U15</f>
        <v>Médaille d'Or FIAPCouleur</v>
      </c>
      <c r="W15" s="197">
        <v>2</v>
      </c>
    </row>
    <row r="16" spans="1:23" s="44" customFormat="1" ht="15" customHeight="1" x14ac:dyDescent="0.25">
      <c r="A16" s="1">
        <v>3</v>
      </c>
      <c r="B16" s="199" t="str">
        <f>IF(Répartition!$B16="","",Répartition!$B16)</f>
        <v>FIAP</v>
      </c>
      <c r="C16" s="82" t="str">
        <f>IF(Répartition!$C16="","",Répartition!$C16)</f>
        <v>Médaille d'Or FIAP</v>
      </c>
      <c r="D16" s="81" t="str">
        <f>IF(Répartition!$D16="","",Répartition!$D16)</f>
        <v>Nature</v>
      </c>
      <c r="E16" s="149">
        <f>VLOOKUP(C16&amp;D16,code,2,0)</f>
        <v>3</v>
      </c>
      <c r="F16" s="199" t="str">
        <f>IF(Répartition!$B16="","",Répartition!$B16)</f>
        <v>FIAP</v>
      </c>
      <c r="G16" s="82" t="str">
        <f>IF(Répartition!$E16="","",Répartition!$E16)</f>
        <v>Médaille d'Or FIAP</v>
      </c>
      <c r="H16" s="81" t="str">
        <f>IF(Répartition!$F16="","",Répartition!$F16)</f>
        <v>Nature</v>
      </c>
      <c r="I16" s="149">
        <f>VLOOKUP(G16&amp;H16,code,2,0)</f>
        <v>3</v>
      </c>
      <c r="J16" s="199" t="str">
        <f>IF(Répartition!$B16="","",Répartition!$B16)</f>
        <v>FIAP</v>
      </c>
      <c r="K16" s="82" t="str">
        <f>IF(Répartition!$G16="","",Répartition!$G16)</f>
        <v>Médaille d'Or FIAP</v>
      </c>
      <c r="L16" s="81" t="str">
        <f>IF(Répartition!$H16="","",Répartition!$H16)</f>
        <v>Nature</v>
      </c>
      <c r="M16" s="149">
        <f>VLOOKUP(K16&amp;L16,code,2,0)</f>
        <v>3</v>
      </c>
      <c r="N16" s="199" t="str">
        <f>IF(Répartition!$B16="","",Répartition!$B16)</f>
        <v>FIAP</v>
      </c>
      <c r="O16" s="82" t="str">
        <f>IF(Répartition!$I16="","",Répartition!$I16)</f>
        <v>Médaille d'Or FIAP</v>
      </c>
      <c r="P16" s="81" t="str">
        <f>IF(Répartition!$J16="","",Répartition!$J16)</f>
        <v>Nature</v>
      </c>
      <c r="Q16" s="149">
        <f>VLOOKUP(O16&amp;P16,code,2,0)</f>
        <v>3</v>
      </c>
      <c r="S16" s="45" t="s">
        <v>10</v>
      </c>
      <c r="T16" s="137" t="s">
        <v>54</v>
      </c>
      <c r="U16" s="136" t="s">
        <v>27</v>
      </c>
      <c r="V16" s="43" t="str">
        <f t="shared" si="0"/>
        <v>Médaille d'Or FIAPNature</v>
      </c>
      <c r="W16" s="197">
        <v>3</v>
      </c>
    </row>
    <row r="17" spans="1:23" s="25" customFormat="1" ht="15" customHeight="1" x14ac:dyDescent="0.25">
      <c r="A17" s="1">
        <v>4</v>
      </c>
      <c r="B17" s="199" t="str">
        <f>IF(Répartition!$B17="","",Répartition!$B17)</f>
        <v>FIAP</v>
      </c>
      <c r="C17" s="82" t="str">
        <f>IF(Répartition!$C17="","",Répartition!$C17)</f>
        <v>Médaille d'Or FIAP</v>
      </c>
      <c r="D17" s="81" t="str">
        <f>IF(Répartition!$D17="","",Répartition!$D17)</f>
        <v>Monochrome</v>
      </c>
      <c r="E17" s="149">
        <f>VLOOKUP(C17&amp;D17,code,2,0)</f>
        <v>4</v>
      </c>
      <c r="F17" s="199" t="str">
        <f>IF(Répartition!$B17="","",Répartition!$B17)</f>
        <v>FIAP</v>
      </c>
      <c r="G17" s="82" t="str">
        <f>IF(Répartition!$E17="","",Répartition!$E17)</f>
        <v>Médaille d'Or FIAP</v>
      </c>
      <c r="H17" s="81" t="str">
        <f>IF(Répartition!$F17="","",Répartition!$F17)</f>
        <v>Monochrome</v>
      </c>
      <c r="I17" s="149">
        <f>VLOOKUP(G17&amp;H17,code,2,0)</f>
        <v>4</v>
      </c>
      <c r="J17" s="199" t="str">
        <f>IF(Répartition!$B17="","",Répartition!$B17)</f>
        <v>FIAP</v>
      </c>
      <c r="K17" s="82" t="str">
        <f>IF(Répartition!$G17="","",Répartition!$G17)</f>
        <v>Médaille d'Or FIAP</v>
      </c>
      <c r="L17" s="81" t="str">
        <f>IF(Répartition!$H17="","",Répartition!$H17)</f>
        <v>Monochrome</v>
      </c>
      <c r="M17" s="149">
        <f>VLOOKUP(K17&amp;L17,code,2,0)</f>
        <v>4</v>
      </c>
      <c r="N17" s="199" t="str">
        <f>IF(Répartition!$B17="","",Répartition!$B17)</f>
        <v>FIAP</v>
      </c>
      <c r="O17" s="82" t="str">
        <f>IF(Répartition!$I17="","",Répartition!$I17)</f>
        <v>Médaille d'Or FIAP</v>
      </c>
      <c r="P17" s="81" t="str">
        <f>IF(Répartition!$J17="","",Répartition!$J17)</f>
        <v>Monochrome</v>
      </c>
      <c r="Q17" s="149">
        <f>VLOOKUP(O17&amp;P17,code,2,0)</f>
        <v>4</v>
      </c>
      <c r="S17" s="45" t="s">
        <v>10</v>
      </c>
      <c r="T17" s="137" t="s">
        <v>54</v>
      </c>
      <c r="U17" s="136" t="s">
        <v>28</v>
      </c>
      <c r="V17" s="43" t="str">
        <f t="shared" si="0"/>
        <v>Médaille d'Or FIAPMonochrome</v>
      </c>
      <c r="W17" s="197">
        <v>4</v>
      </c>
    </row>
    <row r="18" spans="1:23" s="25" customFormat="1" ht="15" customHeight="1" x14ac:dyDescent="0.25">
      <c r="A18" s="34">
        <v>5</v>
      </c>
      <c r="B18" s="199" t="str">
        <f>IF(Répartition!$B18="","",Répartition!$B18)</f>
        <v>FIAP</v>
      </c>
      <c r="C18" s="82" t="str">
        <f>IF(Répartition!$C18="","",Répartition!$C18)</f>
        <v>Médaille d'Or FIAP</v>
      </c>
      <c r="D18" s="81" t="str">
        <f>IF(Répartition!$D18="","",Répartition!$D18)</f>
        <v>Thème</v>
      </c>
      <c r="E18" s="149">
        <f>VLOOKUP(C18&amp;D18,code,2,0)</f>
        <v>5</v>
      </c>
      <c r="F18" s="199" t="str">
        <f>IF(Répartition!$B18="","",Répartition!$B18)</f>
        <v>FIAP</v>
      </c>
      <c r="G18" s="82" t="str">
        <f>IF(Répartition!$E18="","",Répartition!$E18)</f>
        <v>Médaille d'Or FIAP</v>
      </c>
      <c r="H18" s="81" t="str">
        <f>IF(Répartition!$F18="","",Répartition!$F18)</f>
        <v>Thème</v>
      </c>
      <c r="I18" s="149">
        <f>VLOOKUP(G18&amp;H18,code,2,0)</f>
        <v>5</v>
      </c>
      <c r="J18" s="199" t="str">
        <f>IF(Répartition!$B18="","",Répartition!$B18)</f>
        <v>FIAP</v>
      </c>
      <c r="K18" s="82" t="str">
        <f>IF(Répartition!$G18="","",Répartition!$G18)</f>
        <v>Médaille d'Or FIAP</v>
      </c>
      <c r="L18" s="81" t="str">
        <f>IF(Répartition!$H18="","",Répartition!$H18)</f>
        <v>Thème</v>
      </c>
      <c r="M18" s="149">
        <f>VLOOKUP(K18&amp;L18,code,2,0)</f>
        <v>5</v>
      </c>
      <c r="N18" s="199" t="str">
        <f>IF(Répartition!$B18="","",Répartition!$B18)</f>
        <v>FIAP</v>
      </c>
      <c r="O18" s="82" t="str">
        <f>IF(Répartition!$I18="","",Répartition!$I18)</f>
        <v>Médaille d'Or FIAP</v>
      </c>
      <c r="P18" s="81" t="str">
        <f>IF(Répartition!$J18="","",Répartition!$J18)</f>
        <v>Thème</v>
      </c>
      <c r="Q18" s="149">
        <f>VLOOKUP(O18&amp;P18,code,2,0)</f>
        <v>5</v>
      </c>
      <c r="S18" s="45" t="s">
        <v>10</v>
      </c>
      <c r="T18" s="137" t="s">
        <v>54</v>
      </c>
      <c r="U18" s="136" t="s">
        <v>29</v>
      </c>
      <c r="V18" s="43" t="str">
        <f t="shared" si="0"/>
        <v>Médaille d'Or FIAPThème</v>
      </c>
      <c r="W18" s="197">
        <v>5</v>
      </c>
    </row>
    <row r="19" spans="1:23" s="25" customFormat="1" ht="15" customHeight="1" x14ac:dyDescent="0.25">
      <c r="A19" s="1">
        <v>6</v>
      </c>
      <c r="B19" s="199" t="str">
        <f>IF(Répartition!$B55="","",Répartition!$B55)</f>
        <v>PSA</v>
      </c>
      <c r="C19" s="82" t="str">
        <f>IF(Répartition!$C55="","",Répartition!$C55)</f>
        <v>Médaille d'Or PSA</v>
      </c>
      <c r="D19" s="81" t="str">
        <f>IF(Répartition!$D55="","",Répartition!$D55)</f>
        <v>Couleur</v>
      </c>
      <c r="E19" s="149">
        <f>VLOOKUP(C19&amp;D19,code,2,0)</f>
        <v>6</v>
      </c>
      <c r="F19" s="199" t="str">
        <f>IF(Répartition!$B55="","",Répartition!$B55)</f>
        <v>PSA</v>
      </c>
      <c r="G19" s="82" t="str">
        <f>IF(Répartition!$E55="","",Répartition!$E55)</f>
        <v>Médaille d'Or PSA</v>
      </c>
      <c r="H19" s="81" t="str">
        <f>IF(Répartition!$F55="","",Répartition!$F55)</f>
        <v>Couleur</v>
      </c>
      <c r="I19" s="149">
        <f>VLOOKUP(G19&amp;H19,code,2,0)</f>
        <v>6</v>
      </c>
      <c r="J19" s="199" t="str">
        <f>IF(Répartition!$B55="","",Répartition!$B55)</f>
        <v>PSA</v>
      </c>
      <c r="K19" s="82" t="str">
        <f>IF(Répartition!$G55="","",Répartition!$G55)</f>
        <v>Médaille d'Or PSA</v>
      </c>
      <c r="L19" s="81" t="str">
        <f>IF(Répartition!$H55="","",Répartition!$H55)</f>
        <v>Couleur</v>
      </c>
      <c r="M19" s="149">
        <f>VLOOKUP(K19&amp;L19,code,2,0)</f>
        <v>6</v>
      </c>
      <c r="N19" s="199" t="str">
        <f>IF(Répartition!$B55="","",Répartition!$B55)</f>
        <v>PSA</v>
      </c>
      <c r="O19" s="82" t="str">
        <f>IF(Répartition!$I55="","",Répartition!$I55)</f>
        <v>Médaille d'Or PSA</v>
      </c>
      <c r="P19" s="81" t="str">
        <f>IF(Répartition!$J55="","",Répartition!$J55)</f>
        <v>Couleur</v>
      </c>
      <c r="Q19" s="149">
        <f>VLOOKUP(O19&amp;P19,code,2,0)</f>
        <v>6</v>
      </c>
      <c r="S19" s="45" t="s">
        <v>11</v>
      </c>
      <c r="T19" s="137" t="s">
        <v>61</v>
      </c>
      <c r="U19" s="136" t="s">
        <v>24</v>
      </c>
      <c r="V19" s="43" t="str">
        <f t="shared" si="0"/>
        <v>Médaille d'Or PSACouleur</v>
      </c>
      <c r="W19" s="197">
        <v>6</v>
      </c>
    </row>
    <row r="20" spans="1:23" s="25" customFormat="1" ht="15" customHeight="1" x14ac:dyDescent="0.25">
      <c r="A20" s="1">
        <v>7</v>
      </c>
      <c r="B20" s="199" t="str">
        <f>IF(Répartition!$B56="","",Répartition!$B56)</f>
        <v>PSA</v>
      </c>
      <c r="C20" s="82" t="str">
        <f>IF(Répartition!$C56="","",Répartition!$C56)</f>
        <v>Médaille d'Or PSA</v>
      </c>
      <c r="D20" s="81" t="str">
        <f>IF(Répartition!$D56="","",Répartition!$D56)</f>
        <v>Nature</v>
      </c>
      <c r="E20" s="149">
        <f>VLOOKUP(C20&amp;D20,code,2,0)</f>
        <v>7</v>
      </c>
      <c r="F20" s="199" t="str">
        <f>IF(Répartition!$B56="","",Répartition!$B56)</f>
        <v>PSA</v>
      </c>
      <c r="G20" s="82" t="str">
        <f>IF(Répartition!$E56="","",Répartition!$E56)</f>
        <v>Médaille d'Or PSA</v>
      </c>
      <c r="H20" s="81" t="str">
        <f>IF(Répartition!$F56="","",Répartition!$F56)</f>
        <v>Nature</v>
      </c>
      <c r="I20" s="149">
        <f>VLOOKUP(G20&amp;H20,code,2,0)</f>
        <v>7</v>
      </c>
      <c r="J20" s="199" t="str">
        <f>IF(Répartition!$B56="","",Répartition!$B56)</f>
        <v>PSA</v>
      </c>
      <c r="K20" s="82" t="str">
        <f>IF(Répartition!$G56="","",Répartition!$G56)</f>
        <v>Médaille d'Or PSA</v>
      </c>
      <c r="L20" s="81" t="str">
        <f>IF(Répartition!$H56="","",Répartition!$H56)</f>
        <v>Nature</v>
      </c>
      <c r="M20" s="149">
        <f>VLOOKUP(K20&amp;L20,code,2,0)</f>
        <v>7</v>
      </c>
      <c r="N20" s="199" t="str">
        <f>IF(Répartition!$B56="","",Répartition!$B56)</f>
        <v>PSA</v>
      </c>
      <c r="O20" s="82" t="str">
        <f>IF(Répartition!$I56="","",Répartition!$I56)</f>
        <v>Médaille d'Or PSA</v>
      </c>
      <c r="P20" s="81" t="str">
        <f>IF(Répartition!$J56="","",Répartition!$J56)</f>
        <v>Nature</v>
      </c>
      <c r="Q20" s="149">
        <f>VLOOKUP(O20&amp;P20,code,2,0)</f>
        <v>7</v>
      </c>
      <c r="S20" s="45" t="s">
        <v>11</v>
      </c>
      <c r="T20" s="137" t="s">
        <v>61</v>
      </c>
      <c r="U20" s="136" t="s">
        <v>27</v>
      </c>
      <c r="V20" s="43" t="str">
        <f t="shared" si="0"/>
        <v>Médaille d'Or PSANature</v>
      </c>
      <c r="W20" s="197">
        <v>7</v>
      </c>
    </row>
    <row r="21" spans="1:23" s="25" customFormat="1" ht="15" customHeight="1" x14ac:dyDescent="0.25">
      <c r="A21" s="34">
        <v>8</v>
      </c>
      <c r="B21" s="199" t="str">
        <f>IF(Répartition!$B57="","",Répartition!$B57)</f>
        <v>PSA</v>
      </c>
      <c r="C21" s="82" t="str">
        <f>IF(Répartition!$C57="","",Répartition!$C57)</f>
        <v>Médaille d'Or PSA</v>
      </c>
      <c r="D21" s="81" t="str">
        <f>IF(Répartition!$D57="","",Répartition!$D57)</f>
        <v>Monochrome</v>
      </c>
      <c r="E21" s="149">
        <f>VLOOKUP(C21&amp;D21,code,2,0)</f>
        <v>8</v>
      </c>
      <c r="F21" s="199" t="str">
        <f>IF(Répartition!$B57="","",Répartition!$B57)</f>
        <v>PSA</v>
      </c>
      <c r="G21" s="82" t="str">
        <f>IF(Répartition!$E57="","",Répartition!$E57)</f>
        <v>Médaille d'Or PSA</v>
      </c>
      <c r="H21" s="81" t="str">
        <f>IF(Répartition!$F57="","",Répartition!$F57)</f>
        <v>Monochrome</v>
      </c>
      <c r="I21" s="149">
        <f>VLOOKUP(G21&amp;H21,code,2,0)</f>
        <v>8</v>
      </c>
      <c r="J21" s="199" t="str">
        <f>IF(Répartition!$B57="","",Répartition!$B57)</f>
        <v>PSA</v>
      </c>
      <c r="K21" s="82" t="str">
        <f>IF(Répartition!$G57="","",Répartition!$G57)</f>
        <v>Médaille d'Or PSA</v>
      </c>
      <c r="L21" s="81" t="str">
        <f>IF(Répartition!$H57="","",Répartition!$H57)</f>
        <v>Monochrome</v>
      </c>
      <c r="M21" s="149">
        <f>VLOOKUP(K21&amp;L21,code,2,0)</f>
        <v>8</v>
      </c>
      <c r="N21" s="199" t="str">
        <f>IF(Répartition!$B57="","",Répartition!$B57)</f>
        <v>PSA</v>
      </c>
      <c r="O21" s="82" t="str">
        <f>IF(Répartition!$I57="","",Répartition!$I57)</f>
        <v>Médaille d'Or PSA</v>
      </c>
      <c r="P21" s="81" t="str">
        <f>IF(Répartition!$J57="","",Répartition!$J57)</f>
        <v>Monochrome</v>
      </c>
      <c r="Q21" s="149">
        <f>VLOOKUP(O21&amp;P21,code,2,0)</f>
        <v>8</v>
      </c>
      <c r="S21" s="45" t="s">
        <v>11</v>
      </c>
      <c r="T21" s="137" t="s">
        <v>61</v>
      </c>
      <c r="U21" s="136" t="s">
        <v>28</v>
      </c>
      <c r="V21" s="43" t="str">
        <f t="shared" si="0"/>
        <v>Médaille d'Or PSAMonochrome</v>
      </c>
      <c r="W21" s="197">
        <v>8</v>
      </c>
    </row>
    <row r="22" spans="1:23" s="25" customFormat="1" ht="15" customHeight="1" x14ac:dyDescent="0.25">
      <c r="A22" s="1">
        <v>9</v>
      </c>
      <c r="B22" s="199" t="str">
        <f>IF(Répartition!$B58="","",Répartition!$B58)</f>
        <v>PSA</v>
      </c>
      <c r="C22" s="82" t="str">
        <f>IF(Répartition!$C58="","",Répartition!$C58)</f>
        <v>Médaille d'Or PSA</v>
      </c>
      <c r="D22" s="81" t="str">
        <f>IF(Répartition!$D58="","",Répartition!$D58)</f>
        <v>Thème</v>
      </c>
      <c r="E22" s="149">
        <f>VLOOKUP(C22&amp;D22,code,2,0)</f>
        <v>9</v>
      </c>
      <c r="F22" s="199" t="str">
        <f>IF(Répartition!$B58="","",Répartition!$B58)</f>
        <v>PSA</v>
      </c>
      <c r="G22" s="82" t="str">
        <f>IF(Répartition!$E58="","",Répartition!$E58)</f>
        <v>Médaille d'Or PSA</v>
      </c>
      <c r="H22" s="81" t="str">
        <f>IF(Répartition!$F58="","",Répartition!$F58)</f>
        <v>Thème</v>
      </c>
      <c r="I22" s="149">
        <f>VLOOKUP(G22&amp;H22,code,2,0)</f>
        <v>9</v>
      </c>
      <c r="J22" s="199" t="str">
        <f>IF(Répartition!$B58="","",Répartition!$B58)</f>
        <v>PSA</v>
      </c>
      <c r="K22" s="82" t="str">
        <f>IF(Répartition!$G58="","",Répartition!$G58)</f>
        <v>Médaille d'Or PSA</v>
      </c>
      <c r="L22" s="81" t="str">
        <f>IF(Répartition!$H58="","",Répartition!$H58)</f>
        <v>Thème</v>
      </c>
      <c r="M22" s="149">
        <f>VLOOKUP(K22&amp;L22,code,2,0)</f>
        <v>9</v>
      </c>
      <c r="N22" s="199" t="str">
        <f>IF(Répartition!$B58="","",Répartition!$B58)</f>
        <v>PSA</v>
      </c>
      <c r="O22" s="82" t="str">
        <f>IF(Répartition!$I58="","",Répartition!$I58)</f>
        <v>Médaille d'Or PSA</v>
      </c>
      <c r="P22" s="81" t="str">
        <f>IF(Répartition!$J58="","",Répartition!$J58)</f>
        <v>Thème</v>
      </c>
      <c r="Q22" s="149">
        <f>VLOOKUP(O22&amp;P22,code,2,0)</f>
        <v>9</v>
      </c>
      <c r="S22" s="45" t="s">
        <v>11</v>
      </c>
      <c r="T22" s="137" t="s">
        <v>61</v>
      </c>
      <c r="U22" s="136" t="s">
        <v>29</v>
      </c>
      <c r="V22" s="43" t="str">
        <f t="shared" si="0"/>
        <v>Médaille d'Or PSAThème</v>
      </c>
      <c r="W22" s="197">
        <v>9</v>
      </c>
    </row>
    <row r="23" spans="1:23" s="25" customFormat="1" ht="15" customHeight="1" x14ac:dyDescent="0.25">
      <c r="A23" s="1">
        <v>10</v>
      </c>
      <c r="B23" s="199" t="str">
        <f>IF(Répartition!$B75="","",Répartition!$B75)</f>
        <v>GPU</v>
      </c>
      <c r="C23" s="82" t="str">
        <f>IF(Répartition!$C75="","",Répartition!$C75)</f>
        <v>Médaille d'Or GPU</v>
      </c>
      <c r="D23" s="81" t="str">
        <f>IF(Répartition!$D75="","",Répartition!$D75)</f>
        <v>Couleur</v>
      </c>
      <c r="E23" s="149">
        <f>VLOOKUP(C23&amp;D23,code,2,0)</f>
        <v>10</v>
      </c>
      <c r="F23" s="199" t="str">
        <f>IF(Répartition!$B75="","",Répartition!$B75)</f>
        <v>GPU</v>
      </c>
      <c r="G23" s="82" t="str">
        <f>IF(Répartition!$E75="","",Répartition!$E75)</f>
        <v>Médaille d'Or GPU</v>
      </c>
      <c r="H23" s="81" t="str">
        <f>IF(Répartition!$F75="","",Répartition!$F75)</f>
        <v>Nature</v>
      </c>
      <c r="I23" s="149">
        <f>VLOOKUP(G23&amp;H23,code,2,0)</f>
        <v>11</v>
      </c>
      <c r="J23" s="199" t="str">
        <f>IF(Répartition!$B75="","",Répartition!$B75)</f>
        <v>GPU</v>
      </c>
      <c r="K23" s="82" t="str">
        <f>IF(Répartition!$G75="","",Répartition!$G75)</f>
        <v>Médaille d'Or GPU</v>
      </c>
      <c r="L23" s="81" t="str">
        <f>IF(Répartition!$H75="","",Répartition!$H75)</f>
        <v>Monochrome</v>
      </c>
      <c r="M23" s="149">
        <f>VLOOKUP(K23&amp;L23,code,2,0)</f>
        <v>12</v>
      </c>
      <c r="N23" s="199" t="str">
        <f>IF(Répartition!$B75="","",Répartition!$B75)</f>
        <v>GPU</v>
      </c>
      <c r="O23" s="82" t="str">
        <f>IF(Répartition!$I75="","",Répartition!$I75)</f>
        <v>Médaille d'Or GPU</v>
      </c>
      <c r="P23" s="81" t="str">
        <f>IF(Répartition!$J75="","",Répartition!$J75)</f>
        <v>Thème</v>
      </c>
      <c r="Q23" s="149">
        <f>VLOOKUP(O23&amp;P23,code,2,0)</f>
        <v>13</v>
      </c>
      <c r="S23" s="45" t="s">
        <v>23</v>
      </c>
      <c r="T23" s="137" t="s">
        <v>65</v>
      </c>
      <c r="U23" s="136" t="s">
        <v>24</v>
      </c>
      <c r="V23" s="43" t="str">
        <f t="shared" si="0"/>
        <v>Médaille d'Or GPUCouleur</v>
      </c>
      <c r="W23" s="197">
        <v>10</v>
      </c>
    </row>
    <row r="24" spans="1:23" s="25" customFormat="1" ht="15" customHeight="1" x14ac:dyDescent="0.25">
      <c r="A24" s="34">
        <v>11</v>
      </c>
      <c r="B24" s="199" t="str">
        <f>IF(Répartition!$B105="","",Répartition!$B105)</f>
        <v>ISF</v>
      </c>
      <c r="C24" s="82" t="str">
        <f>IF(Répartition!$C105="","",Répartition!$C105)</f>
        <v>Médaille d'Or ISF</v>
      </c>
      <c r="D24" s="81" t="str">
        <f>IF(Répartition!$D105="","",Répartition!$D105)</f>
        <v>Couleur</v>
      </c>
      <c r="E24" s="149">
        <f>VLOOKUP(C24&amp;D24,code,2,0)</f>
        <v>14</v>
      </c>
      <c r="F24" s="199" t="str">
        <f>IF(Répartition!$B105="","",Répartition!$B105)</f>
        <v>ISF</v>
      </c>
      <c r="G24" s="82" t="str">
        <f>IF(Répartition!$E105="","",Répartition!$E105)</f>
        <v>Médaille d'Or ISF</v>
      </c>
      <c r="H24" s="81" t="str">
        <f>IF(Répartition!$F105="","",Répartition!$F105)</f>
        <v>Nature</v>
      </c>
      <c r="I24" s="149">
        <f>VLOOKUP(G24&amp;H24,code,2,0)</f>
        <v>15</v>
      </c>
      <c r="J24" s="199" t="str">
        <f>IF(Répartition!$B105="","",Répartition!$B105)</f>
        <v>ISF</v>
      </c>
      <c r="K24" s="82" t="str">
        <f>IF(Répartition!$G105="","",Répartition!$G105)</f>
        <v>Médaille d'Or ISF</v>
      </c>
      <c r="L24" s="81" t="str">
        <f>IF(Répartition!$H105="","",Répartition!$H105)</f>
        <v>Monochrome</v>
      </c>
      <c r="M24" s="149">
        <f>VLOOKUP(K24&amp;L24,code,2,0)</f>
        <v>16</v>
      </c>
      <c r="N24" s="199" t="str">
        <f>IF(Répartition!$B105="","",Répartition!$B105)</f>
        <v>ISF</v>
      </c>
      <c r="O24" s="82" t="str">
        <f>IF(Répartition!$I105="","",Répartition!$I105)</f>
        <v>Médaille d'Or ISF</v>
      </c>
      <c r="P24" s="81" t="str">
        <f>IF(Répartition!$J105="","",Répartition!$J105)</f>
        <v>Thème</v>
      </c>
      <c r="Q24" s="149">
        <f>VLOOKUP(O24&amp;P24,code,2,0)</f>
        <v>17</v>
      </c>
      <c r="S24" s="45" t="s">
        <v>23</v>
      </c>
      <c r="T24" s="137" t="s">
        <v>65</v>
      </c>
      <c r="U24" s="136" t="s">
        <v>27</v>
      </c>
      <c r="V24" s="43" t="str">
        <f t="shared" si="0"/>
        <v>Médaille d'Or GPUNature</v>
      </c>
      <c r="W24" s="197">
        <v>11</v>
      </c>
    </row>
    <row r="25" spans="1:23" s="25" customFormat="1" ht="15" customHeight="1" x14ac:dyDescent="0.25">
      <c r="A25" s="1">
        <v>12</v>
      </c>
      <c r="B25" s="199" t="str">
        <f>IF(Répartition!$B85="","",Répartition!$B85)</f>
        <v>FPF</v>
      </c>
      <c r="C25" s="82" t="str">
        <f>IF(Répartition!$C85="","",Répartition!$C85)</f>
        <v>Médaille d'Or FPF</v>
      </c>
      <c r="D25" s="81" t="str">
        <f>IF(Répartition!$D85="","",Répartition!$D85)</f>
        <v>Couleur</v>
      </c>
      <c r="E25" s="149">
        <f>VLOOKUP(C25&amp;D25,code,2,0)</f>
        <v>18</v>
      </c>
      <c r="F25" s="199" t="str">
        <f>IF(Répartition!$B85="","",Répartition!$B85)</f>
        <v>FPF</v>
      </c>
      <c r="G25" s="82" t="str">
        <f>IF(Répartition!$E85="","",Répartition!$E85)</f>
        <v>Médaille d'Or FPF</v>
      </c>
      <c r="H25" s="81" t="str">
        <f>IF(Répartition!$F85="","",Répartition!$F85)</f>
        <v>Nature</v>
      </c>
      <c r="I25" s="149">
        <f>VLOOKUP(G25&amp;H25,code,2,0)</f>
        <v>19</v>
      </c>
      <c r="J25" s="199" t="str">
        <f>IF(Répartition!$B85="","",Répartition!$B85)</f>
        <v>FPF</v>
      </c>
      <c r="K25" s="82" t="str">
        <f>IF(Répartition!$G85="","",Répartition!$G85)</f>
        <v>Médaille d'Or FPF</v>
      </c>
      <c r="L25" s="81" t="str">
        <f>IF(Répartition!$H85="","",Répartition!$H85)</f>
        <v>Monochrome</v>
      </c>
      <c r="M25" s="149">
        <f>VLOOKUP(K25&amp;L25,code,2,0)</f>
        <v>20</v>
      </c>
      <c r="N25" s="199" t="str">
        <f>IF(Répartition!$B86="","",Répartition!$B86)</f>
        <v>FPF</v>
      </c>
      <c r="O25" s="82" t="str">
        <f>IF(Répartition!$I86="","",Répartition!$I86)</f>
        <v>Médaille d'Or FPF</v>
      </c>
      <c r="P25" s="81" t="str">
        <f>IF(Répartition!$J86="","",Répartition!$J86)</f>
        <v>Couleur</v>
      </c>
      <c r="Q25" s="149">
        <f>VLOOKUP(O25&amp;P25,code,2,0)</f>
        <v>18</v>
      </c>
      <c r="S25" s="45" t="s">
        <v>23</v>
      </c>
      <c r="T25" s="137" t="s">
        <v>65</v>
      </c>
      <c r="U25" s="136" t="s">
        <v>28</v>
      </c>
      <c r="V25" s="43" t="str">
        <f t="shared" si="0"/>
        <v>Médaille d'Or GPUMonochrome</v>
      </c>
      <c r="W25" s="197">
        <v>12</v>
      </c>
    </row>
    <row r="26" spans="1:23" s="25" customFormat="1" ht="15" customHeight="1" x14ac:dyDescent="0.25">
      <c r="A26" s="1">
        <v>13</v>
      </c>
      <c r="B26" s="199" t="str">
        <f>IF(Répartition!$B86="","",Répartition!$B86)</f>
        <v>FPF</v>
      </c>
      <c r="C26" s="82" t="str">
        <f>IF(Répartition!$C86="","",Répartition!$C86)</f>
        <v>Médaille d'Or FPF</v>
      </c>
      <c r="D26" s="81" t="str">
        <f>IF(Répartition!$D86="","",Répartition!$D86)</f>
        <v>Nature</v>
      </c>
      <c r="E26" s="149">
        <f>VLOOKUP(C26&amp;D26,code,2,0)</f>
        <v>19</v>
      </c>
      <c r="F26" s="199" t="str">
        <f>IF(Répartition!$B86="","",Répartition!$B86)</f>
        <v>FPF</v>
      </c>
      <c r="G26" s="82" t="str">
        <f>IF(Répartition!$E86="","",Répartition!$E86)</f>
        <v>Médaille d'Or FPF</v>
      </c>
      <c r="H26" s="81" t="str">
        <f>IF(Répartition!$F86="","",Répartition!$F86)</f>
        <v>Monochrome</v>
      </c>
      <c r="I26" s="149">
        <f>VLOOKUP(G26&amp;H26,code,2,0)</f>
        <v>20</v>
      </c>
      <c r="J26" s="199" t="str">
        <f>IF(Répartition!$B86="","",Répartition!$B86)</f>
        <v>FPF</v>
      </c>
      <c r="K26" s="82" t="str">
        <f>IF(Répartition!$G86="","",Répartition!$G86)</f>
        <v>Médaille d'Or FPF</v>
      </c>
      <c r="L26" s="81" t="str">
        <f>IF(Répartition!$H86="","",Répartition!$H86)</f>
        <v>Thème</v>
      </c>
      <c r="M26" s="149">
        <f>VLOOKUP(K26&amp;L26,code,2,0)</f>
        <v>21</v>
      </c>
      <c r="N26" s="199" t="str">
        <f>IF(Répartition!$B85="","",Répartition!$B85)</f>
        <v>FPF</v>
      </c>
      <c r="O26" s="82" t="str">
        <f>IF(Répartition!$I85="","",Répartition!$I85)</f>
        <v>Médaille d'Or FPF</v>
      </c>
      <c r="P26" s="81" t="str">
        <f>IF(Répartition!$J85="","",Répartition!$J85)</f>
        <v>Thème</v>
      </c>
      <c r="Q26" s="149">
        <f>VLOOKUP(O26&amp;P26,code,2,0)</f>
        <v>21</v>
      </c>
      <c r="S26" s="45" t="s">
        <v>23</v>
      </c>
      <c r="T26" s="137" t="s">
        <v>65</v>
      </c>
      <c r="U26" s="136" t="s">
        <v>29</v>
      </c>
      <c r="V26" s="43" t="str">
        <f t="shared" si="0"/>
        <v>Médaille d'Or GPUThème</v>
      </c>
      <c r="W26" s="197">
        <v>13</v>
      </c>
    </row>
    <row r="27" spans="1:23" s="25" customFormat="1" ht="15" customHeight="1" x14ac:dyDescent="0.25">
      <c r="A27" s="34">
        <v>14</v>
      </c>
      <c r="B27" s="199" t="str">
        <f>IF(Répartition!$B120="","",Répartition!$B120)</f>
        <v>FDT</v>
      </c>
      <c r="C27" s="82" t="str">
        <f>IF(Répartition!$C120="","",Répartition!$C120)</f>
        <v>Médaille d'Or FDT</v>
      </c>
      <c r="D27" s="81" t="str">
        <f>IF(Répartition!$D120="","",Répartition!$D120)</f>
        <v>Couleur</v>
      </c>
      <c r="E27" s="149">
        <f>VLOOKUP(C27&amp;D27,code,2,0)</f>
        <v>22</v>
      </c>
      <c r="F27" s="199" t="str">
        <f>IF(Répartition!$B120="","",Répartition!$B120)</f>
        <v>FDT</v>
      </c>
      <c r="G27" s="82" t="str">
        <f>IF(Répartition!$E120="","",Répartition!$E120)</f>
        <v>Médaille d'Or FDT</v>
      </c>
      <c r="H27" s="81" t="str">
        <f>IF(Répartition!$F120="","",Répartition!$F120)</f>
        <v>Couleur</v>
      </c>
      <c r="I27" s="149">
        <f>VLOOKUP(G27&amp;H27,code,2,0)</f>
        <v>22</v>
      </c>
      <c r="J27" s="199" t="str">
        <f>IF(Répartition!$B120="","",Répartition!$B120)</f>
        <v>FDT</v>
      </c>
      <c r="K27" s="82" t="str">
        <f>IF(Répartition!$G120="","",Répartition!$G120)</f>
        <v>Médaille d'Or FDT</v>
      </c>
      <c r="L27" s="81" t="str">
        <f>IF(Répartition!$H120="","",Répartition!$H120)</f>
        <v>Couleur</v>
      </c>
      <c r="M27" s="149">
        <f>VLOOKUP(K27&amp;L27,code,2,0)</f>
        <v>22</v>
      </c>
      <c r="N27" s="199" t="str">
        <f>IF(Répartition!$B120="","",Répartition!$B120)</f>
        <v>FDT</v>
      </c>
      <c r="O27" s="82" t="str">
        <f>IF(Répartition!$I120="","",Répartition!$I120)</f>
        <v>Médaille d'Or FDT</v>
      </c>
      <c r="P27" s="81" t="str">
        <f>IF(Répartition!$J120="","",Répartition!$J120)</f>
        <v>Couleur</v>
      </c>
      <c r="Q27" s="149">
        <f>VLOOKUP(O27&amp;P27,code,2,0)</f>
        <v>22</v>
      </c>
      <c r="S27" s="45" t="s">
        <v>13</v>
      </c>
      <c r="T27" s="137" t="s">
        <v>74</v>
      </c>
      <c r="U27" s="136" t="s">
        <v>24</v>
      </c>
      <c r="V27" s="43" t="str">
        <f t="shared" si="0"/>
        <v>Médaille d'Or ISFCouleur</v>
      </c>
      <c r="W27" s="197">
        <v>14</v>
      </c>
    </row>
    <row r="28" spans="1:23" s="25" customFormat="1" ht="15" customHeight="1" x14ac:dyDescent="0.25">
      <c r="A28" s="1">
        <v>15</v>
      </c>
      <c r="B28" s="199" t="str">
        <f>IF(Répartition!$B121="","",Répartition!$B121)</f>
        <v>FDT</v>
      </c>
      <c r="C28" s="82" t="str">
        <f>IF(Répartition!$C121="","",Répartition!$C121)</f>
        <v>Médaille d'Or FDT</v>
      </c>
      <c r="D28" s="81" t="str">
        <f>IF(Répartition!$D121="","",Répartition!$D121)</f>
        <v>Nature</v>
      </c>
      <c r="E28" s="149">
        <f>VLOOKUP(C28&amp;D28,code,2,0)</f>
        <v>23</v>
      </c>
      <c r="F28" s="199" t="str">
        <f>IF(Répartition!$B121="","",Répartition!$B121)</f>
        <v>FDT</v>
      </c>
      <c r="G28" s="82" t="str">
        <f>IF(Répartition!$E121="","",Répartition!$E121)</f>
        <v>Médaille d'Or FDT</v>
      </c>
      <c r="H28" s="81" t="str">
        <f>IF(Répartition!$F121="","",Répartition!$F121)</f>
        <v>Nature</v>
      </c>
      <c r="I28" s="149">
        <f>VLOOKUP(G28&amp;H28,code,2,0)</f>
        <v>23</v>
      </c>
      <c r="J28" s="199" t="str">
        <f>IF(Répartition!$B121="","",Répartition!$B121)</f>
        <v>FDT</v>
      </c>
      <c r="K28" s="82" t="str">
        <f>IF(Répartition!$G121="","",Répartition!$G121)</f>
        <v>Médaille d'Or FDT</v>
      </c>
      <c r="L28" s="81" t="str">
        <f>IF(Répartition!$H121="","",Répartition!$H121)</f>
        <v>Nature</v>
      </c>
      <c r="M28" s="149">
        <f>VLOOKUP(K28&amp;L28,code,2,0)</f>
        <v>23</v>
      </c>
      <c r="N28" s="199" t="str">
        <f>IF(Répartition!$B121="","",Répartition!$B121)</f>
        <v>FDT</v>
      </c>
      <c r="O28" s="82" t="str">
        <f>IF(Répartition!$I121="","",Répartition!$I121)</f>
        <v>Médaille d'Or FDT</v>
      </c>
      <c r="P28" s="81" t="str">
        <f>IF(Répartition!$J121="","",Répartition!$J121)</f>
        <v>Nature</v>
      </c>
      <c r="Q28" s="149">
        <f>VLOOKUP(O28&amp;P28,code,2,0)</f>
        <v>23</v>
      </c>
      <c r="S28" s="45" t="s">
        <v>13</v>
      </c>
      <c r="T28" s="137" t="s">
        <v>74</v>
      </c>
      <c r="U28" s="136" t="s">
        <v>27</v>
      </c>
      <c r="V28" s="43" t="str">
        <f t="shared" si="0"/>
        <v>Médaille d'Or ISFNature</v>
      </c>
      <c r="W28" s="197">
        <v>15</v>
      </c>
    </row>
    <row r="29" spans="1:23" s="25" customFormat="1" ht="15" customHeight="1" x14ac:dyDescent="0.25">
      <c r="A29" s="1">
        <v>16</v>
      </c>
      <c r="B29" s="199" t="str">
        <f>IF(Répartition!$B122="","",Répartition!$B122)</f>
        <v>FDT</v>
      </c>
      <c r="C29" s="82" t="str">
        <f>IF(Répartition!$C122="","",Répartition!$C122)</f>
        <v>Médaille d'Or FDT</v>
      </c>
      <c r="D29" s="81" t="str">
        <f>IF(Répartition!$D122="","",Répartition!$D122)</f>
        <v>Monochrome</v>
      </c>
      <c r="E29" s="149">
        <f>VLOOKUP(C29&amp;D29,code,2,0)</f>
        <v>24</v>
      </c>
      <c r="F29" s="199" t="str">
        <f>IF(Répartition!$B122="","",Répartition!$B122)</f>
        <v>FDT</v>
      </c>
      <c r="G29" s="82" t="str">
        <f>IF(Répartition!$E122="","",Répartition!$E122)</f>
        <v>Médaille d'Or FDT</v>
      </c>
      <c r="H29" s="81" t="str">
        <f>IF(Répartition!$F122="","",Répartition!$F122)</f>
        <v>Monochrome</v>
      </c>
      <c r="I29" s="149">
        <f>VLOOKUP(G29&amp;H29,code,2,0)</f>
        <v>24</v>
      </c>
      <c r="J29" s="199" t="str">
        <f>IF(Répartition!$B122="","",Répartition!$B122)</f>
        <v>FDT</v>
      </c>
      <c r="K29" s="82" t="str">
        <f>IF(Répartition!$G122="","",Répartition!$G122)</f>
        <v>Médaille d'Or FDT</v>
      </c>
      <c r="L29" s="81" t="str">
        <f>IF(Répartition!$H122="","",Répartition!$H122)</f>
        <v>Monochrome</v>
      </c>
      <c r="M29" s="149">
        <f>VLOOKUP(K29&amp;L29,code,2,0)</f>
        <v>24</v>
      </c>
      <c r="N29" s="199" t="str">
        <f>IF(Répartition!$B122="","",Répartition!$B122)</f>
        <v>FDT</v>
      </c>
      <c r="O29" s="82" t="str">
        <f>IF(Répartition!$I122="","",Répartition!$I122)</f>
        <v>Médaille d'Or FDT</v>
      </c>
      <c r="P29" s="81" t="str">
        <f>IF(Répartition!$J122="","",Répartition!$J122)</f>
        <v>Monochrome</v>
      </c>
      <c r="Q29" s="149">
        <f>VLOOKUP(O29&amp;P29,code,2,0)</f>
        <v>24</v>
      </c>
      <c r="S29" s="45" t="s">
        <v>13</v>
      </c>
      <c r="T29" s="137" t="s">
        <v>74</v>
      </c>
      <c r="U29" s="136" t="s">
        <v>28</v>
      </c>
      <c r="V29" s="43" t="str">
        <f t="shared" si="0"/>
        <v>Médaille d'Or ISFMonochrome</v>
      </c>
      <c r="W29" s="197">
        <v>16</v>
      </c>
    </row>
    <row r="30" spans="1:23" s="25" customFormat="1" ht="15" customHeight="1" x14ac:dyDescent="0.25">
      <c r="A30" s="34">
        <v>17</v>
      </c>
      <c r="B30" s="199" t="str">
        <f>IF(Répartition!$B123="","",Répartition!$B123)</f>
        <v>FDT</v>
      </c>
      <c r="C30" s="82" t="str">
        <f>IF(Répartition!$C123="","",Répartition!$C123)</f>
        <v>Médaille d'Or FDT</v>
      </c>
      <c r="D30" s="81" t="str">
        <f>IF(Répartition!$D123="","",Répartition!$D123)</f>
        <v>Thème</v>
      </c>
      <c r="E30" s="149">
        <f>VLOOKUP(C30&amp;D30,code,2,0)</f>
        <v>25</v>
      </c>
      <c r="F30" s="199" t="str">
        <f>IF(Répartition!$B123="","",Répartition!$B123)</f>
        <v>FDT</v>
      </c>
      <c r="G30" s="82" t="str">
        <f>IF(Répartition!$E123="","",Répartition!$E123)</f>
        <v>Médaille d'Or FDT</v>
      </c>
      <c r="H30" s="81" t="str">
        <f>IF(Répartition!$F123="","",Répartition!$F123)</f>
        <v>Thème</v>
      </c>
      <c r="I30" s="149">
        <f>VLOOKUP(G30&amp;H30,code,2,0)</f>
        <v>25</v>
      </c>
      <c r="J30" s="199" t="str">
        <f>IF(Répartition!$B123="","",Répartition!$B123)</f>
        <v>FDT</v>
      </c>
      <c r="K30" s="82" t="str">
        <f>IF(Répartition!$G123="","",Répartition!$G123)</f>
        <v>Médaille d'Or FDT</v>
      </c>
      <c r="L30" s="81" t="str">
        <f>IF(Répartition!$H123="","",Répartition!$H123)</f>
        <v>Thème</v>
      </c>
      <c r="M30" s="149">
        <f>VLOOKUP(K30&amp;L30,code,2,0)</f>
        <v>25</v>
      </c>
      <c r="N30" s="199" t="str">
        <f>IF(Répartition!$B123="","",Répartition!$B123)</f>
        <v>FDT</v>
      </c>
      <c r="O30" s="82" t="str">
        <f>IF(Répartition!$I123="","",Répartition!$I123)</f>
        <v>Médaille d'Or FDT</v>
      </c>
      <c r="P30" s="81" t="str">
        <f>IF(Répartition!$J123="","",Répartition!$J123)</f>
        <v>Thème</v>
      </c>
      <c r="Q30" s="149">
        <f>VLOOKUP(O30&amp;P30,code,2,0)</f>
        <v>25</v>
      </c>
      <c r="S30" s="45" t="s">
        <v>13</v>
      </c>
      <c r="T30" s="137" t="s">
        <v>74</v>
      </c>
      <c r="U30" s="136" t="s">
        <v>29</v>
      </c>
      <c r="V30" s="43" t="str">
        <f t="shared" si="0"/>
        <v>Médaille d'Or ISFThème</v>
      </c>
      <c r="W30" s="197">
        <v>17</v>
      </c>
    </row>
    <row r="31" spans="1:23" s="25" customFormat="1" ht="15" customHeight="1" x14ac:dyDescent="0.25">
      <c r="A31" s="1">
        <v>18</v>
      </c>
      <c r="B31" s="199" t="str">
        <f>IF(Répartition!$B84="","",Répartition!$B84)</f>
        <v>FPF</v>
      </c>
      <c r="C31" s="82" t="str">
        <f>IF(Répartition!$C84="","",Répartition!$C84)</f>
        <v>Trophée FPF : Meilleur Auteur français</v>
      </c>
      <c r="D31" s="81" t="str">
        <f>IF(Répartition!$D84="","",Répartition!$D84)</f>
        <v>*-*-*-*</v>
      </c>
      <c r="E31" s="149">
        <f>VLOOKUP(C31&amp;D31,code,2,0)</f>
        <v>26</v>
      </c>
      <c r="F31" s="199" t="str">
        <f>IF(Répartition!$B84="","",Répartition!$B84)</f>
        <v>FPF</v>
      </c>
      <c r="G31" s="82" t="str">
        <f>IF(Répartition!$E84="","",Répartition!$E84)</f>
        <v>Trophée FPF : Meilleur Auteur français</v>
      </c>
      <c r="H31" s="81" t="str">
        <f>IF(Répartition!$F84="","",Répartition!$F84)</f>
        <v>*-*-*-*</v>
      </c>
      <c r="I31" s="149">
        <f>VLOOKUP(G31&amp;H31,code,2,0)</f>
        <v>26</v>
      </c>
      <c r="J31" s="199" t="str">
        <f>IF(Répartition!$B84="","",Répartition!$B84)</f>
        <v>FPF</v>
      </c>
      <c r="K31" s="82" t="str">
        <f>IF(Répartition!$G84="","",Répartition!$G84)</f>
        <v>Trophée FPF : Meilleur Auteur français</v>
      </c>
      <c r="L31" s="81" t="str">
        <f>IF(Répartition!$H84="","",Répartition!$H84)</f>
        <v>*-*-*-*</v>
      </c>
      <c r="M31" s="149">
        <f>VLOOKUP(K31&amp;L31,code,2,0)</f>
        <v>26</v>
      </c>
      <c r="N31" s="199" t="str">
        <f>IF(Répartition!$B84="","",Répartition!$B84)</f>
        <v>FPF</v>
      </c>
      <c r="O31" s="82" t="str">
        <f>IF(Répartition!$I84="","",Répartition!$I84)</f>
        <v>Trophée FPF : Meilleur Auteur français</v>
      </c>
      <c r="P31" s="81" t="str">
        <f>IF(Répartition!$J84="","",Répartition!$J84)</f>
        <v>*-*-*-*</v>
      </c>
      <c r="Q31" s="149">
        <f>VLOOKUP(O31&amp;P31,code,2,0)</f>
        <v>26</v>
      </c>
      <c r="S31" s="45" t="s">
        <v>8</v>
      </c>
      <c r="T31" s="137" t="s">
        <v>70</v>
      </c>
      <c r="U31" s="136" t="s">
        <v>24</v>
      </c>
      <c r="V31" s="43" t="str">
        <f t="shared" si="0"/>
        <v>Médaille d'Or FPFCouleur</v>
      </c>
      <c r="W31" s="197">
        <v>18</v>
      </c>
    </row>
    <row r="32" spans="1:23" s="25" customFormat="1" ht="15" customHeight="1" x14ac:dyDescent="0.25">
      <c r="A32" s="1">
        <v>19</v>
      </c>
      <c r="B32" s="199" t="str">
        <f>IF(Répartition!$B19="","",Répartition!$B19)</f>
        <v>FIAP</v>
      </c>
      <c r="C32" s="82" t="str">
        <f>IF(Répartition!$C19="","",Répartition!$C19)</f>
        <v>Médaille d'Argent FIAP</v>
      </c>
      <c r="D32" s="81" t="str">
        <f>IF(Répartition!$D19="","",Répartition!$D19)</f>
        <v>Couleur</v>
      </c>
      <c r="E32" s="149">
        <f>VLOOKUP(C32&amp;D32,code,2,0)</f>
        <v>27</v>
      </c>
      <c r="F32" s="199" t="str">
        <f>IF(Répartition!$B19="","",Répartition!$B19)</f>
        <v>FIAP</v>
      </c>
      <c r="G32" s="82" t="str">
        <f>IF(Répartition!$E19="","",Répartition!$E19)</f>
        <v>Médaille d'Argent FIAP</v>
      </c>
      <c r="H32" s="81" t="str">
        <f>IF(Répartition!$F19="","",Répartition!$F19)</f>
        <v>Couleur</v>
      </c>
      <c r="I32" s="149">
        <f>VLOOKUP(G32&amp;H32,code,2,0)</f>
        <v>27</v>
      </c>
      <c r="J32" s="199" t="str">
        <f>IF(Répartition!$B19="","",Répartition!$B19)</f>
        <v>FIAP</v>
      </c>
      <c r="K32" s="82" t="str">
        <f>IF(Répartition!$G19="","",Répartition!$G19)</f>
        <v>Médaille d'Argent FIAP</v>
      </c>
      <c r="L32" s="81" t="str">
        <f>IF(Répartition!$H19="","",Répartition!$H19)</f>
        <v>Couleur</v>
      </c>
      <c r="M32" s="149">
        <f>VLOOKUP(K32&amp;L32,code,2,0)</f>
        <v>27</v>
      </c>
      <c r="N32" s="199" t="str">
        <f>IF(Répartition!$B19="","",Répartition!$B19)</f>
        <v>FIAP</v>
      </c>
      <c r="O32" s="82" t="str">
        <f>IF(Répartition!$I19="","",Répartition!$I19)</f>
        <v>Médaille d'Argent FIAP</v>
      </c>
      <c r="P32" s="81" t="str">
        <f>IF(Répartition!$J19="","",Répartition!$J19)</f>
        <v>Couleur</v>
      </c>
      <c r="Q32" s="149">
        <f>VLOOKUP(O32&amp;P32,code,2,0)</f>
        <v>27</v>
      </c>
      <c r="S32" s="45" t="s">
        <v>8</v>
      </c>
      <c r="T32" s="137" t="s">
        <v>70</v>
      </c>
      <c r="U32" s="136" t="s">
        <v>27</v>
      </c>
      <c r="V32" s="43" t="str">
        <f t="shared" si="0"/>
        <v>Médaille d'Or FPFNature</v>
      </c>
      <c r="W32" s="197">
        <v>19</v>
      </c>
    </row>
    <row r="33" spans="1:23" s="25" customFormat="1" ht="15" customHeight="1" x14ac:dyDescent="0.25">
      <c r="A33" s="34">
        <v>20</v>
      </c>
      <c r="B33" s="199" t="str">
        <f>IF(Répartition!$B20="","",Répartition!$B20)</f>
        <v>FIAP</v>
      </c>
      <c r="C33" s="82" t="str">
        <f>IF(Répartition!$C20="","",Répartition!$C20)</f>
        <v>Médaille d'Argent FIAP</v>
      </c>
      <c r="D33" s="81" t="str">
        <f>IF(Répartition!$D20="","",Répartition!$D20)</f>
        <v>Nature</v>
      </c>
      <c r="E33" s="149">
        <f>VLOOKUP(C33&amp;D33,code,2,0)</f>
        <v>28</v>
      </c>
      <c r="F33" s="199" t="str">
        <f>IF(Répartition!$B20="","",Répartition!$B20)</f>
        <v>FIAP</v>
      </c>
      <c r="G33" s="82" t="str">
        <f>IF(Répartition!$E20="","",Répartition!$E20)</f>
        <v>Médaille d'Argent FIAP</v>
      </c>
      <c r="H33" s="81" t="str">
        <f>IF(Répartition!$F20="","",Répartition!$F20)</f>
        <v>Nature</v>
      </c>
      <c r="I33" s="149">
        <f>VLOOKUP(G33&amp;H33,code,2,0)</f>
        <v>28</v>
      </c>
      <c r="J33" s="199" t="str">
        <f>IF(Répartition!$B20="","",Répartition!$B20)</f>
        <v>FIAP</v>
      </c>
      <c r="K33" s="82" t="str">
        <f>IF(Répartition!$G20="","",Répartition!$G20)</f>
        <v>Médaille d'Argent FIAP</v>
      </c>
      <c r="L33" s="81" t="str">
        <f>IF(Répartition!$H20="","",Répartition!$H20)</f>
        <v>Nature</v>
      </c>
      <c r="M33" s="149">
        <f>VLOOKUP(K33&amp;L33,code,2,0)</f>
        <v>28</v>
      </c>
      <c r="N33" s="199" t="str">
        <f>IF(Répartition!$B20="","",Répartition!$B20)</f>
        <v>FIAP</v>
      </c>
      <c r="O33" s="82" t="str">
        <f>IF(Répartition!$I20="","",Répartition!$I20)</f>
        <v>Médaille d'Argent FIAP</v>
      </c>
      <c r="P33" s="81" t="str">
        <f>IF(Répartition!$J20="","",Répartition!$J20)</f>
        <v>Nature</v>
      </c>
      <c r="Q33" s="149">
        <f>VLOOKUP(O33&amp;P33,code,2,0)</f>
        <v>28</v>
      </c>
      <c r="S33" s="45" t="s">
        <v>8</v>
      </c>
      <c r="T33" s="137" t="s">
        <v>70</v>
      </c>
      <c r="U33" s="136" t="s">
        <v>28</v>
      </c>
      <c r="V33" s="43" t="str">
        <f t="shared" si="0"/>
        <v>Médaille d'Or FPFMonochrome</v>
      </c>
      <c r="W33" s="197">
        <v>20</v>
      </c>
    </row>
    <row r="34" spans="1:23" s="25" customFormat="1" ht="15" customHeight="1" x14ac:dyDescent="0.25">
      <c r="A34" s="1">
        <v>21</v>
      </c>
      <c r="B34" s="199" t="str">
        <f>IF(Répartition!$B21="","",Répartition!$B21)</f>
        <v>FIAP</v>
      </c>
      <c r="C34" s="82" t="str">
        <f>IF(Répartition!$C21="","",Répartition!$C21)</f>
        <v>Médaille d'Argent FIAP</v>
      </c>
      <c r="D34" s="81" t="str">
        <f>IF(Répartition!$D21="","",Répartition!$D21)</f>
        <v>Monochrome</v>
      </c>
      <c r="E34" s="149">
        <f>VLOOKUP(C34&amp;D34,code,2,0)</f>
        <v>29</v>
      </c>
      <c r="F34" s="199" t="str">
        <f>IF(Répartition!$B21="","",Répartition!$B21)</f>
        <v>FIAP</v>
      </c>
      <c r="G34" s="82" t="str">
        <f>IF(Répartition!$E21="","",Répartition!$E21)</f>
        <v>Médaille d'Argent FIAP</v>
      </c>
      <c r="H34" s="81" t="str">
        <f>IF(Répartition!$F21="","",Répartition!$F21)</f>
        <v>Monochrome</v>
      </c>
      <c r="I34" s="149">
        <f>VLOOKUP(G34&amp;H34,code,2,0)</f>
        <v>29</v>
      </c>
      <c r="J34" s="199" t="str">
        <f>IF(Répartition!$B21="","",Répartition!$B21)</f>
        <v>FIAP</v>
      </c>
      <c r="K34" s="82" t="str">
        <f>IF(Répartition!$G21="","",Répartition!$G21)</f>
        <v>Médaille d'Argent FIAP</v>
      </c>
      <c r="L34" s="81" t="str">
        <f>IF(Répartition!$H21="","",Répartition!$H21)</f>
        <v>Monochrome</v>
      </c>
      <c r="M34" s="149">
        <f>VLOOKUP(K34&amp;L34,code,2,0)</f>
        <v>29</v>
      </c>
      <c r="N34" s="199" t="str">
        <f>IF(Répartition!$B21="","",Répartition!$B21)</f>
        <v>FIAP</v>
      </c>
      <c r="O34" s="82" t="str">
        <f>IF(Répartition!$I21="","",Répartition!$I21)</f>
        <v>Médaille d'Argent FIAP</v>
      </c>
      <c r="P34" s="81" t="str">
        <f>IF(Répartition!$J21="","",Répartition!$J21)</f>
        <v>Monochrome</v>
      </c>
      <c r="Q34" s="149">
        <f>VLOOKUP(O34&amp;P34,code,2,0)</f>
        <v>29</v>
      </c>
      <c r="S34" s="45" t="s">
        <v>8</v>
      </c>
      <c r="T34" s="137" t="s">
        <v>70</v>
      </c>
      <c r="U34" s="136" t="s">
        <v>29</v>
      </c>
      <c r="V34" s="43" t="str">
        <f t="shared" si="0"/>
        <v>Médaille d'Or FPFThème</v>
      </c>
      <c r="W34" s="197">
        <v>21</v>
      </c>
    </row>
    <row r="35" spans="1:23" s="25" customFormat="1" ht="15" customHeight="1" x14ac:dyDescent="0.25">
      <c r="A35" s="1">
        <v>22</v>
      </c>
      <c r="B35" s="199" t="str">
        <f>IF(Répartition!$B22="","",Répartition!$B22)</f>
        <v>FIAP</v>
      </c>
      <c r="C35" s="82" t="str">
        <f>IF(Répartition!$C22="","",Répartition!$C22)</f>
        <v>Médaille d'Argent FIAP</v>
      </c>
      <c r="D35" s="81" t="str">
        <f>IF(Répartition!$D22="","",Répartition!$D22)</f>
        <v>Thème</v>
      </c>
      <c r="E35" s="149">
        <f>VLOOKUP(C35&amp;D35,code,2,0)</f>
        <v>30</v>
      </c>
      <c r="F35" s="199" t="str">
        <f>IF(Répartition!$B22="","",Répartition!$B22)</f>
        <v>FIAP</v>
      </c>
      <c r="G35" s="82" t="str">
        <f>IF(Répartition!$E22="","",Répartition!$E22)</f>
        <v>Médaille d'Argent FIAP</v>
      </c>
      <c r="H35" s="81" t="str">
        <f>IF(Répartition!$F22="","",Répartition!$F22)</f>
        <v>Thème</v>
      </c>
      <c r="I35" s="149">
        <f>VLOOKUP(G35&amp;H35,code,2,0)</f>
        <v>30</v>
      </c>
      <c r="J35" s="199" t="str">
        <f>IF(Répartition!$B22="","",Répartition!$B22)</f>
        <v>FIAP</v>
      </c>
      <c r="K35" s="82" t="str">
        <f>IF(Répartition!$G22="","",Répartition!$G22)</f>
        <v>Médaille d'Argent FIAP</v>
      </c>
      <c r="L35" s="81" t="str">
        <f>IF(Répartition!$H22="","",Répartition!$H22)</f>
        <v>Thème</v>
      </c>
      <c r="M35" s="149">
        <f>VLOOKUP(K35&amp;L35,code,2,0)</f>
        <v>30</v>
      </c>
      <c r="N35" s="199" t="str">
        <f>IF(Répartition!$B22="","",Répartition!$B22)</f>
        <v>FIAP</v>
      </c>
      <c r="O35" s="82" t="str">
        <f>IF(Répartition!$I22="","",Répartition!$I22)</f>
        <v>Médaille d'Argent FIAP</v>
      </c>
      <c r="P35" s="81" t="str">
        <f>IF(Répartition!$J22="","",Répartition!$J22)</f>
        <v>Thème</v>
      </c>
      <c r="Q35" s="149">
        <f>VLOOKUP(O35&amp;P35,code,2,0)</f>
        <v>30</v>
      </c>
      <c r="S35" s="45" t="s">
        <v>14</v>
      </c>
      <c r="T35" s="137" t="s">
        <v>78</v>
      </c>
      <c r="U35" s="136" t="s">
        <v>24</v>
      </c>
      <c r="V35" s="43" t="str">
        <f t="shared" si="0"/>
        <v>Médaille d'Or FDTCouleur</v>
      </c>
      <c r="W35" s="197">
        <v>22</v>
      </c>
    </row>
    <row r="36" spans="1:23" s="25" customFormat="1" ht="15" customHeight="1" x14ac:dyDescent="0.25">
      <c r="A36" s="34">
        <v>23</v>
      </c>
      <c r="B36" s="199" t="str">
        <f>IF(Répartition!$B59="","",Répartition!$B59)</f>
        <v>PSA</v>
      </c>
      <c r="C36" s="82" t="str">
        <f>IF(Répartition!$C59="","",Répartition!$C59)</f>
        <v>Médaille d'Argent PSA</v>
      </c>
      <c r="D36" s="81" t="str">
        <f>IF(Répartition!$D59="","",Répartition!$D59)</f>
        <v>Couleur</v>
      </c>
      <c r="E36" s="149">
        <f>VLOOKUP(C36&amp;D36,code,2,0)</f>
        <v>31</v>
      </c>
      <c r="F36" s="199" t="str">
        <f>IF(Répartition!$B59="","",Répartition!$B59)</f>
        <v>PSA</v>
      </c>
      <c r="G36" s="82" t="str">
        <f>IF(Répartition!$E59="","",Répartition!$E59)</f>
        <v>Médaille d'Argent PSA</v>
      </c>
      <c r="H36" s="81" t="str">
        <f>IF(Répartition!$F59="","",Répartition!$F59)</f>
        <v>Couleur</v>
      </c>
      <c r="I36" s="149">
        <f>VLOOKUP(G36&amp;H36,code,2,0)</f>
        <v>31</v>
      </c>
      <c r="J36" s="199" t="str">
        <f>IF(Répartition!$B59="","",Répartition!$B59)</f>
        <v>PSA</v>
      </c>
      <c r="K36" s="82" t="str">
        <f>IF(Répartition!$G59="","",Répartition!$G59)</f>
        <v>Médaille d'Argent PSA</v>
      </c>
      <c r="L36" s="81" t="str">
        <f>IF(Répartition!$H59="","",Répartition!$H59)</f>
        <v>Couleur</v>
      </c>
      <c r="M36" s="149">
        <f>VLOOKUP(K36&amp;L36,code,2,0)</f>
        <v>31</v>
      </c>
      <c r="N36" s="199" t="str">
        <f>IF(Répartition!$B59="","",Répartition!$B59)</f>
        <v>PSA</v>
      </c>
      <c r="O36" s="82" t="str">
        <f>IF(Répartition!$I59="","",Répartition!$I59)</f>
        <v>Médaille d'Argent PSA</v>
      </c>
      <c r="P36" s="81" t="str">
        <f>IF(Répartition!$J59="","",Répartition!$J59)</f>
        <v>Couleur</v>
      </c>
      <c r="Q36" s="149">
        <f>VLOOKUP(O36&amp;P36,code,2,0)</f>
        <v>31</v>
      </c>
      <c r="S36" s="45" t="s">
        <v>14</v>
      </c>
      <c r="T36" s="137" t="s">
        <v>78</v>
      </c>
      <c r="U36" s="136" t="s">
        <v>27</v>
      </c>
      <c r="V36" s="43" t="str">
        <f t="shared" si="0"/>
        <v>Médaille d'Or FDTNature</v>
      </c>
      <c r="W36" s="197">
        <v>23</v>
      </c>
    </row>
    <row r="37" spans="1:23" s="25" customFormat="1" ht="15" customHeight="1" x14ac:dyDescent="0.25">
      <c r="A37" s="1">
        <v>24</v>
      </c>
      <c r="B37" s="199" t="str">
        <f>IF(Répartition!$B60="","",Répartition!$B60)</f>
        <v>PSA</v>
      </c>
      <c r="C37" s="82" t="str">
        <f>IF(Répartition!$C60="","",Répartition!$C60)</f>
        <v>Médaille d'Argent PSA</v>
      </c>
      <c r="D37" s="81" t="str">
        <f>IF(Répartition!$D60="","",Répartition!$D60)</f>
        <v>Nature</v>
      </c>
      <c r="E37" s="149">
        <f>VLOOKUP(C37&amp;D37,code,2,0)</f>
        <v>32</v>
      </c>
      <c r="F37" s="199" t="str">
        <f>IF(Répartition!$B60="","",Répartition!$B60)</f>
        <v>PSA</v>
      </c>
      <c r="G37" s="82" t="str">
        <f>IF(Répartition!$E60="","",Répartition!$E60)</f>
        <v>Médaille d'Argent PSA</v>
      </c>
      <c r="H37" s="81" t="str">
        <f>IF(Répartition!$F60="","",Répartition!$F60)</f>
        <v>Nature</v>
      </c>
      <c r="I37" s="149">
        <f>VLOOKUP(G37&amp;H37,code,2,0)</f>
        <v>32</v>
      </c>
      <c r="J37" s="199" t="str">
        <f>IF(Répartition!$B60="","",Répartition!$B60)</f>
        <v>PSA</v>
      </c>
      <c r="K37" s="82" t="str">
        <f>IF(Répartition!$G60="","",Répartition!$G60)</f>
        <v>Médaille d'Argent PSA</v>
      </c>
      <c r="L37" s="81" t="str">
        <f>IF(Répartition!$H60="","",Répartition!$H60)</f>
        <v>Nature</v>
      </c>
      <c r="M37" s="149">
        <f>VLOOKUP(K37&amp;L37,code,2,0)</f>
        <v>32</v>
      </c>
      <c r="N37" s="199" t="str">
        <f>IF(Répartition!$B60="","",Répartition!$B60)</f>
        <v>PSA</v>
      </c>
      <c r="O37" s="82" t="str">
        <f>IF(Répartition!$I60="","",Répartition!$I60)</f>
        <v>Médaille d'Argent PSA</v>
      </c>
      <c r="P37" s="81" t="str">
        <f>IF(Répartition!$J60="","",Répartition!$J60)</f>
        <v>Nature</v>
      </c>
      <c r="Q37" s="149">
        <f>VLOOKUP(O37&amp;P37,code,2,0)</f>
        <v>32</v>
      </c>
      <c r="S37" s="45" t="s">
        <v>14</v>
      </c>
      <c r="T37" s="137" t="s">
        <v>78</v>
      </c>
      <c r="U37" s="136" t="s">
        <v>28</v>
      </c>
      <c r="V37" s="43" t="str">
        <f t="shared" si="0"/>
        <v>Médaille d'Or FDTMonochrome</v>
      </c>
      <c r="W37" s="197">
        <v>24</v>
      </c>
    </row>
    <row r="38" spans="1:23" s="25" customFormat="1" ht="15" customHeight="1" x14ac:dyDescent="0.25">
      <c r="A38" s="1">
        <v>25</v>
      </c>
      <c r="B38" s="199" t="str">
        <f>IF(Répartition!$B61="","",Répartition!$B61)</f>
        <v>PSA</v>
      </c>
      <c r="C38" s="82" t="str">
        <f>IF(Répartition!$C61="","",Répartition!$C61)</f>
        <v>Médaille d'Argent PSA</v>
      </c>
      <c r="D38" s="81" t="str">
        <f>IF(Répartition!$D61="","",Répartition!$D61)</f>
        <v>Monochrome</v>
      </c>
      <c r="E38" s="149">
        <f>VLOOKUP(C38&amp;D38,code,2,0)</f>
        <v>33</v>
      </c>
      <c r="F38" s="199" t="str">
        <f>IF(Répartition!$B61="","",Répartition!$B61)</f>
        <v>PSA</v>
      </c>
      <c r="G38" s="82" t="str">
        <f>IF(Répartition!$E61="","",Répartition!$E61)</f>
        <v>Médaille d'Argent PSA</v>
      </c>
      <c r="H38" s="81" t="str">
        <f>IF(Répartition!$F61="","",Répartition!$F61)</f>
        <v>Monochrome</v>
      </c>
      <c r="I38" s="149">
        <f>VLOOKUP(G38&amp;H38,code,2,0)</f>
        <v>33</v>
      </c>
      <c r="J38" s="199" t="str">
        <f>IF(Répartition!$B61="","",Répartition!$B61)</f>
        <v>PSA</v>
      </c>
      <c r="K38" s="82" t="str">
        <f>IF(Répartition!$G61="","",Répartition!$G61)</f>
        <v>Médaille d'Argent PSA</v>
      </c>
      <c r="L38" s="81" t="str">
        <f>IF(Répartition!$H61="","",Répartition!$H61)</f>
        <v>Monochrome</v>
      </c>
      <c r="M38" s="149">
        <f>VLOOKUP(K38&amp;L38,code,2,0)</f>
        <v>33</v>
      </c>
      <c r="N38" s="199" t="str">
        <f>IF(Répartition!$B61="","",Répartition!$B61)</f>
        <v>PSA</v>
      </c>
      <c r="O38" s="82" t="str">
        <f>IF(Répartition!$I61="","",Répartition!$I61)</f>
        <v>Médaille d'Argent PSA</v>
      </c>
      <c r="P38" s="81" t="str">
        <f>IF(Répartition!$J61="","",Répartition!$J61)</f>
        <v>Monochrome</v>
      </c>
      <c r="Q38" s="149">
        <f>VLOOKUP(O38&amp;P38,code,2,0)</f>
        <v>33</v>
      </c>
      <c r="S38" s="45" t="s">
        <v>14</v>
      </c>
      <c r="T38" s="137" t="s">
        <v>78</v>
      </c>
      <c r="U38" s="136" t="s">
        <v>29</v>
      </c>
      <c r="V38" s="43" t="str">
        <f t="shared" si="0"/>
        <v>Médaille d'Or FDTThème</v>
      </c>
      <c r="W38" s="197">
        <v>25</v>
      </c>
    </row>
    <row r="39" spans="1:23" s="25" customFormat="1" ht="15" customHeight="1" x14ac:dyDescent="0.25">
      <c r="A39" s="34">
        <v>26</v>
      </c>
      <c r="B39" s="199" t="str">
        <f>IF(Répartition!$B62="","",Répartition!$B62)</f>
        <v>PSA</v>
      </c>
      <c r="C39" s="82" t="str">
        <f>IF(Répartition!$C62="","",Répartition!$C62)</f>
        <v>Médaille d'Argent PSA</v>
      </c>
      <c r="D39" s="81" t="str">
        <f>IF(Répartition!$D62="","",Répartition!$D62)</f>
        <v>Thème</v>
      </c>
      <c r="E39" s="149">
        <f>VLOOKUP(C39&amp;D39,code,2,0)</f>
        <v>34</v>
      </c>
      <c r="F39" s="199" t="str">
        <f>IF(Répartition!$B62="","",Répartition!$B62)</f>
        <v>PSA</v>
      </c>
      <c r="G39" s="82" t="str">
        <f>IF(Répartition!$E62="","",Répartition!$E62)</f>
        <v>Médaille d'Argent PSA</v>
      </c>
      <c r="H39" s="81" t="str">
        <f>IF(Répartition!$F62="","",Répartition!$F62)</f>
        <v>Thème</v>
      </c>
      <c r="I39" s="149">
        <f>VLOOKUP(G39&amp;H39,code,2,0)</f>
        <v>34</v>
      </c>
      <c r="J39" s="199" t="str">
        <f>IF(Répartition!$B62="","",Répartition!$B62)</f>
        <v>PSA</v>
      </c>
      <c r="K39" s="82" t="str">
        <f>IF(Répartition!$G62="","",Répartition!$G62)</f>
        <v>Médaille d'Argent PSA</v>
      </c>
      <c r="L39" s="81" t="str">
        <f>IF(Répartition!$H62="","",Répartition!$H62)</f>
        <v>Thème</v>
      </c>
      <c r="M39" s="149">
        <f>VLOOKUP(K39&amp;L39,code,2,0)</f>
        <v>34</v>
      </c>
      <c r="N39" s="199" t="str">
        <f>IF(Répartition!$B62="","",Répartition!$B62)</f>
        <v>PSA</v>
      </c>
      <c r="O39" s="82" t="str">
        <f>IF(Répartition!$I62="","",Répartition!$I62)</f>
        <v>Médaille d'Argent PSA</v>
      </c>
      <c r="P39" s="81" t="str">
        <f>IF(Répartition!$J62="","",Répartition!$J62)</f>
        <v>Thème</v>
      </c>
      <c r="Q39" s="149">
        <f>VLOOKUP(O39&amp;P39,code,2,0)</f>
        <v>34</v>
      </c>
      <c r="S39" s="45" t="s">
        <v>8</v>
      </c>
      <c r="T39" s="137" t="s">
        <v>69</v>
      </c>
      <c r="U39" s="136" t="s">
        <v>53</v>
      </c>
      <c r="V39" s="43" t="str">
        <f t="shared" si="0"/>
        <v>Trophée FPF : Meilleur Auteur français*-*-*-*</v>
      </c>
      <c r="W39" s="197">
        <v>26</v>
      </c>
    </row>
    <row r="40" spans="1:23" s="25" customFormat="1" ht="15" customHeight="1" x14ac:dyDescent="0.25">
      <c r="A40" s="1">
        <v>27</v>
      </c>
      <c r="B40" s="199" t="str">
        <f>IF(Répartition!$B76="","",Répartition!$B76)</f>
        <v>GPU</v>
      </c>
      <c r="C40" s="82" t="str">
        <f>IF(Répartition!$C76="","",Répartition!$C76)</f>
        <v>Médaille d'Argent GPU</v>
      </c>
      <c r="D40" s="81" t="str">
        <f>IF(Répartition!$D76="","",Répartition!$D76)</f>
        <v>Nature</v>
      </c>
      <c r="E40" s="149">
        <f>VLOOKUP(C40&amp;D40,code,2,0)</f>
        <v>36</v>
      </c>
      <c r="F40" s="199" t="str">
        <f>IF(Répartition!$B76="","",Répartition!$B76)</f>
        <v>GPU</v>
      </c>
      <c r="G40" s="82" t="str">
        <f>IF(Répartition!$E76="","",Répartition!$E76)</f>
        <v>Médaille d'Argent GPU</v>
      </c>
      <c r="H40" s="81" t="str">
        <f>IF(Répartition!$F76="","",Répartition!$F76)</f>
        <v>Monochrome</v>
      </c>
      <c r="I40" s="149">
        <f>VLOOKUP(G40&amp;H40,code,2,0)</f>
        <v>37</v>
      </c>
      <c r="J40" s="199" t="str">
        <f>IF(Répartition!$B76="","",Répartition!$B76)</f>
        <v>GPU</v>
      </c>
      <c r="K40" s="82" t="str">
        <f>IF(Répartition!$G76="","",Répartition!$G76)</f>
        <v>Médaille d'Argent GPU</v>
      </c>
      <c r="L40" s="81" t="str">
        <f>IF(Répartition!$H76="","",Répartition!$H76)</f>
        <v>Thème</v>
      </c>
      <c r="M40" s="149">
        <f>VLOOKUP(K40&amp;L40,code,2,0)</f>
        <v>38</v>
      </c>
      <c r="N40" s="199" t="str">
        <f>IF(Répartition!$B76="","",Répartition!$B76)</f>
        <v>GPU</v>
      </c>
      <c r="O40" s="82" t="str">
        <f>IF(Répartition!$I76="","",Répartition!$I76)</f>
        <v>Médaille d'Argent GPU</v>
      </c>
      <c r="P40" s="81" t="str">
        <f>IF(Répartition!$J76="","",Répartition!$J76)</f>
        <v>Couleur</v>
      </c>
      <c r="Q40" s="149">
        <f>VLOOKUP(O40&amp;P40,code,2,0)</f>
        <v>35</v>
      </c>
      <c r="S40" s="45" t="s">
        <v>10</v>
      </c>
      <c r="T40" s="137" t="s">
        <v>55</v>
      </c>
      <c r="U40" s="136" t="s">
        <v>24</v>
      </c>
      <c r="V40" s="43" t="str">
        <f t="shared" si="0"/>
        <v>Médaille d'Argent FIAPCouleur</v>
      </c>
      <c r="W40" s="197">
        <v>27</v>
      </c>
    </row>
    <row r="41" spans="1:23" s="25" customFormat="1" ht="15" customHeight="1" x14ac:dyDescent="0.25">
      <c r="A41" s="1">
        <v>28</v>
      </c>
      <c r="B41" s="199" t="str">
        <f>IF(Répartition!$B106="","",Répartition!$B106)</f>
        <v>ISF</v>
      </c>
      <c r="C41" s="82" t="str">
        <f>IF(Répartition!$C106="","",Répartition!$C106)</f>
        <v>Médaille d'Argent ISF</v>
      </c>
      <c r="D41" s="81" t="str">
        <f>IF(Répartition!$D106="","",Répartition!$D106)</f>
        <v>Nature</v>
      </c>
      <c r="E41" s="149">
        <f>VLOOKUP(C41&amp;D41,code,2,0)</f>
        <v>40</v>
      </c>
      <c r="F41" s="199" t="str">
        <f>IF(Répartition!$B106="","",Répartition!$B106)</f>
        <v>ISF</v>
      </c>
      <c r="G41" s="82" t="str">
        <f>IF(Répartition!$E106="","",Répartition!$E106)</f>
        <v>Médaille d'Argent ISF</v>
      </c>
      <c r="H41" s="81" t="str">
        <f>IF(Répartition!$F106="","",Répartition!$F106)</f>
        <v>Monochrome</v>
      </c>
      <c r="I41" s="149">
        <f>VLOOKUP(G41&amp;H41,code,2,0)</f>
        <v>41</v>
      </c>
      <c r="J41" s="199" t="str">
        <f>IF(Répartition!$B106="","",Répartition!$B106)</f>
        <v>ISF</v>
      </c>
      <c r="K41" s="82" t="str">
        <f>IF(Répartition!$G106="","",Répartition!$G106)</f>
        <v>Médaille d'Argent ISF</v>
      </c>
      <c r="L41" s="81" t="str">
        <f>IF(Répartition!$H106="","",Répartition!$H106)</f>
        <v>Thème</v>
      </c>
      <c r="M41" s="149">
        <f>VLOOKUP(K41&amp;L41,code,2,0)</f>
        <v>42</v>
      </c>
      <c r="N41" s="199" t="str">
        <f>IF(Répartition!$B106="","",Répartition!$B106)</f>
        <v>ISF</v>
      </c>
      <c r="O41" s="82" t="str">
        <f>IF(Répartition!$I106="","",Répartition!$I106)</f>
        <v>Médaille d'Argent ISF</v>
      </c>
      <c r="P41" s="81" t="str">
        <f>IF(Répartition!$J106="","",Répartition!$J106)</f>
        <v>Couleur</v>
      </c>
      <c r="Q41" s="149">
        <f>VLOOKUP(O41&amp;P41,code,2,0)</f>
        <v>39</v>
      </c>
      <c r="S41" s="45" t="s">
        <v>10</v>
      </c>
      <c r="T41" s="137" t="s">
        <v>55</v>
      </c>
      <c r="U41" s="136" t="s">
        <v>27</v>
      </c>
      <c r="V41" s="43" t="str">
        <f t="shared" si="0"/>
        <v>Médaille d'Argent FIAPNature</v>
      </c>
      <c r="W41" s="197">
        <v>28</v>
      </c>
    </row>
    <row r="42" spans="1:23" s="25" customFormat="1" ht="15" customHeight="1" x14ac:dyDescent="0.25">
      <c r="A42" s="34">
        <v>29</v>
      </c>
      <c r="B42" s="199" t="str">
        <f>IF(Répartition!$B87="","",Répartition!$B87)</f>
        <v>FPF</v>
      </c>
      <c r="C42" s="82" t="str">
        <f>IF(Répartition!$C87="","",Répartition!$C87)</f>
        <v>Médaille d'Argent FPF</v>
      </c>
      <c r="D42" s="81" t="str">
        <f>IF(Répartition!$D87="","",Répartition!$D87)</f>
        <v>Couleur</v>
      </c>
      <c r="E42" s="149">
        <f>VLOOKUP(C42&amp;D42,code,2,0)</f>
        <v>43</v>
      </c>
      <c r="F42" s="199" t="str">
        <f>IF(Répartition!$B87="","",Répartition!$B87)</f>
        <v>FPF</v>
      </c>
      <c r="G42" s="82" t="str">
        <f>IF(Répartition!$E87="","",Répartition!$E87)</f>
        <v>Médaille d'Argent FPF</v>
      </c>
      <c r="H42" s="81" t="str">
        <f>IF(Répartition!$F87="","",Répartition!$F87)</f>
        <v>Nature</v>
      </c>
      <c r="I42" s="149">
        <f>VLOOKUP(G42&amp;H42,code,2,0)</f>
        <v>44</v>
      </c>
      <c r="J42" s="199" t="str">
        <f>IF(Répartition!$B87="","",Répartition!$B87)</f>
        <v>FPF</v>
      </c>
      <c r="K42" s="82" t="str">
        <f>IF(Répartition!$G87="","",Répartition!$G87)</f>
        <v>Médaille d'Argent FPF</v>
      </c>
      <c r="L42" s="81" t="str">
        <f>IF(Répartition!$H87="","",Répartition!$H87)</f>
        <v>Monochrome</v>
      </c>
      <c r="M42" s="149">
        <f>VLOOKUP(K42&amp;L42,code,2,0)</f>
        <v>45</v>
      </c>
      <c r="N42" s="199" t="str">
        <f>IF(Répartition!$B88="","",Répartition!$B88)</f>
        <v>FPF</v>
      </c>
      <c r="O42" s="82" t="str">
        <f>IF(Répartition!$I88="","",Répartition!$I88)</f>
        <v>Médaille d'Argent FPF</v>
      </c>
      <c r="P42" s="81" t="str">
        <f>IF(Répartition!$J88="","",Répartition!$J88)</f>
        <v>Couleur</v>
      </c>
      <c r="Q42" s="149">
        <f>VLOOKUP(O42&amp;P42,code,2,0)</f>
        <v>43</v>
      </c>
      <c r="S42" s="45" t="s">
        <v>10</v>
      </c>
      <c r="T42" s="137" t="s">
        <v>55</v>
      </c>
      <c r="U42" s="136" t="s">
        <v>28</v>
      </c>
      <c r="V42" s="43" t="str">
        <f t="shared" si="0"/>
        <v>Médaille d'Argent FIAPMonochrome</v>
      </c>
      <c r="W42" s="197">
        <v>29</v>
      </c>
    </row>
    <row r="43" spans="1:23" s="25" customFormat="1" ht="15" customHeight="1" x14ac:dyDescent="0.25">
      <c r="A43" s="1">
        <v>30</v>
      </c>
      <c r="B43" s="199" t="str">
        <f>IF(Répartition!$B88="","",Répartition!$B88)</f>
        <v>FPF</v>
      </c>
      <c r="C43" s="82" t="str">
        <f>IF(Répartition!$C88="","",Répartition!$C88)</f>
        <v>Médaille d'Argent FPF</v>
      </c>
      <c r="D43" s="81" t="str">
        <f>IF(Répartition!$D88="","",Répartition!$D88)</f>
        <v>Nature</v>
      </c>
      <c r="E43" s="149">
        <f>VLOOKUP(C43&amp;D43,code,2,0)</f>
        <v>44</v>
      </c>
      <c r="F43" s="199" t="str">
        <f>IF(Répartition!$B88="","",Répartition!$B88)</f>
        <v>FPF</v>
      </c>
      <c r="G43" s="82" t="str">
        <f>IF(Répartition!$E88="","",Répartition!$E88)</f>
        <v>Médaille d'Argent FPF</v>
      </c>
      <c r="H43" s="81" t="str">
        <f>IF(Répartition!$F88="","",Répartition!$F88)</f>
        <v>Monochrome</v>
      </c>
      <c r="I43" s="149">
        <f>VLOOKUP(G43&amp;H43,code,2,0)</f>
        <v>45</v>
      </c>
      <c r="J43" s="199" t="str">
        <f>IF(Répartition!$B88="","",Répartition!$B88)</f>
        <v>FPF</v>
      </c>
      <c r="K43" s="82" t="str">
        <f>IF(Répartition!$G88="","",Répartition!$G88)</f>
        <v>Médaille d'Argent FPF</v>
      </c>
      <c r="L43" s="81" t="str">
        <f>IF(Répartition!$H88="","",Répartition!$H88)</f>
        <v>Thème</v>
      </c>
      <c r="M43" s="149">
        <f>VLOOKUP(K43&amp;L43,code,2,0)</f>
        <v>46</v>
      </c>
      <c r="N43" s="199" t="str">
        <f>IF(Répartition!$B87="","",Répartition!$B87)</f>
        <v>FPF</v>
      </c>
      <c r="O43" s="82" t="str">
        <f>IF(Répartition!$I87="","",Répartition!$I87)</f>
        <v>Médaille d'Argent FPF</v>
      </c>
      <c r="P43" s="81" t="str">
        <f>IF(Répartition!$J87="","",Répartition!$J87)</f>
        <v>Thème</v>
      </c>
      <c r="Q43" s="149">
        <f>VLOOKUP(O43&amp;P43,code,2,0)</f>
        <v>46</v>
      </c>
      <c r="S43" s="45" t="s">
        <v>10</v>
      </c>
      <c r="T43" s="137" t="s">
        <v>55</v>
      </c>
      <c r="U43" s="136" t="s">
        <v>29</v>
      </c>
      <c r="V43" s="43" t="str">
        <f t="shared" si="0"/>
        <v>Médaille d'Argent FIAPThème</v>
      </c>
      <c r="W43" s="197">
        <v>30</v>
      </c>
    </row>
    <row r="44" spans="1:23" s="25" customFormat="1" ht="15" customHeight="1" x14ac:dyDescent="0.25">
      <c r="A44" s="1">
        <v>31</v>
      </c>
      <c r="B44" s="199" t="str">
        <f>IF(Répartition!$B124="","",Répartition!$B124)</f>
        <v>FDT</v>
      </c>
      <c r="C44" s="82" t="str">
        <f>IF(Répartition!$C124="","",Répartition!$C124)</f>
        <v>Médaille d'Argent FDT</v>
      </c>
      <c r="D44" s="81" t="str">
        <f>IF(Répartition!$D124="","",Répartition!$D124)</f>
        <v>Couleur</v>
      </c>
      <c r="E44" s="149">
        <f>VLOOKUP(C44&amp;D44,code,2,0)</f>
        <v>47</v>
      </c>
      <c r="F44" s="199" t="str">
        <f>IF(Répartition!$B124="","",Répartition!$B124)</f>
        <v>FDT</v>
      </c>
      <c r="G44" s="82" t="str">
        <f>IF(Répartition!$E124="","",Répartition!$E124)</f>
        <v>Médaille d'Argent FDT</v>
      </c>
      <c r="H44" s="81" t="str">
        <f>IF(Répartition!$F124="","",Répartition!$F124)</f>
        <v>Couleur</v>
      </c>
      <c r="I44" s="149">
        <f>VLOOKUP(G44&amp;H44,code,2,0)</f>
        <v>47</v>
      </c>
      <c r="J44" s="199" t="str">
        <f>IF(Répartition!$B124="","",Répartition!$B124)</f>
        <v>FDT</v>
      </c>
      <c r="K44" s="82" t="str">
        <f>IF(Répartition!$G124="","",Répartition!$G124)</f>
        <v>Médaille d'Argent FDT</v>
      </c>
      <c r="L44" s="81" t="str">
        <f>IF(Répartition!$H124="","",Répartition!$H124)</f>
        <v>Couleur</v>
      </c>
      <c r="M44" s="149">
        <f>VLOOKUP(K44&amp;L44,code,2,0)</f>
        <v>47</v>
      </c>
      <c r="N44" s="199" t="str">
        <f>IF(Répartition!$B124="","",Répartition!$B124)</f>
        <v>FDT</v>
      </c>
      <c r="O44" s="82" t="str">
        <f>IF(Répartition!$I124="","",Répartition!$I124)</f>
        <v>Médaille d'Argent FDT</v>
      </c>
      <c r="P44" s="81" t="str">
        <f>IF(Répartition!$J124="","",Répartition!$J124)</f>
        <v>Couleur</v>
      </c>
      <c r="Q44" s="149">
        <f>VLOOKUP(O44&amp;P44,code,2,0)</f>
        <v>47</v>
      </c>
      <c r="S44" s="45" t="s">
        <v>11</v>
      </c>
      <c r="T44" s="137" t="s">
        <v>62</v>
      </c>
      <c r="U44" s="136" t="s">
        <v>24</v>
      </c>
      <c r="V44" s="43" t="str">
        <f t="shared" si="0"/>
        <v>Médaille d'Argent PSACouleur</v>
      </c>
      <c r="W44" s="197">
        <v>31</v>
      </c>
    </row>
    <row r="45" spans="1:23" s="25" customFormat="1" ht="15" customHeight="1" x14ac:dyDescent="0.25">
      <c r="A45" s="34">
        <v>32</v>
      </c>
      <c r="B45" s="199" t="str">
        <f>IF(Répartition!$B125="","",Répartition!$B125)</f>
        <v>FDT</v>
      </c>
      <c r="C45" s="82" t="str">
        <f>IF(Répartition!$C125="","",Répartition!$C125)</f>
        <v>Médaille d'Argent FDT</v>
      </c>
      <c r="D45" s="81" t="str">
        <f>IF(Répartition!$D125="","",Répartition!$D125)</f>
        <v>Nature</v>
      </c>
      <c r="E45" s="149">
        <f>VLOOKUP(C45&amp;D45,code,2,0)</f>
        <v>48</v>
      </c>
      <c r="F45" s="199" t="str">
        <f>IF(Répartition!$B125="","",Répartition!$B125)</f>
        <v>FDT</v>
      </c>
      <c r="G45" s="82" t="str">
        <f>IF(Répartition!$E125="","",Répartition!$E125)</f>
        <v>Médaille d'Argent FDT</v>
      </c>
      <c r="H45" s="81" t="str">
        <f>IF(Répartition!$F125="","",Répartition!$F125)</f>
        <v>Nature</v>
      </c>
      <c r="I45" s="149">
        <f>VLOOKUP(G45&amp;H45,code,2,0)</f>
        <v>48</v>
      </c>
      <c r="J45" s="199" t="str">
        <f>IF(Répartition!$B125="","",Répartition!$B125)</f>
        <v>FDT</v>
      </c>
      <c r="K45" s="82" t="str">
        <f>IF(Répartition!$G125="","",Répartition!$G125)</f>
        <v>Médaille d'Argent FDT</v>
      </c>
      <c r="L45" s="81" t="str">
        <f>IF(Répartition!$H125="","",Répartition!$H125)</f>
        <v>Nature</v>
      </c>
      <c r="M45" s="149">
        <f>VLOOKUP(K45&amp;L45,code,2,0)</f>
        <v>48</v>
      </c>
      <c r="N45" s="199" t="str">
        <f>IF(Répartition!$B125="","",Répartition!$B125)</f>
        <v>FDT</v>
      </c>
      <c r="O45" s="82" t="str">
        <f>IF(Répartition!$I125="","",Répartition!$I125)</f>
        <v>Médaille d'Argent FDT</v>
      </c>
      <c r="P45" s="81" t="str">
        <f>IF(Répartition!$J125="","",Répartition!$J125)</f>
        <v>Nature</v>
      </c>
      <c r="Q45" s="149">
        <f>VLOOKUP(O45&amp;P45,code,2,0)</f>
        <v>48</v>
      </c>
      <c r="S45" s="45" t="s">
        <v>11</v>
      </c>
      <c r="T45" s="137" t="s">
        <v>62</v>
      </c>
      <c r="U45" s="136" t="s">
        <v>27</v>
      </c>
      <c r="V45" s="43" t="str">
        <f t="shared" si="0"/>
        <v>Médaille d'Argent PSANature</v>
      </c>
      <c r="W45" s="197">
        <v>32</v>
      </c>
    </row>
    <row r="46" spans="1:23" s="25" customFormat="1" ht="15" customHeight="1" x14ac:dyDescent="0.25">
      <c r="A46" s="1">
        <v>33</v>
      </c>
      <c r="B46" s="199" t="str">
        <f>IF(Répartition!$B126="","",Répartition!$B126)</f>
        <v>FDT</v>
      </c>
      <c r="C46" s="82" t="str">
        <f>IF(Répartition!$C126="","",Répartition!$C126)</f>
        <v>Médaille d'Argent FDT</v>
      </c>
      <c r="D46" s="81" t="str">
        <f>IF(Répartition!$D126="","",Répartition!$D126)</f>
        <v>Monochrome</v>
      </c>
      <c r="E46" s="149">
        <f>VLOOKUP(C46&amp;D46,code,2,0)</f>
        <v>49</v>
      </c>
      <c r="F46" s="199" t="str">
        <f>IF(Répartition!$B126="","",Répartition!$B126)</f>
        <v>FDT</v>
      </c>
      <c r="G46" s="82" t="str">
        <f>IF(Répartition!$E126="","",Répartition!$E126)</f>
        <v>Médaille d'Argent FDT</v>
      </c>
      <c r="H46" s="81" t="str">
        <f>IF(Répartition!$F126="","",Répartition!$F126)</f>
        <v>Monochrome</v>
      </c>
      <c r="I46" s="149">
        <f>VLOOKUP(G46&amp;H46,code,2,0)</f>
        <v>49</v>
      </c>
      <c r="J46" s="199" t="str">
        <f>IF(Répartition!$B126="","",Répartition!$B126)</f>
        <v>FDT</v>
      </c>
      <c r="K46" s="82" t="str">
        <f>IF(Répartition!$G126="","",Répartition!$G126)</f>
        <v>Médaille d'Argent FDT</v>
      </c>
      <c r="L46" s="81" t="str">
        <f>IF(Répartition!$H126="","",Répartition!$H126)</f>
        <v>Monochrome</v>
      </c>
      <c r="M46" s="149">
        <f>VLOOKUP(K46&amp;L46,code,2,0)</f>
        <v>49</v>
      </c>
      <c r="N46" s="199" t="str">
        <f>IF(Répartition!$B126="","",Répartition!$B126)</f>
        <v>FDT</v>
      </c>
      <c r="O46" s="82" t="str">
        <f>IF(Répartition!$I126="","",Répartition!$I126)</f>
        <v>Médaille d'Argent FDT</v>
      </c>
      <c r="P46" s="81" t="str">
        <f>IF(Répartition!$J126="","",Répartition!$J126)</f>
        <v>Monochrome</v>
      </c>
      <c r="Q46" s="149">
        <f>VLOOKUP(O46&amp;P46,code,2,0)</f>
        <v>49</v>
      </c>
      <c r="S46" s="45" t="s">
        <v>11</v>
      </c>
      <c r="T46" s="137" t="s">
        <v>62</v>
      </c>
      <c r="U46" s="136" t="s">
        <v>28</v>
      </c>
      <c r="V46" s="43" t="str">
        <f t="shared" si="0"/>
        <v>Médaille d'Argent PSAMonochrome</v>
      </c>
      <c r="W46" s="197">
        <v>33</v>
      </c>
    </row>
    <row r="47" spans="1:23" s="25" customFormat="1" ht="15" customHeight="1" x14ac:dyDescent="0.25">
      <c r="A47" s="1">
        <v>34</v>
      </c>
      <c r="B47" s="199" t="str">
        <f>IF(Répartition!$B127="","",Répartition!$B127)</f>
        <v>FDT</v>
      </c>
      <c r="C47" s="82" t="str">
        <f>IF(Répartition!$C127="","",Répartition!$C127)</f>
        <v>Médaille d'Argent FDT</v>
      </c>
      <c r="D47" s="81" t="str">
        <f>IF(Répartition!$D127="","",Répartition!$D127)</f>
        <v>Thème</v>
      </c>
      <c r="E47" s="149">
        <f>VLOOKUP(C47&amp;D47,code,2,0)</f>
        <v>50</v>
      </c>
      <c r="F47" s="199" t="str">
        <f>IF(Répartition!$B127="","",Répartition!$B127)</f>
        <v>FDT</v>
      </c>
      <c r="G47" s="82" t="str">
        <f>IF(Répartition!$E127="","",Répartition!$E127)</f>
        <v>Médaille d'Argent FDT</v>
      </c>
      <c r="H47" s="81" t="str">
        <f>IF(Répartition!$F127="","",Répartition!$F127)</f>
        <v>Thème</v>
      </c>
      <c r="I47" s="149">
        <f>VLOOKUP(G47&amp;H47,code,2,0)</f>
        <v>50</v>
      </c>
      <c r="J47" s="199" t="str">
        <f>IF(Répartition!$B127="","",Répartition!$B127)</f>
        <v>FDT</v>
      </c>
      <c r="K47" s="82" t="str">
        <f>IF(Répartition!$G127="","",Répartition!$G127)</f>
        <v>Médaille d'Argent FDT</v>
      </c>
      <c r="L47" s="81" t="str">
        <f>IF(Répartition!$H127="","",Répartition!$H127)</f>
        <v>Thème</v>
      </c>
      <c r="M47" s="149">
        <f>VLOOKUP(K47&amp;L47,code,2,0)</f>
        <v>50</v>
      </c>
      <c r="N47" s="199" t="str">
        <f>IF(Répartition!$B127="","",Répartition!$B127)</f>
        <v>FDT</v>
      </c>
      <c r="O47" s="82" t="str">
        <f>IF(Répartition!$I127="","",Répartition!$I127)</f>
        <v>Médaille d'Argent FDT</v>
      </c>
      <c r="P47" s="81" t="str">
        <f>IF(Répartition!$J127="","",Répartition!$J127)</f>
        <v>Thème</v>
      </c>
      <c r="Q47" s="149">
        <f>VLOOKUP(O47&amp;P47,code,2,0)</f>
        <v>50</v>
      </c>
      <c r="S47" s="45" t="s">
        <v>11</v>
      </c>
      <c r="T47" s="137" t="s">
        <v>62</v>
      </c>
      <c r="U47" s="136" t="s">
        <v>29</v>
      </c>
      <c r="V47" s="43" t="str">
        <f t="shared" si="0"/>
        <v>Médaille d'Argent PSAThème</v>
      </c>
      <c r="W47" s="197">
        <v>34</v>
      </c>
    </row>
    <row r="48" spans="1:23" s="25" customFormat="1" ht="15" customHeight="1" x14ac:dyDescent="0.25">
      <c r="A48" s="34">
        <v>35</v>
      </c>
      <c r="B48" s="199" t="str">
        <f>IF(Répartition!$B23="","",Répartition!$B23)</f>
        <v>FIAP</v>
      </c>
      <c r="C48" s="82" t="str">
        <f>IF(Répartition!$C23="","",Répartition!$C23)</f>
        <v>Médaille de Bronze FIAP</v>
      </c>
      <c r="D48" s="81" t="str">
        <f>IF(Répartition!$D23="","",Répartition!$D23)</f>
        <v>Couleur</v>
      </c>
      <c r="E48" s="149">
        <f>VLOOKUP(C48&amp;D48,code,2,0)</f>
        <v>51</v>
      </c>
      <c r="F48" s="199" t="str">
        <f>IF(Répartition!$B23="","",Répartition!$B23)</f>
        <v>FIAP</v>
      </c>
      <c r="G48" s="82" t="str">
        <f>IF(Répartition!$E23="","",Répartition!$E23)</f>
        <v>Médaille de Bronze FIAP</v>
      </c>
      <c r="H48" s="81" t="str">
        <f>IF(Répartition!$F23="","",Répartition!$F23)</f>
        <v>Couleur</v>
      </c>
      <c r="I48" s="149">
        <f>VLOOKUP(G48&amp;H48,code,2,0)</f>
        <v>51</v>
      </c>
      <c r="J48" s="199" t="str">
        <f>IF(Répartition!$B23="","",Répartition!$B23)</f>
        <v>FIAP</v>
      </c>
      <c r="K48" s="82" t="str">
        <f>IF(Répartition!$G23="","",Répartition!$G23)</f>
        <v>Médaille de Bronze FIAP</v>
      </c>
      <c r="L48" s="81" t="str">
        <f>IF(Répartition!$H23="","",Répartition!$H23)</f>
        <v>Couleur</v>
      </c>
      <c r="M48" s="149">
        <f>VLOOKUP(K48&amp;L48,code,2,0)</f>
        <v>51</v>
      </c>
      <c r="N48" s="199" t="str">
        <f>IF(Répartition!$B23="","",Répartition!$B23)</f>
        <v>FIAP</v>
      </c>
      <c r="O48" s="82" t="str">
        <f>IF(Répartition!$I23="","",Répartition!$I23)</f>
        <v>Médaille de Bronze FIAP</v>
      </c>
      <c r="P48" s="81" t="str">
        <f>IF(Répartition!$J23="","",Répartition!$J23)</f>
        <v>Couleur</v>
      </c>
      <c r="Q48" s="149">
        <f>VLOOKUP(O48&amp;P48,code,2,0)</f>
        <v>51</v>
      </c>
      <c r="S48" s="45" t="s">
        <v>23</v>
      </c>
      <c r="T48" s="137" t="s">
        <v>66</v>
      </c>
      <c r="U48" s="136" t="s">
        <v>24</v>
      </c>
      <c r="V48" s="43" t="str">
        <f t="shared" si="0"/>
        <v>Médaille d'Argent GPUCouleur</v>
      </c>
      <c r="W48" s="197">
        <v>35</v>
      </c>
    </row>
    <row r="49" spans="1:23" s="25" customFormat="1" ht="15" customHeight="1" x14ac:dyDescent="0.25">
      <c r="A49" s="1">
        <v>36</v>
      </c>
      <c r="B49" s="199" t="str">
        <f>IF(Répartition!$B24="","",Répartition!$B24)</f>
        <v>FIAP</v>
      </c>
      <c r="C49" s="82" t="str">
        <f>IF(Répartition!$C24="","",Répartition!$C24)</f>
        <v>Médaille de Bronze FIAP</v>
      </c>
      <c r="D49" s="81" t="str">
        <f>IF(Répartition!$D24="","",Répartition!$D24)</f>
        <v>Nature</v>
      </c>
      <c r="E49" s="149">
        <f>VLOOKUP(C49&amp;D49,code,2,0)</f>
        <v>52</v>
      </c>
      <c r="F49" s="199" t="str">
        <f>IF(Répartition!$B24="","",Répartition!$B24)</f>
        <v>FIAP</v>
      </c>
      <c r="G49" s="82" t="str">
        <f>IF(Répartition!$E24="","",Répartition!$E24)</f>
        <v>Médaille de Bronze FIAP</v>
      </c>
      <c r="H49" s="81" t="str">
        <f>IF(Répartition!$F24="","",Répartition!$F24)</f>
        <v>Nature</v>
      </c>
      <c r="I49" s="149">
        <f>VLOOKUP(G49&amp;H49,code,2,0)</f>
        <v>52</v>
      </c>
      <c r="J49" s="199" t="str">
        <f>IF(Répartition!$B24="","",Répartition!$B24)</f>
        <v>FIAP</v>
      </c>
      <c r="K49" s="82" t="str">
        <f>IF(Répartition!$G24="","",Répartition!$G24)</f>
        <v>Médaille de Bronze FIAP</v>
      </c>
      <c r="L49" s="81" t="str">
        <f>IF(Répartition!$H24="","",Répartition!$H24)</f>
        <v>Nature</v>
      </c>
      <c r="M49" s="149">
        <f>VLOOKUP(K49&amp;L49,code,2,0)</f>
        <v>52</v>
      </c>
      <c r="N49" s="199" t="str">
        <f>IF(Répartition!$B24="","",Répartition!$B24)</f>
        <v>FIAP</v>
      </c>
      <c r="O49" s="82" t="str">
        <f>IF(Répartition!$I24="","",Répartition!$I24)</f>
        <v>Médaille de Bronze FIAP</v>
      </c>
      <c r="P49" s="81" t="str">
        <f>IF(Répartition!$J24="","",Répartition!$J24)</f>
        <v>Nature</v>
      </c>
      <c r="Q49" s="149">
        <f>VLOOKUP(O49&amp;P49,code,2,0)</f>
        <v>52</v>
      </c>
      <c r="S49" s="45" t="s">
        <v>23</v>
      </c>
      <c r="T49" s="137" t="s">
        <v>66</v>
      </c>
      <c r="U49" s="136" t="s">
        <v>27</v>
      </c>
      <c r="V49" s="43" t="str">
        <f t="shared" si="0"/>
        <v>Médaille d'Argent GPUNature</v>
      </c>
      <c r="W49" s="197">
        <v>36</v>
      </c>
    </row>
    <row r="50" spans="1:23" s="25" customFormat="1" ht="15" customHeight="1" x14ac:dyDescent="0.25">
      <c r="A50" s="1">
        <v>37</v>
      </c>
      <c r="B50" s="199" t="str">
        <f>IF(Répartition!$B25="","",Répartition!$B25)</f>
        <v>FIAP</v>
      </c>
      <c r="C50" s="82" t="str">
        <f>IF(Répartition!$C25="","",Répartition!$C25)</f>
        <v>Médaille de Bronze FIAP</v>
      </c>
      <c r="D50" s="81" t="str">
        <f>IF(Répartition!$D25="","",Répartition!$D25)</f>
        <v>Monochrome</v>
      </c>
      <c r="E50" s="149">
        <f>VLOOKUP(C50&amp;D50,code,2,0)</f>
        <v>53</v>
      </c>
      <c r="F50" s="199" t="str">
        <f>IF(Répartition!$B25="","",Répartition!$B25)</f>
        <v>FIAP</v>
      </c>
      <c r="G50" s="82" t="str">
        <f>IF(Répartition!$E25="","",Répartition!$E25)</f>
        <v>Médaille de Bronze FIAP</v>
      </c>
      <c r="H50" s="81" t="str">
        <f>IF(Répartition!$F25="","",Répartition!$F25)</f>
        <v>Monochrome</v>
      </c>
      <c r="I50" s="149">
        <f>VLOOKUP(G50&amp;H50,code,2,0)</f>
        <v>53</v>
      </c>
      <c r="J50" s="199" t="str">
        <f>IF(Répartition!$B25="","",Répartition!$B25)</f>
        <v>FIAP</v>
      </c>
      <c r="K50" s="82" t="str">
        <f>IF(Répartition!$G25="","",Répartition!$G25)</f>
        <v>Médaille de Bronze FIAP</v>
      </c>
      <c r="L50" s="81" t="str">
        <f>IF(Répartition!$H25="","",Répartition!$H25)</f>
        <v>Monochrome</v>
      </c>
      <c r="M50" s="149">
        <f>VLOOKUP(K50&amp;L50,code,2,0)</f>
        <v>53</v>
      </c>
      <c r="N50" s="199" t="str">
        <f>IF(Répartition!$B25="","",Répartition!$B25)</f>
        <v>FIAP</v>
      </c>
      <c r="O50" s="82" t="str">
        <f>IF(Répartition!$I25="","",Répartition!$I25)</f>
        <v>Médaille de Bronze FIAP</v>
      </c>
      <c r="P50" s="81" t="str">
        <f>IF(Répartition!$J25="","",Répartition!$J25)</f>
        <v>Monochrome</v>
      </c>
      <c r="Q50" s="149">
        <f>VLOOKUP(O50&amp;P50,code,2,0)</f>
        <v>53</v>
      </c>
      <c r="S50" s="45" t="s">
        <v>23</v>
      </c>
      <c r="T50" s="137" t="s">
        <v>66</v>
      </c>
      <c r="U50" s="136" t="s">
        <v>28</v>
      </c>
      <c r="V50" s="43" t="str">
        <f t="shared" si="0"/>
        <v>Médaille d'Argent GPUMonochrome</v>
      </c>
      <c r="W50" s="197">
        <v>37</v>
      </c>
    </row>
    <row r="51" spans="1:23" s="25" customFormat="1" ht="15" customHeight="1" x14ac:dyDescent="0.25">
      <c r="A51" s="1">
        <v>38</v>
      </c>
      <c r="B51" s="199" t="str">
        <f>IF(Répartition!$B26="","",Répartition!$B26)</f>
        <v>FIAP</v>
      </c>
      <c r="C51" s="82" t="str">
        <f>IF(Répartition!$C26="","",Répartition!$C26)</f>
        <v>Médaille de Bronze FIAP</v>
      </c>
      <c r="D51" s="81" t="str">
        <f>IF(Répartition!$D26="","",Répartition!$D26)</f>
        <v>Thème</v>
      </c>
      <c r="E51" s="149">
        <f>VLOOKUP(C51&amp;D51,code,2,0)</f>
        <v>54</v>
      </c>
      <c r="F51" s="199" t="str">
        <f>IF(Répartition!$B26="","",Répartition!$B26)</f>
        <v>FIAP</v>
      </c>
      <c r="G51" s="82" t="str">
        <f>IF(Répartition!$E26="","",Répartition!$E26)</f>
        <v>Médaille de Bronze FIAP</v>
      </c>
      <c r="H51" s="81" t="str">
        <f>IF(Répartition!$F26="","",Répartition!$F26)</f>
        <v>Thème</v>
      </c>
      <c r="I51" s="149">
        <f>VLOOKUP(G51&amp;H51,code,2,0)</f>
        <v>54</v>
      </c>
      <c r="J51" s="199" t="str">
        <f>IF(Répartition!$B26="","",Répartition!$B26)</f>
        <v>FIAP</v>
      </c>
      <c r="K51" s="82" t="str">
        <f>IF(Répartition!$G26="","",Répartition!$G26)</f>
        <v>Médaille de Bronze FIAP</v>
      </c>
      <c r="L51" s="81" t="str">
        <f>IF(Répartition!$H26="","",Répartition!$H26)</f>
        <v>Thème</v>
      </c>
      <c r="M51" s="149">
        <f>VLOOKUP(K51&amp;L51,code,2,0)</f>
        <v>54</v>
      </c>
      <c r="N51" s="199" t="str">
        <f>IF(Répartition!$B26="","",Répartition!$B26)</f>
        <v>FIAP</v>
      </c>
      <c r="O51" s="82" t="str">
        <f>IF(Répartition!$I26="","",Répartition!$I26)</f>
        <v>Médaille de Bronze FIAP</v>
      </c>
      <c r="P51" s="81" t="str">
        <f>IF(Répartition!$J26="","",Répartition!$J26)</f>
        <v>Thème</v>
      </c>
      <c r="Q51" s="149">
        <f>VLOOKUP(O51&amp;P51,code,2,0)</f>
        <v>54</v>
      </c>
      <c r="S51" s="45" t="s">
        <v>23</v>
      </c>
      <c r="T51" s="137" t="s">
        <v>66</v>
      </c>
      <c r="U51" s="136" t="s">
        <v>29</v>
      </c>
      <c r="V51" s="43" t="str">
        <f t="shared" si="0"/>
        <v>Médaille d'Argent GPUThème</v>
      </c>
      <c r="W51" s="197">
        <v>38</v>
      </c>
    </row>
    <row r="52" spans="1:23" s="25" customFormat="1" ht="15" customHeight="1" x14ac:dyDescent="0.25">
      <c r="A52" s="34">
        <v>39</v>
      </c>
      <c r="B52" s="199" t="str">
        <f>IF(Répartition!$B63="","",Répartition!$B63)</f>
        <v>PSA</v>
      </c>
      <c r="C52" s="82" t="str">
        <f>IF(Répartition!$C63="","",Répartition!$C63)</f>
        <v>Médaille de Bronze PSA</v>
      </c>
      <c r="D52" s="81" t="str">
        <f>IF(Répartition!$D63="","",Répartition!$D63)</f>
        <v>Couleur</v>
      </c>
      <c r="E52" s="149">
        <f>VLOOKUP(C52&amp;D52,code,2,0)</f>
        <v>55</v>
      </c>
      <c r="F52" s="199" t="str">
        <f>IF(Répartition!$B63="","",Répartition!$B63)</f>
        <v>PSA</v>
      </c>
      <c r="G52" s="82" t="str">
        <f>IF(Répartition!$E63="","",Répartition!$E63)</f>
        <v>Médaille de Bronze PSA</v>
      </c>
      <c r="H52" s="81" t="str">
        <f>IF(Répartition!$F63="","",Répartition!$F63)</f>
        <v>Couleur</v>
      </c>
      <c r="I52" s="149">
        <f>VLOOKUP(G52&amp;H52,code,2,0)</f>
        <v>55</v>
      </c>
      <c r="J52" s="199" t="str">
        <f>IF(Répartition!$B63="","",Répartition!$B63)</f>
        <v>PSA</v>
      </c>
      <c r="K52" s="82" t="str">
        <f>IF(Répartition!$G63="","",Répartition!$G63)</f>
        <v>Médaille de Bronze PSA</v>
      </c>
      <c r="L52" s="81" t="str">
        <f>IF(Répartition!$H63="","",Répartition!$H63)</f>
        <v>Couleur</v>
      </c>
      <c r="M52" s="149">
        <f>VLOOKUP(K52&amp;L52,code,2,0)</f>
        <v>55</v>
      </c>
      <c r="N52" s="199" t="str">
        <f>IF(Répartition!$B63="","",Répartition!$B63)</f>
        <v>PSA</v>
      </c>
      <c r="O52" s="82" t="str">
        <f>IF(Répartition!$I63="","",Répartition!$I63)</f>
        <v>Médaille de Bronze PSA</v>
      </c>
      <c r="P52" s="81" t="str">
        <f>IF(Répartition!$J63="","",Répartition!$J63)</f>
        <v>Couleur</v>
      </c>
      <c r="Q52" s="149">
        <f>VLOOKUP(O52&amp;P52,code,2,0)</f>
        <v>55</v>
      </c>
      <c r="S52" s="45" t="s">
        <v>13</v>
      </c>
      <c r="T52" s="137" t="s">
        <v>75</v>
      </c>
      <c r="U52" s="136" t="s">
        <v>24</v>
      </c>
      <c r="V52" s="43" t="str">
        <f t="shared" si="0"/>
        <v>Médaille d'Argent ISFCouleur</v>
      </c>
      <c r="W52" s="197">
        <v>39</v>
      </c>
    </row>
    <row r="53" spans="1:23" s="25" customFormat="1" ht="15" customHeight="1" x14ac:dyDescent="0.25">
      <c r="A53" s="1">
        <v>40</v>
      </c>
      <c r="B53" s="199" t="str">
        <f>IF(Répartition!$B64="","",Répartition!$B64)</f>
        <v>PSA</v>
      </c>
      <c r="C53" s="82" t="str">
        <f>IF(Répartition!$C64="","",Répartition!$C64)</f>
        <v>Médaille de Bronze PSA</v>
      </c>
      <c r="D53" s="81" t="str">
        <f>IF(Répartition!$D64="","",Répartition!$D64)</f>
        <v>Nature</v>
      </c>
      <c r="E53" s="149">
        <f>VLOOKUP(C53&amp;D53,code,2,0)</f>
        <v>56</v>
      </c>
      <c r="F53" s="199" t="str">
        <f>IF(Répartition!$B64="","",Répartition!$B64)</f>
        <v>PSA</v>
      </c>
      <c r="G53" s="82" t="str">
        <f>IF(Répartition!$E64="","",Répartition!$E64)</f>
        <v>Médaille de Bronze PSA</v>
      </c>
      <c r="H53" s="81" t="str">
        <f>IF(Répartition!$F64="","",Répartition!$F64)</f>
        <v>Nature</v>
      </c>
      <c r="I53" s="149">
        <f>VLOOKUP(G53&amp;H53,code,2,0)</f>
        <v>56</v>
      </c>
      <c r="J53" s="199" t="str">
        <f>IF(Répartition!$B64="","",Répartition!$B64)</f>
        <v>PSA</v>
      </c>
      <c r="K53" s="82" t="str">
        <f>IF(Répartition!$G64="","",Répartition!$G64)</f>
        <v>Médaille de Bronze PSA</v>
      </c>
      <c r="L53" s="81" t="str">
        <f>IF(Répartition!$H64="","",Répartition!$H64)</f>
        <v>Nature</v>
      </c>
      <c r="M53" s="149">
        <f>VLOOKUP(K53&amp;L53,code,2,0)</f>
        <v>56</v>
      </c>
      <c r="N53" s="199" t="str">
        <f>IF(Répartition!$B64="","",Répartition!$B64)</f>
        <v>PSA</v>
      </c>
      <c r="O53" s="82" t="str">
        <f>IF(Répartition!$I64="","",Répartition!$I64)</f>
        <v>Médaille de Bronze PSA</v>
      </c>
      <c r="P53" s="81" t="str">
        <f>IF(Répartition!$J64="","",Répartition!$J64)</f>
        <v>Nature</v>
      </c>
      <c r="Q53" s="149">
        <f>VLOOKUP(O53&amp;P53,code,2,0)</f>
        <v>56</v>
      </c>
      <c r="S53" s="45" t="s">
        <v>13</v>
      </c>
      <c r="T53" s="137" t="s">
        <v>75</v>
      </c>
      <c r="U53" s="136" t="s">
        <v>27</v>
      </c>
      <c r="V53" s="43" t="str">
        <f t="shared" si="0"/>
        <v>Médaille d'Argent ISFNature</v>
      </c>
      <c r="W53" s="197">
        <v>40</v>
      </c>
    </row>
    <row r="54" spans="1:23" s="25" customFormat="1" ht="15" customHeight="1" x14ac:dyDescent="0.25">
      <c r="A54" s="1">
        <v>41</v>
      </c>
      <c r="B54" s="199" t="str">
        <f>IF(Répartition!$B65="","",Répartition!$B65)</f>
        <v>PSA</v>
      </c>
      <c r="C54" s="82" t="str">
        <f>IF(Répartition!$C65="","",Répartition!$C65)</f>
        <v>Médaille de Bronze PSA</v>
      </c>
      <c r="D54" s="81" t="str">
        <f>IF(Répartition!$D65="","",Répartition!$D65)</f>
        <v>Monochrome</v>
      </c>
      <c r="E54" s="149">
        <f>VLOOKUP(C54&amp;D54,code,2,0)</f>
        <v>57</v>
      </c>
      <c r="F54" s="199" t="str">
        <f>IF(Répartition!$B65="","",Répartition!$B65)</f>
        <v>PSA</v>
      </c>
      <c r="G54" s="82" t="str">
        <f>IF(Répartition!$E65="","",Répartition!$E65)</f>
        <v>Médaille de Bronze PSA</v>
      </c>
      <c r="H54" s="81" t="str">
        <f>IF(Répartition!$F65="","",Répartition!$F65)</f>
        <v>Monochrome</v>
      </c>
      <c r="I54" s="149">
        <f>VLOOKUP(G54&amp;H54,code,2,0)</f>
        <v>57</v>
      </c>
      <c r="J54" s="199" t="str">
        <f>IF(Répartition!$B65="","",Répartition!$B65)</f>
        <v>PSA</v>
      </c>
      <c r="K54" s="82" t="str">
        <f>IF(Répartition!$G65="","",Répartition!$G65)</f>
        <v>Médaille de Bronze PSA</v>
      </c>
      <c r="L54" s="81" t="str">
        <f>IF(Répartition!$H65="","",Répartition!$H65)</f>
        <v>Monochrome</v>
      </c>
      <c r="M54" s="149">
        <f>VLOOKUP(K54&amp;L54,code,2,0)</f>
        <v>57</v>
      </c>
      <c r="N54" s="199" t="str">
        <f>IF(Répartition!$B65="","",Répartition!$B65)</f>
        <v>PSA</v>
      </c>
      <c r="O54" s="82" t="str">
        <f>IF(Répartition!$I65="","",Répartition!$I65)</f>
        <v>Médaille de Bronze PSA</v>
      </c>
      <c r="P54" s="81" t="str">
        <f>IF(Répartition!$J65="","",Répartition!$J65)</f>
        <v>Monochrome</v>
      </c>
      <c r="Q54" s="149">
        <f>VLOOKUP(O54&amp;P54,code,2,0)</f>
        <v>57</v>
      </c>
      <c r="S54" s="45" t="s">
        <v>13</v>
      </c>
      <c r="T54" s="137" t="s">
        <v>75</v>
      </c>
      <c r="U54" s="136" t="s">
        <v>28</v>
      </c>
      <c r="V54" s="43" t="str">
        <f t="shared" si="0"/>
        <v>Médaille d'Argent ISFMonochrome</v>
      </c>
      <c r="W54" s="197">
        <v>41</v>
      </c>
    </row>
    <row r="55" spans="1:23" s="25" customFormat="1" ht="15" customHeight="1" x14ac:dyDescent="0.25">
      <c r="A55" s="1">
        <v>1</v>
      </c>
      <c r="B55" s="199" t="str">
        <f>IF(Répartition!$B66="","",Répartition!$B66)</f>
        <v>PSA</v>
      </c>
      <c r="C55" s="82" t="str">
        <f>IF(Répartition!$C66="","",Répartition!$C66)</f>
        <v>Médaille de Bronze PSA</v>
      </c>
      <c r="D55" s="81" t="str">
        <f>IF(Répartition!$D66="","",Répartition!$D66)</f>
        <v>Thème</v>
      </c>
      <c r="E55" s="149">
        <f>VLOOKUP(C55&amp;D55,code,2,0)</f>
        <v>58</v>
      </c>
      <c r="F55" s="199" t="str">
        <f>IF(Répartition!$B66="","",Répartition!$B66)</f>
        <v>PSA</v>
      </c>
      <c r="G55" s="82" t="str">
        <f>IF(Répartition!$E66="","",Répartition!$E66)</f>
        <v>Médaille de Bronze PSA</v>
      </c>
      <c r="H55" s="81" t="str">
        <f>IF(Répartition!$F66="","",Répartition!$F66)</f>
        <v>Thème</v>
      </c>
      <c r="I55" s="149">
        <f>VLOOKUP(G55&amp;H55,code,2,0)</f>
        <v>58</v>
      </c>
      <c r="J55" s="199" t="str">
        <f>IF(Répartition!$B66="","",Répartition!$B66)</f>
        <v>PSA</v>
      </c>
      <c r="K55" s="82" t="str">
        <f>IF(Répartition!$G66="","",Répartition!$G66)</f>
        <v>Médaille de Bronze PSA</v>
      </c>
      <c r="L55" s="81" t="str">
        <f>IF(Répartition!$H66="","",Répartition!$H66)</f>
        <v>Thème</v>
      </c>
      <c r="M55" s="149">
        <f>VLOOKUP(K55&amp;L55,code,2,0)</f>
        <v>58</v>
      </c>
      <c r="N55" s="199" t="str">
        <f>IF(Répartition!$B66="","",Répartition!$B66)</f>
        <v>PSA</v>
      </c>
      <c r="O55" s="82" t="str">
        <f>IF(Répartition!$I66="","",Répartition!$I66)</f>
        <v>Médaille de Bronze PSA</v>
      </c>
      <c r="P55" s="81" t="str">
        <f>IF(Répartition!$J66="","",Répartition!$J66)</f>
        <v>Thème</v>
      </c>
      <c r="Q55" s="149">
        <f>VLOOKUP(O55&amp;P55,code,2,0)</f>
        <v>58</v>
      </c>
      <c r="S55" s="45" t="s">
        <v>13</v>
      </c>
      <c r="T55" s="137" t="s">
        <v>75</v>
      </c>
      <c r="U55" s="136" t="s">
        <v>29</v>
      </c>
      <c r="V55" s="43" t="str">
        <f t="shared" si="0"/>
        <v>Médaille d'Argent ISFThème</v>
      </c>
      <c r="W55" s="197">
        <v>42</v>
      </c>
    </row>
    <row r="56" spans="1:23" s="25" customFormat="1" ht="15" customHeight="1" x14ac:dyDescent="0.25">
      <c r="A56" s="1">
        <v>2</v>
      </c>
      <c r="B56" s="199" t="str">
        <f>IF(Répartition!$B77="","",Répartition!$B77)</f>
        <v>GPU</v>
      </c>
      <c r="C56" s="82" t="str">
        <f>IF(Répartition!$C77="","",Répartition!$C77)</f>
        <v>Médaille de Bronze GPU</v>
      </c>
      <c r="D56" s="81" t="str">
        <f>IF(Répartition!$D77="","",Répartition!$D77)</f>
        <v>Monochrome</v>
      </c>
      <c r="E56" s="149">
        <f>VLOOKUP(C56&amp;D56,code,2,0)</f>
        <v>61</v>
      </c>
      <c r="F56" s="199" t="str">
        <f>IF(Répartition!$B77="","",Répartition!$B77)</f>
        <v>GPU</v>
      </c>
      <c r="G56" s="82" t="str">
        <f>IF(Répartition!$E77="","",Répartition!$E77)</f>
        <v>Médaille de Bronze GPU</v>
      </c>
      <c r="H56" s="81" t="str">
        <f>IF(Répartition!$F77="","",Répartition!$F77)</f>
        <v>Thème</v>
      </c>
      <c r="I56" s="149">
        <f>VLOOKUP(G56&amp;H56,code,2,0)</f>
        <v>62</v>
      </c>
      <c r="J56" s="199" t="str">
        <f>IF(Répartition!$B77="","",Répartition!$B77)</f>
        <v>GPU</v>
      </c>
      <c r="K56" s="82" t="str">
        <f>IF(Répartition!$G77="","",Répartition!$G77)</f>
        <v>Médaille de Bronze GPU</v>
      </c>
      <c r="L56" s="81" t="str">
        <f>IF(Répartition!$H77="","",Répartition!$H77)</f>
        <v>Couleur</v>
      </c>
      <c r="M56" s="149">
        <f>VLOOKUP(K56&amp;L56,code,2,0)</f>
        <v>59</v>
      </c>
      <c r="N56" s="199" t="str">
        <f>IF(Répartition!$B77="","",Répartition!$B77)</f>
        <v>GPU</v>
      </c>
      <c r="O56" s="82" t="str">
        <f>IF(Répartition!$I77="","",Répartition!$I77)</f>
        <v>Médaille de Bronze GPU</v>
      </c>
      <c r="P56" s="81" t="str">
        <f>IF(Répartition!$J77="","",Répartition!$J77)</f>
        <v>Nature</v>
      </c>
      <c r="Q56" s="149">
        <f>VLOOKUP(O56&amp;P56,code,2,0)</f>
        <v>60</v>
      </c>
      <c r="S56" s="45" t="s">
        <v>8</v>
      </c>
      <c r="T56" s="137" t="s">
        <v>71</v>
      </c>
      <c r="U56" s="136" t="s">
        <v>24</v>
      </c>
      <c r="V56" s="43" t="str">
        <f t="shared" si="0"/>
        <v>Médaille d'Argent FPFCouleur</v>
      </c>
      <c r="W56" s="197">
        <v>43</v>
      </c>
    </row>
    <row r="57" spans="1:23" s="25" customFormat="1" ht="15" customHeight="1" x14ac:dyDescent="0.25">
      <c r="A57" s="1">
        <v>3</v>
      </c>
      <c r="B57" s="199" t="str">
        <f>IF(Répartition!$B107="","",Répartition!$B107)</f>
        <v>ISF</v>
      </c>
      <c r="C57" s="82" t="str">
        <f>IF(Répartition!$C107="","",Répartition!$C107)</f>
        <v>Médaille de Bronze ISF</v>
      </c>
      <c r="D57" s="81" t="str">
        <f>IF(Répartition!$D107="","",Répartition!$D107)</f>
        <v>Monochrome</v>
      </c>
      <c r="E57" s="149">
        <f>VLOOKUP(C57&amp;D57,code,2,0)</f>
        <v>65</v>
      </c>
      <c r="F57" s="199" t="str">
        <f>IF(Répartition!$B107="","",Répartition!$B107)</f>
        <v>ISF</v>
      </c>
      <c r="G57" s="82" t="str">
        <f>IF(Répartition!$E107="","",Répartition!$E107)</f>
        <v>Médaille de Bronze ISF</v>
      </c>
      <c r="H57" s="81" t="str">
        <f>IF(Répartition!$F107="","",Répartition!$F107)</f>
        <v>Thème</v>
      </c>
      <c r="I57" s="149">
        <f>VLOOKUP(G57&amp;H57,code,2,0)</f>
        <v>66</v>
      </c>
      <c r="J57" s="199" t="str">
        <f>IF(Répartition!$B107="","",Répartition!$B107)</f>
        <v>ISF</v>
      </c>
      <c r="K57" s="82" t="str">
        <f>IF(Répartition!$G107="","",Répartition!$G107)</f>
        <v>Médaille de Bronze ISF</v>
      </c>
      <c r="L57" s="81" t="str">
        <f>IF(Répartition!$H107="","",Répartition!$H107)</f>
        <v>Couleur</v>
      </c>
      <c r="M57" s="149">
        <f>VLOOKUP(K57&amp;L57,code,2,0)</f>
        <v>63</v>
      </c>
      <c r="N57" s="199" t="str">
        <f>IF(Répartition!$B107="","",Répartition!$B107)</f>
        <v>ISF</v>
      </c>
      <c r="O57" s="82" t="str">
        <f>IF(Répartition!$I107="","",Répartition!$I107)</f>
        <v>Médaille de Bronze ISF</v>
      </c>
      <c r="P57" s="81" t="str">
        <f>IF(Répartition!$J107="","",Répartition!$J107)</f>
        <v>Nature</v>
      </c>
      <c r="Q57" s="149">
        <f>VLOOKUP(O57&amp;P57,code,2,0)</f>
        <v>64</v>
      </c>
      <c r="S57" s="45" t="s">
        <v>8</v>
      </c>
      <c r="T57" s="137" t="s">
        <v>71</v>
      </c>
      <c r="U57" s="136" t="s">
        <v>27</v>
      </c>
      <c r="V57" s="43" t="str">
        <f t="shared" si="0"/>
        <v>Médaille d'Argent FPFNature</v>
      </c>
      <c r="W57" s="197">
        <v>44</v>
      </c>
    </row>
    <row r="58" spans="1:23" s="25" customFormat="1" ht="15" customHeight="1" x14ac:dyDescent="0.25">
      <c r="A58" s="1">
        <v>4</v>
      </c>
      <c r="B58" s="199" t="str">
        <f>IF(Répartition!$B89="","",Répartition!$B89)</f>
        <v>FPF</v>
      </c>
      <c r="C58" s="82" t="str">
        <f>IF(Répartition!$C89="","",Répartition!$C89)</f>
        <v>Médaille de Bronze FPF</v>
      </c>
      <c r="D58" s="81" t="str">
        <f>IF(Répartition!$D89="","",Répartition!$D89)</f>
        <v>Couleur</v>
      </c>
      <c r="E58" s="149">
        <f>VLOOKUP(C58&amp;D58,code,2,0)</f>
        <v>67</v>
      </c>
      <c r="F58" s="199" t="str">
        <f>IF(Répartition!$B89="","",Répartition!$B89)</f>
        <v>FPF</v>
      </c>
      <c r="G58" s="82" t="str">
        <f>IF(Répartition!$E89="","",Répartition!$E89)</f>
        <v>Médaille de Bronze FPF</v>
      </c>
      <c r="H58" s="81" t="str">
        <f>IF(Répartition!$F89="","",Répartition!$F89)</f>
        <v>Nature</v>
      </c>
      <c r="I58" s="149">
        <f>VLOOKUP(G58&amp;H58,code,2,0)</f>
        <v>68</v>
      </c>
      <c r="J58" s="199" t="str">
        <f>IF(Répartition!$B89="","",Répartition!$B89)</f>
        <v>FPF</v>
      </c>
      <c r="K58" s="82" t="str">
        <f>IF(Répartition!$G89="","",Répartition!$G89)</f>
        <v>Médaille de Bronze FPF</v>
      </c>
      <c r="L58" s="81" t="str">
        <f>IF(Répartition!$H89="","",Répartition!$H89)</f>
        <v>Monochrome</v>
      </c>
      <c r="M58" s="149">
        <f>VLOOKUP(K58&amp;L58,code,2,0)</f>
        <v>69</v>
      </c>
      <c r="N58" s="199" t="str">
        <f>IF(Répartition!$B90="","",Répartition!$B90)</f>
        <v>FPF</v>
      </c>
      <c r="O58" s="82" t="str">
        <f>IF(Répartition!$I90="","",Répartition!$I90)</f>
        <v>Médaille de Bronze FPF</v>
      </c>
      <c r="P58" s="81" t="str">
        <f>IF(Répartition!$J90="","",Répartition!$J90)</f>
        <v>Couleur</v>
      </c>
      <c r="Q58" s="149">
        <f>VLOOKUP(O58&amp;P58,code,2,0)</f>
        <v>67</v>
      </c>
      <c r="S58" s="45" t="s">
        <v>8</v>
      </c>
      <c r="T58" s="137" t="s">
        <v>71</v>
      </c>
      <c r="U58" s="136" t="s">
        <v>28</v>
      </c>
      <c r="V58" s="43" t="str">
        <f t="shared" si="0"/>
        <v>Médaille d'Argent FPFMonochrome</v>
      </c>
      <c r="W58" s="197">
        <v>45</v>
      </c>
    </row>
    <row r="59" spans="1:23" s="25" customFormat="1" ht="15" customHeight="1" x14ac:dyDescent="0.25">
      <c r="A59" s="1">
        <v>5</v>
      </c>
      <c r="B59" s="199" t="str">
        <f>IF(Répartition!$B90="","",Répartition!$B90)</f>
        <v>FPF</v>
      </c>
      <c r="C59" s="82" t="str">
        <f>IF(Répartition!$C90="","",Répartition!$C90)</f>
        <v>Médaille de Bronze FPF</v>
      </c>
      <c r="D59" s="81" t="str">
        <f>IF(Répartition!$D90="","",Répartition!$D90)</f>
        <v>Nature</v>
      </c>
      <c r="E59" s="149">
        <f>VLOOKUP(C59&amp;D59,code,2,0)</f>
        <v>68</v>
      </c>
      <c r="F59" s="199" t="str">
        <f>IF(Répartition!$B90="","",Répartition!$B90)</f>
        <v>FPF</v>
      </c>
      <c r="G59" s="82" t="str">
        <f>IF(Répartition!$E90="","",Répartition!$E90)</f>
        <v>Médaille de Bronze FPF</v>
      </c>
      <c r="H59" s="81" t="str">
        <f>IF(Répartition!$F90="","",Répartition!$F90)</f>
        <v>Monochrome</v>
      </c>
      <c r="I59" s="149">
        <f>VLOOKUP(G59&amp;H59,code,2,0)</f>
        <v>69</v>
      </c>
      <c r="J59" s="199" t="str">
        <f>IF(Répartition!$B90="","",Répartition!$B90)</f>
        <v>FPF</v>
      </c>
      <c r="K59" s="82" t="str">
        <f>IF(Répartition!$G90="","",Répartition!$G90)</f>
        <v>Médaille de Bronze FPF</v>
      </c>
      <c r="L59" s="81" t="str">
        <f>IF(Répartition!$H90="","",Répartition!$H90)</f>
        <v>Thème</v>
      </c>
      <c r="M59" s="149">
        <f>VLOOKUP(K59&amp;L59,code,2,0)</f>
        <v>70</v>
      </c>
      <c r="N59" s="199" t="str">
        <f>IF(Répartition!$B89="","",Répartition!$B89)</f>
        <v>FPF</v>
      </c>
      <c r="O59" s="82" t="str">
        <f>IF(Répartition!$I89="","",Répartition!$I89)</f>
        <v>Médaille de Bronze FPF</v>
      </c>
      <c r="P59" s="81" t="str">
        <f>IF(Répartition!$J89="","",Répartition!$J89)</f>
        <v>Thème</v>
      </c>
      <c r="Q59" s="149">
        <f>VLOOKUP(O59&amp;P59,code,2,0)</f>
        <v>70</v>
      </c>
      <c r="S59" s="45" t="s">
        <v>8</v>
      </c>
      <c r="T59" s="137" t="s">
        <v>71</v>
      </c>
      <c r="U59" s="136" t="s">
        <v>29</v>
      </c>
      <c r="V59" s="43" t="str">
        <f t="shared" si="0"/>
        <v>Médaille d'Argent FPFThème</v>
      </c>
      <c r="W59" s="197">
        <v>46</v>
      </c>
    </row>
    <row r="60" spans="1:23" s="44" customFormat="1" ht="15" customHeight="1" x14ac:dyDescent="0.25">
      <c r="A60" s="1">
        <v>6</v>
      </c>
      <c r="B60" s="199" t="str">
        <f>IF(Répartition!$B128="","",Répartition!$B128)</f>
        <v>FDT</v>
      </c>
      <c r="C60" s="82" t="str">
        <f>IF(Répartition!$C128="","",Répartition!$C128)</f>
        <v>Médaille de Bronze FDT</v>
      </c>
      <c r="D60" s="81" t="str">
        <f>IF(Répartition!$D128="","",Répartition!$D128)</f>
        <v>Couleur</v>
      </c>
      <c r="E60" s="149">
        <f>VLOOKUP(C60&amp;D60,code,2,0)</f>
        <v>71</v>
      </c>
      <c r="F60" s="199" t="str">
        <f>IF(Répartition!$B128="","",Répartition!$B128)</f>
        <v>FDT</v>
      </c>
      <c r="G60" s="82" t="str">
        <f>IF(Répartition!$E128="","",Répartition!$E128)</f>
        <v>Médaille de Bronze FDT</v>
      </c>
      <c r="H60" s="81" t="str">
        <f>IF(Répartition!$F128="","",Répartition!$F128)</f>
        <v>Couleur</v>
      </c>
      <c r="I60" s="149">
        <f>VLOOKUP(G60&amp;H60,code,2,0)</f>
        <v>71</v>
      </c>
      <c r="J60" s="199" t="str">
        <f>IF(Répartition!$B128="","",Répartition!$B128)</f>
        <v>FDT</v>
      </c>
      <c r="K60" s="82" t="str">
        <f>IF(Répartition!$G128="","",Répartition!$G128)</f>
        <v>Médaille de Bronze FDT</v>
      </c>
      <c r="L60" s="81" t="str">
        <f>IF(Répartition!$H128="","",Répartition!$H128)</f>
        <v>Couleur</v>
      </c>
      <c r="M60" s="149">
        <f>VLOOKUP(K60&amp;L60,code,2,0)</f>
        <v>71</v>
      </c>
      <c r="N60" s="199" t="str">
        <f>IF(Répartition!$B128="","",Répartition!$B128)</f>
        <v>FDT</v>
      </c>
      <c r="O60" s="82" t="str">
        <f>IF(Répartition!$I128="","",Répartition!$I128)</f>
        <v>Médaille de Bronze FDT</v>
      </c>
      <c r="P60" s="81" t="str">
        <f>IF(Répartition!$J128="","",Répartition!$J128)</f>
        <v>Couleur</v>
      </c>
      <c r="Q60" s="149">
        <f>VLOOKUP(O60&amp;P60,code,2,0)</f>
        <v>71</v>
      </c>
      <c r="S60" s="45" t="s">
        <v>14</v>
      </c>
      <c r="T60" s="137" t="s">
        <v>79</v>
      </c>
      <c r="U60" s="136" t="s">
        <v>24</v>
      </c>
      <c r="V60" s="43" t="str">
        <f t="shared" si="0"/>
        <v>Médaille d'Argent FDTCouleur</v>
      </c>
      <c r="W60" s="197">
        <v>47</v>
      </c>
    </row>
    <row r="61" spans="1:23" s="25" customFormat="1" ht="15" customHeight="1" x14ac:dyDescent="0.25">
      <c r="A61" s="1">
        <v>7</v>
      </c>
      <c r="B61" s="199" t="str">
        <f>IF(Répartition!$B129="","",Répartition!$B129)</f>
        <v>FDT</v>
      </c>
      <c r="C61" s="82" t="str">
        <f>IF(Répartition!$C129="","",Répartition!$C129)</f>
        <v>Médaille de Bronze FDT</v>
      </c>
      <c r="D61" s="81" t="str">
        <f>IF(Répartition!$D129="","",Répartition!$D129)</f>
        <v>Nature</v>
      </c>
      <c r="E61" s="149">
        <f>VLOOKUP(C61&amp;D61,code,2,0)</f>
        <v>72</v>
      </c>
      <c r="F61" s="199" t="str">
        <f>IF(Répartition!$B129="","",Répartition!$B129)</f>
        <v>FDT</v>
      </c>
      <c r="G61" s="82" t="str">
        <f>IF(Répartition!$E129="","",Répartition!$E129)</f>
        <v>Médaille de Bronze FDT</v>
      </c>
      <c r="H61" s="81" t="str">
        <f>IF(Répartition!$F129="","",Répartition!$F129)</f>
        <v>Nature</v>
      </c>
      <c r="I61" s="149">
        <f>VLOOKUP(G61&amp;H61,code,2,0)</f>
        <v>72</v>
      </c>
      <c r="J61" s="199" t="str">
        <f>IF(Répartition!$B129="","",Répartition!$B129)</f>
        <v>FDT</v>
      </c>
      <c r="K61" s="82" t="str">
        <f>IF(Répartition!$G129="","",Répartition!$G129)</f>
        <v>Médaille de Bronze FDT</v>
      </c>
      <c r="L61" s="81" t="str">
        <f>IF(Répartition!$H129="","",Répartition!$H129)</f>
        <v>Nature</v>
      </c>
      <c r="M61" s="149">
        <f>VLOOKUP(K61&amp;L61,code,2,0)</f>
        <v>72</v>
      </c>
      <c r="N61" s="199" t="str">
        <f>IF(Répartition!$B129="","",Répartition!$B129)</f>
        <v>FDT</v>
      </c>
      <c r="O61" s="82" t="str">
        <f>IF(Répartition!$I129="","",Répartition!$I129)</f>
        <v>Médaille de Bronze FDT</v>
      </c>
      <c r="P61" s="81" t="str">
        <f>IF(Répartition!$J129="","",Répartition!$J129)</f>
        <v>Nature</v>
      </c>
      <c r="Q61" s="149">
        <f>VLOOKUP(O61&amp;P61,code,2,0)</f>
        <v>72</v>
      </c>
      <c r="S61" s="45" t="s">
        <v>14</v>
      </c>
      <c r="T61" s="137" t="s">
        <v>79</v>
      </c>
      <c r="U61" s="136" t="s">
        <v>27</v>
      </c>
      <c r="V61" s="43" t="str">
        <f t="shared" si="0"/>
        <v>Médaille d'Argent FDTNature</v>
      </c>
      <c r="W61" s="197">
        <v>48</v>
      </c>
    </row>
    <row r="62" spans="1:23" s="25" customFormat="1" ht="15" customHeight="1" x14ac:dyDescent="0.25">
      <c r="A62" s="1">
        <v>8</v>
      </c>
      <c r="B62" s="199" t="str">
        <f>IF(Répartition!$B130="","",Répartition!$B130)</f>
        <v>FDT</v>
      </c>
      <c r="C62" s="82" t="str">
        <f>IF(Répartition!$C130="","",Répartition!$C130)</f>
        <v>Médaille de Bronze FDT</v>
      </c>
      <c r="D62" s="81" t="str">
        <f>IF(Répartition!$D130="","",Répartition!$D130)</f>
        <v>Monochrome</v>
      </c>
      <c r="E62" s="149">
        <f>VLOOKUP(C62&amp;D62,code,2,0)</f>
        <v>73</v>
      </c>
      <c r="F62" s="199" t="str">
        <f>IF(Répartition!$B130="","",Répartition!$B130)</f>
        <v>FDT</v>
      </c>
      <c r="G62" s="82" t="str">
        <f>IF(Répartition!$E130="","",Répartition!$E130)</f>
        <v>Médaille de Bronze FDT</v>
      </c>
      <c r="H62" s="81" t="str">
        <f>IF(Répartition!$F130="","",Répartition!$F130)</f>
        <v>Monochrome</v>
      </c>
      <c r="I62" s="149">
        <f>VLOOKUP(G62&amp;H62,code,2,0)</f>
        <v>73</v>
      </c>
      <c r="J62" s="199" t="str">
        <f>IF(Répartition!$B130="","",Répartition!$B130)</f>
        <v>FDT</v>
      </c>
      <c r="K62" s="82" t="str">
        <f>IF(Répartition!$G130="","",Répartition!$G130)</f>
        <v>Médaille de Bronze FDT</v>
      </c>
      <c r="L62" s="81" t="str">
        <f>IF(Répartition!$H130="","",Répartition!$H130)</f>
        <v>Monochrome</v>
      </c>
      <c r="M62" s="149">
        <f>VLOOKUP(K62&amp;L62,code,2,0)</f>
        <v>73</v>
      </c>
      <c r="N62" s="199" t="str">
        <f>IF(Répartition!$B130="","",Répartition!$B130)</f>
        <v>FDT</v>
      </c>
      <c r="O62" s="82" t="str">
        <f>IF(Répartition!$I130="","",Répartition!$I130)</f>
        <v>Médaille de Bronze FDT</v>
      </c>
      <c r="P62" s="81" t="str">
        <f>IF(Répartition!$J130="","",Répartition!$J130)</f>
        <v>Monochrome</v>
      </c>
      <c r="Q62" s="149">
        <f>VLOOKUP(O62&amp;P62,code,2,0)</f>
        <v>73</v>
      </c>
      <c r="S62" s="45" t="s">
        <v>14</v>
      </c>
      <c r="T62" s="137" t="s">
        <v>79</v>
      </c>
      <c r="U62" s="136" t="s">
        <v>28</v>
      </c>
      <c r="V62" s="43" t="str">
        <f t="shared" si="0"/>
        <v>Médaille d'Argent FDTMonochrome</v>
      </c>
      <c r="W62" s="197">
        <v>49</v>
      </c>
    </row>
    <row r="63" spans="1:23" s="25" customFormat="1" ht="15" customHeight="1" x14ac:dyDescent="0.25">
      <c r="A63" s="1">
        <v>9</v>
      </c>
      <c r="B63" s="199" t="str">
        <f>IF(Répartition!$B131="","",Répartition!$B131)</f>
        <v>FDT</v>
      </c>
      <c r="C63" s="82" t="str">
        <f>IF(Répartition!$C131="","",Répartition!$C131)</f>
        <v>Médaille de Bronze FDT</v>
      </c>
      <c r="D63" s="81" t="str">
        <f>IF(Répartition!$D131="","",Répartition!$D131)</f>
        <v>Thème</v>
      </c>
      <c r="E63" s="149">
        <f>VLOOKUP(C63&amp;D63,code,2,0)</f>
        <v>74</v>
      </c>
      <c r="F63" s="199" t="str">
        <f>IF(Répartition!$B131="","",Répartition!$B131)</f>
        <v>FDT</v>
      </c>
      <c r="G63" s="82" t="str">
        <f>IF(Répartition!$E131="","",Répartition!$E131)</f>
        <v>Médaille de Bronze FDT</v>
      </c>
      <c r="H63" s="81" t="str">
        <f>IF(Répartition!$F131="","",Répartition!$F131)</f>
        <v>Thème</v>
      </c>
      <c r="I63" s="149">
        <f>VLOOKUP(G63&amp;H63,code,2,0)</f>
        <v>74</v>
      </c>
      <c r="J63" s="199" t="str">
        <f>IF(Répartition!$B131="","",Répartition!$B131)</f>
        <v>FDT</v>
      </c>
      <c r="K63" s="82" t="str">
        <f>IF(Répartition!$G131="","",Répartition!$G131)</f>
        <v>Médaille de Bronze FDT</v>
      </c>
      <c r="L63" s="81" t="str">
        <f>IF(Répartition!$H131="","",Répartition!$H131)</f>
        <v>Thème</v>
      </c>
      <c r="M63" s="149">
        <f>VLOOKUP(K63&amp;L63,code,2,0)</f>
        <v>74</v>
      </c>
      <c r="N63" s="199" t="str">
        <f>IF(Répartition!$B131="","",Répartition!$B131)</f>
        <v>FDT</v>
      </c>
      <c r="O63" s="82" t="str">
        <f>IF(Répartition!$I131="","",Répartition!$I131)</f>
        <v>Médaille de Bronze FDT</v>
      </c>
      <c r="P63" s="81" t="str">
        <f>IF(Répartition!$J131="","",Répartition!$J131)</f>
        <v>Thème</v>
      </c>
      <c r="Q63" s="149">
        <f>VLOOKUP(O63&amp;P63,code,2,0)</f>
        <v>74</v>
      </c>
      <c r="S63" s="45" t="s">
        <v>14</v>
      </c>
      <c r="T63" s="137" t="s">
        <v>79</v>
      </c>
      <c r="U63" s="136" t="s">
        <v>29</v>
      </c>
      <c r="V63" s="43" t="str">
        <f t="shared" si="0"/>
        <v>Médaille d'Argent FDTThème</v>
      </c>
      <c r="W63" s="197">
        <v>50</v>
      </c>
    </row>
    <row r="64" spans="1:23" s="25" customFormat="1" ht="15" customHeight="1" x14ac:dyDescent="0.25">
      <c r="A64" s="1">
        <v>10</v>
      </c>
      <c r="B64" s="199" t="str">
        <f>IF(Répartition!$B27="","",Répartition!$B27)</f>
        <v>FIAP</v>
      </c>
      <c r="C64" s="82" t="str">
        <f>IF(Répartition!$C27="","",Répartition!$C27)</f>
        <v>Ruban FIAP coup de Cœur juge N°1</v>
      </c>
      <c r="D64" s="81" t="str">
        <f>IF(Répartition!$D27="","",Répartition!$D27)</f>
        <v>*-*-*-*</v>
      </c>
      <c r="E64" s="149">
        <f>VLOOKUP(C64&amp;D64,code,2,0)</f>
        <v>75</v>
      </c>
      <c r="F64" s="199" t="str">
        <f>IF(Répartition!$B27="","",Répartition!$B27)</f>
        <v>FIAP</v>
      </c>
      <c r="G64" s="82" t="str">
        <f>IF(Répartition!$E27="","",Répartition!$E27)</f>
        <v>Ruban FIAP coup de Cœur juge N°1</v>
      </c>
      <c r="H64" s="81" t="str">
        <f>IF(Répartition!$F27="","",Répartition!$F27)</f>
        <v>*-*-*-*</v>
      </c>
      <c r="I64" s="149">
        <f>VLOOKUP(G64&amp;H64,code,2,0)</f>
        <v>75</v>
      </c>
      <c r="J64" s="199" t="str">
        <f>IF(Répartition!$B27="","",Répartition!$B27)</f>
        <v>FIAP</v>
      </c>
      <c r="K64" s="82" t="str">
        <f>IF(Répartition!$G27="","",Répartition!$G27)</f>
        <v>Ruban FIAP coup de Cœur juge N°1</v>
      </c>
      <c r="L64" s="81" t="str">
        <f>IF(Répartition!$H27="","",Répartition!$H27)</f>
        <v>*-*-*-*</v>
      </c>
      <c r="M64" s="149">
        <f>VLOOKUP(K64&amp;L64,code,2,0)</f>
        <v>75</v>
      </c>
      <c r="N64" s="199" t="str">
        <f>IF(Répartition!$B27="","",Répartition!$B27)</f>
        <v>FIAP</v>
      </c>
      <c r="O64" s="82" t="str">
        <f>IF(Répartition!$I27="","",Répartition!$I27)</f>
        <v>Ruban FIAP coup de Cœur juge N°1</v>
      </c>
      <c r="P64" s="81" t="str">
        <f>IF(Répartition!$J27="","",Répartition!$J27)</f>
        <v>*-*-*-*</v>
      </c>
      <c r="Q64" s="149">
        <f>VLOOKUP(O64&amp;P64,code,2,0)</f>
        <v>75</v>
      </c>
      <c r="S64" s="45" t="s">
        <v>10</v>
      </c>
      <c r="T64" s="137" t="s">
        <v>56</v>
      </c>
      <c r="U64" s="136" t="s">
        <v>24</v>
      </c>
      <c r="V64" s="43" t="str">
        <f t="shared" si="0"/>
        <v>Médaille de Bronze FIAPCouleur</v>
      </c>
      <c r="W64" s="197">
        <v>51</v>
      </c>
    </row>
    <row r="65" spans="1:23" s="25" customFormat="1" ht="15" customHeight="1" x14ac:dyDescent="0.25">
      <c r="A65" s="1">
        <v>11</v>
      </c>
      <c r="B65" s="199" t="str">
        <f>IF(Répartition!$B28="","",Répartition!$B28)</f>
        <v>FIAP</v>
      </c>
      <c r="C65" s="82" t="str">
        <f>IF(Répartition!$C28="","",Répartition!$C28)</f>
        <v>Ruban FIAP coup de Cœur juge N°2</v>
      </c>
      <c r="D65" s="81" t="str">
        <f>IF(Répartition!$D28="","",Répartition!$D28)</f>
        <v>*-*-*-*</v>
      </c>
      <c r="E65" s="149">
        <f>VLOOKUP(C65&amp;D65,code,2,0)</f>
        <v>76</v>
      </c>
      <c r="F65" s="199" t="str">
        <f>IF(Répartition!$B28="","",Répartition!$B28)</f>
        <v>FIAP</v>
      </c>
      <c r="G65" s="82" t="str">
        <f>IF(Répartition!$E28="","",Répartition!$E28)</f>
        <v>Ruban FIAP coup de Cœur juge N°2</v>
      </c>
      <c r="H65" s="81" t="str">
        <f>IF(Répartition!$F28="","",Répartition!$F28)</f>
        <v>*-*-*-*</v>
      </c>
      <c r="I65" s="149">
        <f>VLOOKUP(G65&amp;H65,code,2,0)</f>
        <v>76</v>
      </c>
      <c r="J65" s="199" t="str">
        <f>IF(Répartition!$B28="","",Répartition!$B28)</f>
        <v>FIAP</v>
      </c>
      <c r="K65" s="82" t="str">
        <f>IF(Répartition!$G28="","",Répartition!$G28)</f>
        <v>Ruban FIAP coup de Cœur juge N°2</v>
      </c>
      <c r="L65" s="81" t="str">
        <f>IF(Répartition!$H28="","",Répartition!$H28)</f>
        <v>*-*-*-*</v>
      </c>
      <c r="M65" s="149">
        <f>VLOOKUP(K65&amp;L65,code,2,0)</f>
        <v>76</v>
      </c>
      <c r="N65" s="199" t="str">
        <f>IF(Répartition!$B28="","",Répartition!$B28)</f>
        <v>FIAP</v>
      </c>
      <c r="O65" s="82" t="str">
        <f>IF(Répartition!$I28="","",Répartition!$I28)</f>
        <v>Ruban FIAP coup de Cœur juge N°2</v>
      </c>
      <c r="P65" s="81" t="str">
        <f>IF(Répartition!$J28="","",Répartition!$J28)</f>
        <v>*-*-*-*</v>
      </c>
      <c r="Q65" s="149">
        <f>VLOOKUP(O65&amp;P65,code,2,0)</f>
        <v>76</v>
      </c>
      <c r="S65" s="45" t="s">
        <v>10</v>
      </c>
      <c r="T65" s="137" t="s">
        <v>56</v>
      </c>
      <c r="U65" s="136" t="s">
        <v>27</v>
      </c>
      <c r="V65" s="43" t="str">
        <f t="shared" si="0"/>
        <v>Médaille de Bronze FIAPNature</v>
      </c>
      <c r="W65" s="197">
        <v>52</v>
      </c>
    </row>
    <row r="66" spans="1:23" s="25" customFormat="1" ht="15" customHeight="1" x14ac:dyDescent="0.25">
      <c r="A66" s="1">
        <v>12</v>
      </c>
      <c r="B66" s="199" t="str">
        <f>IF(Répartition!$B29="","",Répartition!$B29)</f>
        <v>FIAP</v>
      </c>
      <c r="C66" s="82" t="str">
        <f>IF(Répartition!$C29="","",Répartition!$C29)</f>
        <v>Ruban FIAP coup de Cœur juge N°3</v>
      </c>
      <c r="D66" s="81" t="str">
        <f>IF(Répartition!$D29="","",Répartition!$D29)</f>
        <v>*-*-*-*</v>
      </c>
      <c r="E66" s="149">
        <f>VLOOKUP(C66&amp;D66,code,2,0)</f>
        <v>77</v>
      </c>
      <c r="F66" s="199" t="str">
        <f>IF(Répartition!$B29="","",Répartition!$B29)</f>
        <v>FIAP</v>
      </c>
      <c r="G66" s="82" t="str">
        <f>IF(Répartition!$E29="","",Répartition!$E29)</f>
        <v>Ruban FIAP coup de Cœur juge N°3</v>
      </c>
      <c r="H66" s="81" t="str">
        <f>IF(Répartition!$F29="","",Répartition!$F29)</f>
        <v>*-*-*-*</v>
      </c>
      <c r="I66" s="149">
        <f>VLOOKUP(G66&amp;H66,code,2,0)</f>
        <v>77</v>
      </c>
      <c r="J66" s="199" t="str">
        <f>IF(Répartition!$B29="","",Répartition!$B29)</f>
        <v>FIAP</v>
      </c>
      <c r="K66" s="82" t="str">
        <f>IF(Répartition!$G29="","",Répartition!$G29)</f>
        <v>Ruban FIAP coup de Cœur juge N°3</v>
      </c>
      <c r="L66" s="81" t="str">
        <f>IF(Répartition!$H29="","",Répartition!$H29)</f>
        <v>*-*-*-*</v>
      </c>
      <c r="M66" s="149">
        <f>VLOOKUP(K66&amp;L66,code,2,0)</f>
        <v>77</v>
      </c>
      <c r="N66" s="199" t="str">
        <f>IF(Répartition!$B29="","",Répartition!$B29)</f>
        <v>FIAP</v>
      </c>
      <c r="O66" s="82" t="str">
        <f>IF(Répartition!$I29="","",Répartition!$I29)</f>
        <v>Ruban FIAP coup de Cœur juge N°3</v>
      </c>
      <c r="P66" s="81" t="str">
        <f>IF(Répartition!$J29="","",Répartition!$J29)</f>
        <v>*-*-*-*</v>
      </c>
      <c r="Q66" s="149">
        <f>VLOOKUP(O66&amp;P66,code,2,0)</f>
        <v>77</v>
      </c>
      <c r="S66" s="45" t="s">
        <v>10</v>
      </c>
      <c r="T66" s="137" t="s">
        <v>56</v>
      </c>
      <c r="U66" s="136" t="s">
        <v>28</v>
      </c>
      <c r="V66" s="43" t="str">
        <f t="shared" si="0"/>
        <v>Médaille de Bronze FIAPMonochrome</v>
      </c>
      <c r="W66" s="197">
        <v>53</v>
      </c>
    </row>
    <row r="67" spans="1:23" s="25" customFormat="1" ht="15" customHeight="1" x14ac:dyDescent="0.25">
      <c r="A67" s="1">
        <v>13</v>
      </c>
      <c r="B67" s="199" t="str">
        <f>IF(Répartition!$B30="","",Répartition!$B30)</f>
        <v>FIAP</v>
      </c>
      <c r="C67" s="82" t="str">
        <f>IF(Répartition!$C30="","",Répartition!$C30)</f>
        <v>Ruban FIAP</v>
      </c>
      <c r="D67" s="81" t="str">
        <f>IF(Répartition!$D30="","",Répartition!$D30)</f>
        <v>Couleur</v>
      </c>
      <c r="E67" s="149">
        <f>VLOOKUP(C67&amp;D67,code,2,0)</f>
        <v>78</v>
      </c>
      <c r="F67" s="199" t="str">
        <f>IF(Répartition!$B30="","",Répartition!$B30)</f>
        <v>FIAP</v>
      </c>
      <c r="G67" s="82" t="str">
        <f>IF(Répartition!$E30="","",Répartition!$E30)</f>
        <v>Ruban FIAP</v>
      </c>
      <c r="H67" s="81" t="str">
        <f>IF(Répartition!$F30="","",Répartition!$F30)</f>
        <v>Couleur</v>
      </c>
      <c r="I67" s="149">
        <f>VLOOKUP(G67&amp;H67,code,2,0)</f>
        <v>78</v>
      </c>
      <c r="J67" s="199" t="str">
        <f>IF(Répartition!$B30="","",Répartition!$B30)</f>
        <v>FIAP</v>
      </c>
      <c r="K67" s="82" t="str">
        <f>IF(Répartition!$G30="","",Répartition!$G30)</f>
        <v>Ruban FIAP</v>
      </c>
      <c r="L67" s="81" t="str">
        <f>IF(Répartition!$H30="","",Répartition!$H30)</f>
        <v>Couleur</v>
      </c>
      <c r="M67" s="149">
        <f>VLOOKUP(K67&amp;L67,code,2,0)</f>
        <v>78</v>
      </c>
      <c r="N67" s="199" t="str">
        <f>IF(Répartition!$B30="","",Répartition!$B30)</f>
        <v>FIAP</v>
      </c>
      <c r="O67" s="82" t="str">
        <f>IF(Répartition!$I30="","",Répartition!$I30)</f>
        <v>Ruban FIAP</v>
      </c>
      <c r="P67" s="81" t="str">
        <f>IF(Répartition!$J30="","",Répartition!$J30)</f>
        <v>Couleur</v>
      </c>
      <c r="Q67" s="149">
        <f>VLOOKUP(O67&amp;P67,code,2,0)</f>
        <v>78</v>
      </c>
      <c r="S67" s="45" t="s">
        <v>10</v>
      </c>
      <c r="T67" s="137" t="s">
        <v>56</v>
      </c>
      <c r="U67" s="136" t="s">
        <v>29</v>
      </c>
      <c r="V67" s="43" t="str">
        <f t="shared" si="0"/>
        <v>Médaille de Bronze FIAPThème</v>
      </c>
      <c r="W67" s="197">
        <v>54</v>
      </c>
    </row>
    <row r="68" spans="1:23" s="25" customFormat="1" ht="15" customHeight="1" x14ac:dyDescent="0.25">
      <c r="A68" s="1">
        <v>14</v>
      </c>
      <c r="B68" s="199" t="str">
        <f>IF(Répartition!$B34="","",Répartition!$B34)</f>
        <v>FIAP</v>
      </c>
      <c r="C68" s="82" t="str">
        <f>IF(Répartition!$C34="","",Répartition!$C34)</f>
        <v>Ruban FIAP</v>
      </c>
      <c r="D68" s="81" t="str">
        <f>IF(Répartition!$D34="","",Répartition!$D34)</f>
        <v>Couleur</v>
      </c>
      <c r="E68" s="149">
        <f>VLOOKUP(C68&amp;D68,code,2,0)</f>
        <v>78</v>
      </c>
      <c r="F68" s="199" t="str">
        <f>IF(Répartition!$B34="","",Répartition!$B34)</f>
        <v>FIAP</v>
      </c>
      <c r="G68" s="82" t="str">
        <f>IF(Répartition!$E34="","",Répartition!$E34)</f>
        <v>Ruban FIAP</v>
      </c>
      <c r="H68" s="81" t="str">
        <f>IF(Répartition!$F34="","",Répartition!$F34)</f>
        <v>Couleur</v>
      </c>
      <c r="I68" s="149">
        <f>VLOOKUP(G68&amp;H68,code,2,0)</f>
        <v>78</v>
      </c>
      <c r="J68" s="199" t="str">
        <f>IF(Répartition!$B34="","",Répartition!$B34)</f>
        <v>FIAP</v>
      </c>
      <c r="K68" s="82" t="str">
        <f>IF(Répartition!$G34="","",Répartition!$G34)</f>
        <v>Ruban FIAP</v>
      </c>
      <c r="L68" s="81" t="str">
        <f>IF(Répartition!$H34="","",Répartition!$H34)</f>
        <v>Couleur</v>
      </c>
      <c r="M68" s="149">
        <f>VLOOKUP(K68&amp;L68,code,2,0)</f>
        <v>78</v>
      </c>
      <c r="N68" s="199" t="str">
        <f>IF(Répartition!$B34="","",Répartition!$B34)</f>
        <v>FIAP</v>
      </c>
      <c r="O68" s="82" t="str">
        <f>IF(Répartition!$I34="","",Répartition!$I34)</f>
        <v>Ruban FIAP</v>
      </c>
      <c r="P68" s="81" t="str">
        <f>IF(Répartition!$J34="","",Répartition!$J34)</f>
        <v>Couleur</v>
      </c>
      <c r="Q68" s="149">
        <f>VLOOKUP(O68&amp;P68,code,2,0)</f>
        <v>78</v>
      </c>
      <c r="S68" s="45" t="s">
        <v>11</v>
      </c>
      <c r="T68" s="137" t="s">
        <v>63</v>
      </c>
      <c r="U68" s="136" t="s">
        <v>24</v>
      </c>
      <c r="V68" s="43" t="str">
        <f t="shared" si="0"/>
        <v>Médaille de Bronze PSACouleur</v>
      </c>
      <c r="W68" s="197">
        <v>55</v>
      </c>
    </row>
    <row r="69" spans="1:23" s="25" customFormat="1" ht="15" customHeight="1" x14ac:dyDescent="0.25">
      <c r="A69" s="1">
        <v>15</v>
      </c>
      <c r="B69" s="199" t="str">
        <f>IF(Répartition!$B38="","",Répartition!$B38)</f>
        <v>FIAP</v>
      </c>
      <c r="C69" s="82" t="str">
        <f>IF(Répartition!$C38="","",Répartition!$C38)</f>
        <v>Ruban FIAP</v>
      </c>
      <c r="D69" s="81" t="str">
        <f>IF(Répartition!$D38="","",Répartition!$D38)</f>
        <v>Couleur</v>
      </c>
      <c r="E69" s="149">
        <f>VLOOKUP(C69&amp;D69,code,2,0)</f>
        <v>78</v>
      </c>
      <c r="F69" s="199" t="str">
        <f>IF(Répartition!$B38="","",Répartition!$B38)</f>
        <v>FIAP</v>
      </c>
      <c r="G69" s="82" t="str">
        <f>IF(Répartition!$E38="","",Répartition!$E38)</f>
        <v>Ruban FIAP</v>
      </c>
      <c r="H69" s="81" t="str">
        <f>IF(Répartition!$F38="","",Répartition!$F38)</f>
        <v>Couleur</v>
      </c>
      <c r="I69" s="149">
        <f>VLOOKUP(G69&amp;H69,code,2,0)</f>
        <v>78</v>
      </c>
      <c r="J69" s="199" t="str">
        <f>IF(Répartition!$B38="","",Répartition!$B38)</f>
        <v>FIAP</v>
      </c>
      <c r="K69" s="82" t="str">
        <f>IF(Répartition!$G38="","",Répartition!$G38)</f>
        <v>Ruban FIAP</v>
      </c>
      <c r="L69" s="81" t="str">
        <f>IF(Répartition!$H38="","",Répartition!$H38)</f>
        <v>Couleur</v>
      </c>
      <c r="M69" s="149">
        <f>VLOOKUP(K69&amp;L69,code,2,0)</f>
        <v>78</v>
      </c>
      <c r="N69" s="199" t="str">
        <f>IF(Répartition!$B38="","",Répartition!$B38)</f>
        <v>FIAP</v>
      </c>
      <c r="O69" s="82" t="str">
        <f>IF(Répartition!$I38="","",Répartition!$I38)</f>
        <v>Ruban FIAP</v>
      </c>
      <c r="P69" s="81" t="str">
        <f>IF(Répartition!$J38="","",Répartition!$J38)</f>
        <v>Couleur</v>
      </c>
      <c r="Q69" s="149">
        <f>VLOOKUP(O69&amp;P69,code,2,0)</f>
        <v>78</v>
      </c>
      <c r="S69" s="45" t="s">
        <v>11</v>
      </c>
      <c r="T69" s="137" t="s">
        <v>63</v>
      </c>
      <c r="U69" s="136" t="s">
        <v>27</v>
      </c>
      <c r="V69" s="43" t="str">
        <f t="shared" si="0"/>
        <v>Médaille de Bronze PSANature</v>
      </c>
      <c r="W69" s="197">
        <v>56</v>
      </c>
    </row>
    <row r="70" spans="1:23" s="44" customFormat="1" ht="15" customHeight="1" x14ac:dyDescent="0.25">
      <c r="A70" s="1">
        <v>16</v>
      </c>
      <c r="B70" s="199" t="str">
        <f>IF(Répartition!$B42="","",Répartition!$B42)</f>
        <v>FIAP</v>
      </c>
      <c r="C70" s="82" t="str">
        <f>IF(Répartition!$C42="","",Répartition!$C42)</f>
        <v>Ruban FIAP</v>
      </c>
      <c r="D70" s="81" t="str">
        <f>IF(Répartition!$D42="","",Répartition!$D42)</f>
        <v>Couleur</v>
      </c>
      <c r="E70" s="149">
        <f>VLOOKUP(C70&amp;D70,code,2,0)</f>
        <v>78</v>
      </c>
      <c r="F70" s="199" t="str">
        <f>IF(Répartition!$B42="","",Répartition!$B42)</f>
        <v>FIAP</v>
      </c>
      <c r="G70" s="82" t="str">
        <f>IF(Répartition!$E42="","",Répartition!$E42)</f>
        <v>Ruban FIAP</v>
      </c>
      <c r="H70" s="81" t="str">
        <f>IF(Répartition!$F42="","",Répartition!$F42)</f>
        <v>Couleur</v>
      </c>
      <c r="I70" s="149">
        <f>VLOOKUP(G70&amp;H70,code,2,0)</f>
        <v>78</v>
      </c>
      <c r="J70" s="199" t="str">
        <f>IF(Répartition!$B42="","",Répartition!$B42)</f>
        <v>FIAP</v>
      </c>
      <c r="K70" s="82" t="str">
        <f>IF(Répartition!$G42="","",Répartition!$G42)</f>
        <v>Ruban FIAP</v>
      </c>
      <c r="L70" s="81" t="str">
        <f>IF(Répartition!$H42="","",Répartition!$H42)</f>
        <v>Couleur</v>
      </c>
      <c r="M70" s="149">
        <f>VLOOKUP(K70&amp;L70,code,2,0)</f>
        <v>78</v>
      </c>
      <c r="N70" s="199" t="str">
        <f>IF(Répartition!$B42="","",Répartition!$B42)</f>
        <v>FIAP</v>
      </c>
      <c r="O70" s="82" t="str">
        <f>IF(Répartition!$I42="","",Répartition!$I42)</f>
        <v>Ruban FIAP</v>
      </c>
      <c r="P70" s="81" t="str">
        <f>IF(Répartition!$J42="","",Répartition!$J42)</f>
        <v>Couleur</v>
      </c>
      <c r="Q70" s="149">
        <f>VLOOKUP(O70&amp;P70,code,2,0)</f>
        <v>78</v>
      </c>
      <c r="S70" s="45" t="s">
        <v>11</v>
      </c>
      <c r="T70" s="137" t="s">
        <v>63</v>
      </c>
      <c r="U70" s="136" t="s">
        <v>28</v>
      </c>
      <c r="V70" s="43" t="str">
        <f t="shared" si="0"/>
        <v>Médaille de Bronze PSAMonochrome</v>
      </c>
      <c r="W70" s="197">
        <v>57</v>
      </c>
    </row>
    <row r="71" spans="1:23" s="25" customFormat="1" ht="15" customHeight="1" x14ac:dyDescent="0.25">
      <c r="A71" s="1">
        <v>17</v>
      </c>
      <c r="B71" s="199" t="str">
        <f>IF(Répartition!$B46="","",Répartition!$B46)</f>
        <v>FIAP</v>
      </c>
      <c r="C71" s="82" t="str">
        <f>IF(Répartition!$C46="","",Répartition!$C46)</f>
        <v>Ruban FIAP</v>
      </c>
      <c r="D71" s="81" t="str">
        <f>IF(Répartition!$D46="","",Répartition!$D46)</f>
        <v>Couleur</v>
      </c>
      <c r="E71" s="149">
        <f>VLOOKUP(C71&amp;D71,code,2,0)</f>
        <v>78</v>
      </c>
      <c r="F71" s="199" t="str">
        <f>IF(Répartition!$B46="","",Répartition!$B46)</f>
        <v>FIAP</v>
      </c>
      <c r="G71" s="82" t="str">
        <f>IF(Répartition!$E46="","",Répartition!$E46)</f>
        <v>Ruban FIAP</v>
      </c>
      <c r="H71" s="81" t="str">
        <f>IF(Répartition!$F46="","",Répartition!$F46)</f>
        <v>Couleur</v>
      </c>
      <c r="I71" s="149">
        <f>VLOOKUP(G71&amp;H71,code,2,0)</f>
        <v>78</v>
      </c>
      <c r="J71" s="199" t="str">
        <f>IF(Répartition!$B46="","",Répartition!$B46)</f>
        <v>FIAP</v>
      </c>
      <c r="K71" s="82" t="str">
        <f>IF(Répartition!$G46="","",Répartition!$G46)</f>
        <v>Ruban FIAP</v>
      </c>
      <c r="L71" s="81" t="str">
        <f>IF(Répartition!$H46="","",Répartition!$H46)</f>
        <v>Couleur</v>
      </c>
      <c r="M71" s="149">
        <f>VLOOKUP(K71&amp;L71,code,2,0)</f>
        <v>78</v>
      </c>
      <c r="N71" s="199" t="str">
        <f>IF(Répartition!$B46="","",Répartition!$B46)</f>
        <v>FIAP</v>
      </c>
      <c r="O71" s="82" t="str">
        <f>IF(Répartition!$I46="","",Répartition!$I46)</f>
        <v>Ruban FIAP</v>
      </c>
      <c r="P71" s="81" t="str">
        <f>IF(Répartition!$J46="","",Répartition!$J46)</f>
        <v>Couleur</v>
      </c>
      <c r="Q71" s="149">
        <f>VLOOKUP(O71&amp;P71,code,2,0)</f>
        <v>78</v>
      </c>
      <c r="S71" s="45" t="s">
        <v>11</v>
      </c>
      <c r="T71" s="137" t="s">
        <v>63</v>
      </c>
      <c r="U71" s="136" t="s">
        <v>29</v>
      </c>
      <c r="V71" s="43" t="str">
        <f t="shared" si="0"/>
        <v>Médaille de Bronze PSAThème</v>
      </c>
      <c r="W71" s="197">
        <v>58</v>
      </c>
    </row>
    <row r="72" spans="1:23" s="25" customFormat="1" ht="15" customHeight="1" x14ac:dyDescent="0.25">
      <c r="A72" s="1">
        <v>18</v>
      </c>
      <c r="B72" s="199" t="str">
        <f>IF(Répartition!$B47="","",Répartition!$B47)</f>
        <v>FIAP</v>
      </c>
      <c r="C72" s="82" t="str">
        <f>IF(Répartition!$C47="","",Répartition!$C47)</f>
        <v>Ruban FIAP</v>
      </c>
      <c r="D72" s="81" t="str">
        <f>IF(Répartition!$D47="","",Répartition!$D47)</f>
        <v>Couleur</v>
      </c>
      <c r="E72" s="149">
        <f>VLOOKUP(C72&amp;D72,code,2,0)</f>
        <v>78</v>
      </c>
      <c r="F72" s="199" t="str">
        <f>IF(Répartition!$B47="","",Répartition!$B47)</f>
        <v>FIAP</v>
      </c>
      <c r="G72" s="82" t="str">
        <f>IF(Répartition!$E47="","",Répartition!$E47)</f>
        <v>Ruban FIAP</v>
      </c>
      <c r="H72" s="81" t="str">
        <f>IF(Répartition!$F47="","",Répartition!$F47)</f>
        <v>Couleur</v>
      </c>
      <c r="I72" s="149">
        <f>VLOOKUP(G72&amp;H72,code,2,0)</f>
        <v>78</v>
      </c>
      <c r="J72" s="199" t="str">
        <f>IF(Répartition!$B47="","",Répartition!$B47)</f>
        <v>FIAP</v>
      </c>
      <c r="K72" s="82" t="str">
        <f>IF(Répartition!$G47="","",Répartition!$G47)</f>
        <v>Ruban FIAP</v>
      </c>
      <c r="L72" s="81" t="str">
        <f>IF(Répartition!$H47="","",Répartition!$H47)</f>
        <v>Couleur</v>
      </c>
      <c r="M72" s="149">
        <f>VLOOKUP(K72&amp;L72,code,2,0)</f>
        <v>78</v>
      </c>
      <c r="N72" s="199" t="str">
        <f>IF(Répartition!$B47="","",Répartition!$B47)</f>
        <v>FIAP</v>
      </c>
      <c r="O72" s="82" t="str">
        <f>IF(Répartition!$I47="","",Répartition!$I47)</f>
        <v>Ruban FIAP</v>
      </c>
      <c r="P72" s="81" t="str">
        <f>IF(Répartition!$J47="","",Répartition!$J47)</f>
        <v>Couleur</v>
      </c>
      <c r="Q72" s="149">
        <f>VLOOKUP(O72&amp;P72,code,2,0)</f>
        <v>78</v>
      </c>
      <c r="S72" s="45" t="s">
        <v>23</v>
      </c>
      <c r="T72" s="137" t="s">
        <v>67</v>
      </c>
      <c r="U72" s="136" t="s">
        <v>24</v>
      </c>
      <c r="V72" s="43" t="str">
        <f t="shared" si="0"/>
        <v>Médaille de Bronze GPUCouleur</v>
      </c>
      <c r="W72" s="197">
        <v>59</v>
      </c>
    </row>
    <row r="73" spans="1:23" s="25" customFormat="1" ht="15" customHeight="1" x14ac:dyDescent="0.25">
      <c r="A73" s="1">
        <v>19</v>
      </c>
      <c r="B73" s="199" t="str">
        <f>IF(Répartition!$B51="","",Répartition!$B51)</f>
        <v>FIAP</v>
      </c>
      <c r="C73" s="82" t="str">
        <f>IF(Répartition!$C51="","",Répartition!$C51)</f>
        <v>Ruban FIAP</v>
      </c>
      <c r="D73" s="81" t="str">
        <f>IF(Répartition!$D51="","",Répartition!$D51)</f>
        <v>Couleur</v>
      </c>
      <c r="E73" s="149">
        <f>VLOOKUP(C73&amp;D73,code,2,0)</f>
        <v>78</v>
      </c>
      <c r="F73" s="199" t="str">
        <f>IF(Répartition!$B51="","",Répartition!$B51)</f>
        <v>FIAP</v>
      </c>
      <c r="G73" s="82" t="str">
        <f>IF(Répartition!$E51="","",Répartition!$E51)</f>
        <v>Ruban FIAP</v>
      </c>
      <c r="H73" s="81" t="str">
        <f>IF(Répartition!$F51="","",Répartition!$F51)</f>
        <v>Couleur</v>
      </c>
      <c r="I73" s="149">
        <f>VLOOKUP(G73&amp;H73,code,2,0)</f>
        <v>78</v>
      </c>
      <c r="J73" s="199" t="str">
        <f>IF(Répartition!$B51="","",Répartition!$B51)</f>
        <v>FIAP</v>
      </c>
      <c r="K73" s="82" t="str">
        <f>IF(Répartition!$G51="","",Répartition!$G51)</f>
        <v>Ruban FIAP</v>
      </c>
      <c r="L73" s="81" t="str">
        <f>IF(Répartition!$H51="","",Répartition!$H51)</f>
        <v>Couleur</v>
      </c>
      <c r="M73" s="149">
        <f>VLOOKUP(K73&amp;L73,code,2,0)</f>
        <v>78</v>
      </c>
      <c r="N73" s="199" t="str">
        <f>IF(Répartition!$B51="","",Répartition!$B51)</f>
        <v>FIAP</v>
      </c>
      <c r="O73" s="82" t="str">
        <f>IF(Répartition!$I51="","",Répartition!$I51)</f>
        <v>Ruban FIAP</v>
      </c>
      <c r="P73" s="81" t="str">
        <f>IF(Répartition!$J51="","",Répartition!$J51)</f>
        <v>Couleur</v>
      </c>
      <c r="Q73" s="149">
        <f>VLOOKUP(O73&amp;P73,code,2,0)</f>
        <v>78</v>
      </c>
      <c r="S73" s="45" t="s">
        <v>23</v>
      </c>
      <c r="T73" s="137" t="s">
        <v>67</v>
      </c>
      <c r="U73" s="136" t="s">
        <v>27</v>
      </c>
      <c r="V73" s="43" t="str">
        <f t="shared" si="0"/>
        <v>Médaille de Bronze GPUNature</v>
      </c>
      <c r="W73" s="197">
        <v>60</v>
      </c>
    </row>
    <row r="74" spans="1:23" s="25" customFormat="1" ht="15" customHeight="1" x14ac:dyDescent="0.25">
      <c r="A74" s="1">
        <v>20</v>
      </c>
      <c r="B74" s="199" t="str">
        <f>IF(Répartition!$B31="","",Répartition!$B31)</f>
        <v>FIAP</v>
      </c>
      <c r="C74" s="82" t="str">
        <f>IF(Répartition!$C31="","",Répartition!$C31)</f>
        <v>Ruban FIAP</v>
      </c>
      <c r="D74" s="81" t="str">
        <f>IF(Répartition!$D31="","",Répartition!$D31)</f>
        <v>Nature</v>
      </c>
      <c r="E74" s="149">
        <f>VLOOKUP(C74&amp;D74,code,2,0)</f>
        <v>79</v>
      </c>
      <c r="F74" s="199" t="str">
        <f>IF(Répartition!$B31="","",Répartition!$B31)</f>
        <v>FIAP</v>
      </c>
      <c r="G74" s="82" t="str">
        <f>IF(Répartition!$E31="","",Répartition!$E31)</f>
        <v>Ruban FIAP</v>
      </c>
      <c r="H74" s="81" t="str">
        <f>IF(Répartition!$F31="","",Répartition!$F31)</f>
        <v>Nature</v>
      </c>
      <c r="I74" s="149">
        <f>VLOOKUP(G74&amp;H74,code,2,0)</f>
        <v>79</v>
      </c>
      <c r="J74" s="199" t="str">
        <f>IF(Répartition!$B31="","",Répartition!$B31)</f>
        <v>FIAP</v>
      </c>
      <c r="K74" s="82" t="str">
        <f>IF(Répartition!$G31="","",Répartition!$G31)</f>
        <v>Ruban FIAP</v>
      </c>
      <c r="L74" s="81" t="str">
        <f>IF(Répartition!$H31="","",Répartition!$H31)</f>
        <v>Nature</v>
      </c>
      <c r="M74" s="149">
        <f>VLOOKUP(K74&amp;L74,code,2,0)</f>
        <v>79</v>
      </c>
      <c r="N74" s="199" t="str">
        <f>IF(Répartition!$B31="","",Répartition!$B31)</f>
        <v>FIAP</v>
      </c>
      <c r="O74" s="82" t="str">
        <f>IF(Répartition!$I31="","",Répartition!$I31)</f>
        <v>Ruban FIAP</v>
      </c>
      <c r="P74" s="81" t="str">
        <f>IF(Répartition!$J31="","",Répartition!$J31)</f>
        <v>Nature</v>
      </c>
      <c r="Q74" s="149">
        <f>VLOOKUP(O74&amp;P74,code,2,0)</f>
        <v>79</v>
      </c>
      <c r="S74" s="45" t="s">
        <v>23</v>
      </c>
      <c r="T74" s="137" t="s">
        <v>67</v>
      </c>
      <c r="U74" s="136" t="s">
        <v>28</v>
      </c>
      <c r="V74" s="43" t="str">
        <f t="shared" si="0"/>
        <v>Médaille de Bronze GPUMonochrome</v>
      </c>
      <c r="W74" s="197">
        <v>61</v>
      </c>
    </row>
    <row r="75" spans="1:23" s="25" customFormat="1" ht="15" customHeight="1" x14ac:dyDescent="0.25">
      <c r="A75" s="1">
        <v>1</v>
      </c>
      <c r="B75" s="199" t="str">
        <f>IF(Répartition!$B35="","",Répartition!$B35)</f>
        <v>FIAP</v>
      </c>
      <c r="C75" s="82" t="str">
        <f>IF(Répartition!$C35="","",Répartition!$C35)</f>
        <v>Ruban FIAP</v>
      </c>
      <c r="D75" s="81" t="str">
        <f>IF(Répartition!$D35="","",Répartition!$D35)</f>
        <v>Nature</v>
      </c>
      <c r="E75" s="149">
        <f>VLOOKUP(C75&amp;D75,code,2,0)</f>
        <v>79</v>
      </c>
      <c r="F75" s="199" t="str">
        <f>IF(Répartition!$B35="","",Répartition!$B35)</f>
        <v>FIAP</v>
      </c>
      <c r="G75" s="82" t="str">
        <f>IF(Répartition!$E35="","",Répartition!$E35)</f>
        <v>Ruban FIAP</v>
      </c>
      <c r="H75" s="81" t="str">
        <f>IF(Répartition!$F35="","",Répartition!$F35)</f>
        <v>Nature</v>
      </c>
      <c r="I75" s="149">
        <f>VLOOKUP(G75&amp;H75,code,2,0)</f>
        <v>79</v>
      </c>
      <c r="J75" s="199" t="str">
        <f>IF(Répartition!$B35="","",Répartition!$B35)</f>
        <v>FIAP</v>
      </c>
      <c r="K75" s="82" t="str">
        <f>IF(Répartition!$G35="","",Répartition!$G35)</f>
        <v>Ruban FIAP</v>
      </c>
      <c r="L75" s="81" t="str">
        <f>IF(Répartition!$H35="","",Répartition!$H35)</f>
        <v>Nature</v>
      </c>
      <c r="M75" s="149">
        <f>VLOOKUP(K75&amp;L75,code,2,0)</f>
        <v>79</v>
      </c>
      <c r="N75" s="199" t="str">
        <f>IF(Répartition!$B35="","",Répartition!$B35)</f>
        <v>FIAP</v>
      </c>
      <c r="O75" s="82" t="str">
        <f>IF(Répartition!$I35="","",Répartition!$I35)</f>
        <v>Ruban FIAP</v>
      </c>
      <c r="P75" s="81" t="str">
        <f>IF(Répartition!$J35="","",Répartition!$J35)</f>
        <v>Nature</v>
      </c>
      <c r="Q75" s="149">
        <f>VLOOKUP(O75&amp;P75,code,2,0)</f>
        <v>79</v>
      </c>
      <c r="S75" s="45" t="s">
        <v>23</v>
      </c>
      <c r="T75" s="137" t="s">
        <v>67</v>
      </c>
      <c r="U75" s="136" t="s">
        <v>29</v>
      </c>
      <c r="V75" s="43" t="str">
        <f t="shared" si="0"/>
        <v>Médaille de Bronze GPUThème</v>
      </c>
      <c r="W75" s="197">
        <v>62</v>
      </c>
    </row>
    <row r="76" spans="1:23" s="25" customFormat="1" ht="15" customHeight="1" x14ac:dyDescent="0.25">
      <c r="A76" s="1">
        <v>2</v>
      </c>
      <c r="B76" s="199" t="str">
        <f>IF(Répartition!$B39="","",Répartition!$B39)</f>
        <v>FIAP</v>
      </c>
      <c r="C76" s="82" t="str">
        <f>IF(Répartition!$C39="","",Répartition!$C39)</f>
        <v>Ruban FIAP</v>
      </c>
      <c r="D76" s="81" t="str">
        <f>IF(Répartition!$D39="","",Répartition!$D39)</f>
        <v>Nature</v>
      </c>
      <c r="E76" s="149">
        <f>VLOOKUP(C76&amp;D76,code,2,0)</f>
        <v>79</v>
      </c>
      <c r="F76" s="199" t="str">
        <f>IF(Répartition!$B39="","",Répartition!$B39)</f>
        <v>FIAP</v>
      </c>
      <c r="G76" s="82" t="str">
        <f>IF(Répartition!$E39="","",Répartition!$E39)</f>
        <v>Ruban FIAP</v>
      </c>
      <c r="H76" s="81" t="str">
        <f>IF(Répartition!$F39="","",Répartition!$F39)</f>
        <v>Nature</v>
      </c>
      <c r="I76" s="149">
        <f>VLOOKUP(G76&amp;H76,code,2,0)</f>
        <v>79</v>
      </c>
      <c r="J76" s="199" t="str">
        <f>IF(Répartition!$B39="","",Répartition!$B39)</f>
        <v>FIAP</v>
      </c>
      <c r="K76" s="82" t="str">
        <f>IF(Répartition!$G39="","",Répartition!$G39)</f>
        <v>Ruban FIAP</v>
      </c>
      <c r="L76" s="81" t="str">
        <f>IF(Répartition!$H39="","",Répartition!$H39)</f>
        <v>Nature</v>
      </c>
      <c r="M76" s="149">
        <f>VLOOKUP(K76&amp;L76,code,2,0)</f>
        <v>79</v>
      </c>
      <c r="N76" s="199" t="str">
        <f>IF(Répartition!$B39="","",Répartition!$B39)</f>
        <v>FIAP</v>
      </c>
      <c r="O76" s="82" t="str">
        <f>IF(Répartition!$I39="","",Répartition!$I39)</f>
        <v>Ruban FIAP</v>
      </c>
      <c r="P76" s="81" t="str">
        <f>IF(Répartition!$J39="","",Répartition!$J39)</f>
        <v>Nature</v>
      </c>
      <c r="Q76" s="149">
        <f>VLOOKUP(O76&amp;P76,code,2,0)</f>
        <v>79</v>
      </c>
      <c r="S76" s="45" t="s">
        <v>13</v>
      </c>
      <c r="T76" s="137" t="s">
        <v>76</v>
      </c>
      <c r="U76" s="136" t="s">
        <v>24</v>
      </c>
      <c r="V76" s="43" t="str">
        <f t="shared" si="0"/>
        <v>Médaille de Bronze ISFCouleur</v>
      </c>
      <c r="W76" s="197">
        <v>63</v>
      </c>
    </row>
    <row r="77" spans="1:23" s="25" customFormat="1" ht="15" customHeight="1" x14ac:dyDescent="0.25">
      <c r="A77" s="1">
        <v>3</v>
      </c>
      <c r="B77" s="199" t="str">
        <f>IF(Répartition!$B43="","",Répartition!$B43)</f>
        <v>FIAP</v>
      </c>
      <c r="C77" s="82" t="str">
        <f>IF(Répartition!$C43="","",Répartition!$C43)</f>
        <v>Ruban FIAP</v>
      </c>
      <c r="D77" s="81" t="str">
        <f>IF(Répartition!$D43="","",Répartition!$D43)</f>
        <v>Nature</v>
      </c>
      <c r="E77" s="149">
        <f>VLOOKUP(C77&amp;D77,code,2,0)</f>
        <v>79</v>
      </c>
      <c r="F77" s="199" t="str">
        <f>IF(Répartition!$B43="","",Répartition!$B43)</f>
        <v>FIAP</v>
      </c>
      <c r="G77" s="82" t="str">
        <f>IF(Répartition!$E43="","",Répartition!$E43)</f>
        <v>Ruban FIAP</v>
      </c>
      <c r="H77" s="81" t="str">
        <f>IF(Répartition!$F43="","",Répartition!$F43)</f>
        <v>Nature</v>
      </c>
      <c r="I77" s="149">
        <f>VLOOKUP(G77&amp;H77,code,2,0)</f>
        <v>79</v>
      </c>
      <c r="J77" s="199" t="str">
        <f>IF(Répartition!$B43="","",Répartition!$B43)</f>
        <v>FIAP</v>
      </c>
      <c r="K77" s="82" t="str">
        <f>IF(Répartition!$G43="","",Répartition!$G43)</f>
        <v>Ruban FIAP</v>
      </c>
      <c r="L77" s="81" t="str">
        <f>IF(Répartition!$H43="","",Répartition!$H43)</f>
        <v>Nature</v>
      </c>
      <c r="M77" s="149">
        <f>VLOOKUP(K77&amp;L77,code,2,0)</f>
        <v>79</v>
      </c>
      <c r="N77" s="199" t="str">
        <f>IF(Répartition!$B43="","",Répartition!$B43)</f>
        <v>FIAP</v>
      </c>
      <c r="O77" s="82" t="str">
        <f>IF(Répartition!$I43="","",Répartition!$I43)</f>
        <v>Ruban FIAP</v>
      </c>
      <c r="P77" s="81" t="str">
        <f>IF(Répartition!$J43="","",Répartition!$J43)</f>
        <v>Nature</v>
      </c>
      <c r="Q77" s="149">
        <f>VLOOKUP(O77&amp;P77,code,2,0)</f>
        <v>79</v>
      </c>
      <c r="S77" s="45" t="s">
        <v>13</v>
      </c>
      <c r="T77" s="137" t="s">
        <v>76</v>
      </c>
      <c r="U77" s="136" t="s">
        <v>27</v>
      </c>
      <c r="V77" s="43" t="str">
        <f t="shared" si="0"/>
        <v>Médaille de Bronze ISFNature</v>
      </c>
      <c r="W77" s="197">
        <v>64</v>
      </c>
    </row>
    <row r="78" spans="1:23" s="25" customFormat="1" ht="15" customHeight="1" x14ac:dyDescent="0.25">
      <c r="A78" s="1">
        <v>4</v>
      </c>
      <c r="B78" s="199" t="str">
        <f>IF(Répartition!$B48="","",Répartition!$B48)</f>
        <v>FIAP</v>
      </c>
      <c r="C78" s="82" t="str">
        <f>IF(Répartition!$C48="","",Répartition!$C48)</f>
        <v>Ruban FIAP</v>
      </c>
      <c r="D78" s="81" t="str">
        <f>IF(Répartition!$D48="","",Répartition!$D48)</f>
        <v>Nature</v>
      </c>
      <c r="E78" s="149">
        <f>VLOOKUP(C78&amp;D78,code,2,0)</f>
        <v>79</v>
      </c>
      <c r="F78" s="199" t="str">
        <f>IF(Répartition!$B48="","",Répartition!$B48)</f>
        <v>FIAP</v>
      </c>
      <c r="G78" s="82" t="str">
        <f>IF(Répartition!$E48="","",Répartition!$E48)</f>
        <v>Ruban FIAP</v>
      </c>
      <c r="H78" s="81" t="str">
        <f>IF(Répartition!$F48="","",Répartition!$F48)</f>
        <v>Nature</v>
      </c>
      <c r="I78" s="149">
        <f>VLOOKUP(G78&amp;H78,code,2,0)</f>
        <v>79</v>
      </c>
      <c r="J78" s="199" t="str">
        <f>IF(Répartition!$B48="","",Répartition!$B48)</f>
        <v>FIAP</v>
      </c>
      <c r="K78" s="82" t="str">
        <f>IF(Répartition!$G48="","",Répartition!$G48)</f>
        <v>Ruban FIAP</v>
      </c>
      <c r="L78" s="81" t="str">
        <f>IF(Répartition!$H48="","",Répartition!$H48)</f>
        <v>Nature</v>
      </c>
      <c r="M78" s="149">
        <f>VLOOKUP(K78&amp;L78,code,2,0)</f>
        <v>79</v>
      </c>
      <c r="N78" s="199" t="str">
        <f>IF(Répartition!$B48="","",Répartition!$B48)</f>
        <v>FIAP</v>
      </c>
      <c r="O78" s="82" t="str">
        <f>IF(Répartition!$I48="","",Répartition!$I48)</f>
        <v>Ruban FIAP</v>
      </c>
      <c r="P78" s="81" t="str">
        <f>IF(Répartition!$J48="","",Répartition!$J48)</f>
        <v>Nature</v>
      </c>
      <c r="Q78" s="149">
        <f>VLOOKUP(O78&amp;P78,code,2,0)</f>
        <v>79</v>
      </c>
      <c r="S78" s="45" t="s">
        <v>13</v>
      </c>
      <c r="T78" s="137" t="s">
        <v>76</v>
      </c>
      <c r="U78" s="136" t="s">
        <v>28</v>
      </c>
      <c r="V78" s="43" t="str">
        <f t="shared" si="0"/>
        <v>Médaille de Bronze ISFMonochrome</v>
      </c>
      <c r="W78" s="197">
        <v>65</v>
      </c>
    </row>
    <row r="79" spans="1:23" s="25" customFormat="1" ht="15" customHeight="1" x14ac:dyDescent="0.25">
      <c r="A79" s="1">
        <v>5</v>
      </c>
      <c r="B79" s="199" t="str">
        <f>IF(Répartition!$B52="","",Répartition!$B52)</f>
        <v>FIAP</v>
      </c>
      <c r="C79" s="82" t="str">
        <f>IF(Répartition!$C52="","",Répartition!$C52)</f>
        <v>Ruban FIAP</v>
      </c>
      <c r="D79" s="81" t="str">
        <f>IF(Répartition!$D52="","",Répartition!$D52)</f>
        <v>Nature</v>
      </c>
      <c r="E79" s="149">
        <f>VLOOKUP(C79&amp;D79,code,2,0)</f>
        <v>79</v>
      </c>
      <c r="F79" s="199" t="str">
        <f>IF(Répartition!$B52="","",Répartition!$B52)</f>
        <v>FIAP</v>
      </c>
      <c r="G79" s="82" t="str">
        <f>IF(Répartition!$E52="","",Répartition!$E52)</f>
        <v>Ruban FIAP</v>
      </c>
      <c r="H79" s="81" t="str">
        <f>IF(Répartition!$F52="","",Répartition!$F52)</f>
        <v>Nature</v>
      </c>
      <c r="I79" s="149">
        <f>VLOOKUP(G79&amp;H79,code,2,0)</f>
        <v>79</v>
      </c>
      <c r="J79" s="199" t="str">
        <f>IF(Répartition!$B52="","",Répartition!$B52)</f>
        <v>FIAP</v>
      </c>
      <c r="K79" s="82" t="str">
        <f>IF(Répartition!$G52="","",Répartition!$G52)</f>
        <v>Ruban FIAP</v>
      </c>
      <c r="L79" s="81" t="str">
        <f>IF(Répartition!$H52="","",Répartition!$H52)</f>
        <v>Nature</v>
      </c>
      <c r="M79" s="149">
        <f>VLOOKUP(K79&amp;L79,code,2,0)</f>
        <v>79</v>
      </c>
      <c r="N79" s="199" t="str">
        <f>IF(Répartition!$B52="","",Répartition!$B52)</f>
        <v>FIAP</v>
      </c>
      <c r="O79" s="82" t="str">
        <f>IF(Répartition!$I52="","",Répartition!$I52)</f>
        <v>Ruban FIAP</v>
      </c>
      <c r="P79" s="81" t="str">
        <f>IF(Répartition!$J52="","",Répartition!$J52)</f>
        <v>Nature</v>
      </c>
      <c r="Q79" s="149">
        <f>VLOOKUP(O79&amp;P79,code,2,0)</f>
        <v>79</v>
      </c>
      <c r="S79" s="45" t="s">
        <v>13</v>
      </c>
      <c r="T79" s="137" t="s">
        <v>76</v>
      </c>
      <c r="U79" s="136" t="s">
        <v>29</v>
      </c>
      <c r="V79" s="43" t="str">
        <f t="shared" si="0"/>
        <v>Médaille de Bronze ISFThème</v>
      </c>
      <c r="W79" s="197">
        <v>66</v>
      </c>
    </row>
    <row r="80" spans="1:23" s="25" customFormat="1" ht="15" customHeight="1" x14ac:dyDescent="0.25">
      <c r="A80" s="1">
        <v>6</v>
      </c>
      <c r="B80" s="199" t="str">
        <f>IF(Répartition!$B32="","",Répartition!$B32)</f>
        <v>FIAP</v>
      </c>
      <c r="C80" s="82" t="str">
        <f>IF(Répartition!$C32="","",Répartition!$C32)</f>
        <v>Ruban FIAP</v>
      </c>
      <c r="D80" s="81" t="str">
        <f>IF(Répartition!$D32="","",Répartition!$D32)</f>
        <v>Monochrome</v>
      </c>
      <c r="E80" s="149">
        <f>VLOOKUP(C80&amp;D80,code,2,0)</f>
        <v>80</v>
      </c>
      <c r="F80" s="199" t="str">
        <f>IF(Répartition!$B32="","",Répartition!$B32)</f>
        <v>FIAP</v>
      </c>
      <c r="G80" s="82" t="str">
        <f>IF(Répartition!$E32="","",Répartition!$E32)</f>
        <v>Ruban FIAP</v>
      </c>
      <c r="H80" s="81" t="str">
        <f>IF(Répartition!$F32="","",Répartition!$F32)</f>
        <v>Monochrome</v>
      </c>
      <c r="I80" s="149">
        <f>VLOOKUP(G80&amp;H80,code,2,0)</f>
        <v>80</v>
      </c>
      <c r="J80" s="199" t="str">
        <f>IF(Répartition!$B32="","",Répartition!$B32)</f>
        <v>FIAP</v>
      </c>
      <c r="K80" s="82" t="str">
        <f>IF(Répartition!$G32="","",Répartition!$G32)</f>
        <v>Ruban FIAP</v>
      </c>
      <c r="L80" s="81" t="str">
        <f>IF(Répartition!$H32="","",Répartition!$H32)</f>
        <v>Monochrome</v>
      </c>
      <c r="M80" s="149">
        <f>VLOOKUP(K80&amp;L80,code,2,0)</f>
        <v>80</v>
      </c>
      <c r="N80" s="199" t="str">
        <f>IF(Répartition!$B32="","",Répartition!$B32)</f>
        <v>FIAP</v>
      </c>
      <c r="O80" s="82" t="str">
        <f>IF(Répartition!$I32="","",Répartition!$I32)</f>
        <v>Ruban FIAP</v>
      </c>
      <c r="P80" s="81" t="str">
        <f>IF(Répartition!$J32="","",Répartition!$J32)</f>
        <v>Monochrome</v>
      </c>
      <c r="Q80" s="149">
        <f>VLOOKUP(O80&amp;P80,code,2,0)</f>
        <v>80</v>
      </c>
      <c r="S80" s="45" t="s">
        <v>8</v>
      </c>
      <c r="T80" s="137" t="s">
        <v>72</v>
      </c>
      <c r="U80" s="136" t="s">
        <v>24</v>
      </c>
      <c r="V80" s="43" t="str">
        <f t="shared" si="0"/>
        <v>Médaille de Bronze FPFCouleur</v>
      </c>
      <c r="W80" s="197">
        <v>67</v>
      </c>
    </row>
    <row r="81" spans="1:23" s="25" customFormat="1" ht="15" customHeight="1" x14ac:dyDescent="0.25">
      <c r="A81" s="1">
        <v>7</v>
      </c>
      <c r="B81" s="199" t="str">
        <f>IF(Répartition!$B36="","",Répartition!$B36)</f>
        <v>FIAP</v>
      </c>
      <c r="C81" s="82" t="str">
        <f>IF(Répartition!$C36="","",Répartition!$C36)</f>
        <v>Ruban FIAP</v>
      </c>
      <c r="D81" s="81" t="str">
        <f>IF(Répartition!$D36="","",Répartition!$D36)</f>
        <v>Monochrome</v>
      </c>
      <c r="E81" s="149">
        <f>VLOOKUP(C81&amp;D81,code,2,0)</f>
        <v>80</v>
      </c>
      <c r="F81" s="199" t="str">
        <f>IF(Répartition!$B36="","",Répartition!$B36)</f>
        <v>FIAP</v>
      </c>
      <c r="G81" s="82" t="str">
        <f>IF(Répartition!$E36="","",Répartition!$E36)</f>
        <v>Ruban FIAP</v>
      </c>
      <c r="H81" s="81" t="str">
        <f>IF(Répartition!$F36="","",Répartition!$F36)</f>
        <v>Monochrome</v>
      </c>
      <c r="I81" s="149">
        <f>VLOOKUP(G81&amp;H81,code,2,0)</f>
        <v>80</v>
      </c>
      <c r="J81" s="199" t="str">
        <f>IF(Répartition!$B36="","",Répartition!$B36)</f>
        <v>FIAP</v>
      </c>
      <c r="K81" s="82" t="str">
        <f>IF(Répartition!$G36="","",Répartition!$G36)</f>
        <v>Ruban FIAP</v>
      </c>
      <c r="L81" s="81" t="str">
        <f>IF(Répartition!$H36="","",Répartition!$H36)</f>
        <v>Monochrome</v>
      </c>
      <c r="M81" s="149">
        <f>VLOOKUP(K81&amp;L81,code,2,0)</f>
        <v>80</v>
      </c>
      <c r="N81" s="199" t="str">
        <f>IF(Répartition!$B36="","",Répartition!$B36)</f>
        <v>FIAP</v>
      </c>
      <c r="O81" s="82" t="str">
        <f>IF(Répartition!$I36="","",Répartition!$I36)</f>
        <v>Ruban FIAP</v>
      </c>
      <c r="P81" s="81" t="str">
        <f>IF(Répartition!$J36="","",Répartition!$J36)</f>
        <v>Monochrome</v>
      </c>
      <c r="Q81" s="149">
        <f>VLOOKUP(O81&amp;P81,code,2,0)</f>
        <v>80</v>
      </c>
      <c r="S81" s="45" t="s">
        <v>8</v>
      </c>
      <c r="T81" s="137" t="s">
        <v>72</v>
      </c>
      <c r="U81" s="136" t="s">
        <v>27</v>
      </c>
      <c r="V81" s="43" t="str">
        <f t="shared" si="0"/>
        <v>Médaille de Bronze FPFNature</v>
      </c>
      <c r="W81" s="197">
        <v>68</v>
      </c>
    </row>
    <row r="82" spans="1:23" s="25" customFormat="1" ht="15" customHeight="1" x14ac:dyDescent="0.25">
      <c r="A82" s="1">
        <v>8</v>
      </c>
      <c r="B82" s="199" t="str">
        <f>IF(Répartition!$B40="","",Répartition!$B40)</f>
        <v>FIAP</v>
      </c>
      <c r="C82" s="82" t="str">
        <f>IF(Répartition!$C40="","",Répartition!$C40)</f>
        <v>Ruban FIAP</v>
      </c>
      <c r="D82" s="81" t="str">
        <f>IF(Répartition!$D40="","",Répartition!$D40)</f>
        <v>Monochrome</v>
      </c>
      <c r="E82" s="149">
        <f>VLOOKUP(C82&amp;D82,code,2,0)</f>
        <v>80</v>
      </c>
      <c r="F82" s="199" t="str">
        <f>IF(Répartition!$B40="","",Répartition!$B40)</f>
        <v>FIAP</v>
      </c>
      <c r="G82" s="82" t="str">
        <f>IF(Répartition!$E40="","",Répartition!$E40)</f>
        <v>Ruban FIAP</v>
      </c>
      <c r="H82" s="81" t="str">
        <f>IF(Répartition!$F40="","",Répartition!$F40)</f>
        <v>Monochrome</v>
      </c>
      <c r="I82" s="149">
        <f>VLOOKUP(G82&amp;H82,code,2,0)</f>
        <v>80</v>
      </c>
      <c r="J82" s="199" t="str">
        <f>IF(Répartition!$B40="","",Répartition!$B40)</f>
        <v>FIAP</v>
      </c>
      <c r="K82" s="82" t="str">
        <f>IF(Répartition!$G40="","",Répartition!$G40)</f>
        <v>Ruban FIAP</v>
      </c>
      <c r="L82" s="81" t="str">
        <f>IF(Répartition!$H40="","",Répartition!$H40)</f>
        <v>Monochrome</v>
      </c>
      <c r="M82" s="149">
        <f>VLOOKUP(K82&amp;L82,code,2,0)</f>
        <v>80</v>
      </c>
      <c r="N82" s="199" t="str">
        <f>IF(Répartition!$B40="","",Répartition!$B40)</f>
        <v>FIAP</v>
      </c>
      <c r="O82" s="82" t="str">
        <f>IF(Répartition!$I40="","",Répartition!$I40)</f>
        <v>Ruban FIAP</v>
      </c>
      <c r="P82" s="81" t="str">
        <f>IF(Répartition!$J40="","",Répartition!$J40)</f>
        <v>Monochrome</v>
      </c>
      <c r="Q82" s="149">
        <f>VLOOKUP(O82&amp;P82,code,2,0)</f>
        <v>80</v>
      </c>
      <c r="S82" s="45" t="s">
        <v>8</v>
      </c>
      <c r="T82" s="137" t="s">
        <v>72</v>
      </c>
      <c r="U82" s="136" t="s">
        <v>28</v>
      </c>
      <c r="V82" s="43" t="str">
        <f t="shared" si="0"/>
        <v>Médaille de Bronze FPFMonochrome</v>
      </c>
      <c r="W82" s="197">
        <v>69</v>
      </c>
    </row>
    <row r="83" spans="1:23" s="25" customFormat="1" ht="15" customHeight="1" x14ac:dyDescent="0.25">
      <c r="A83" s="1">
        <v>9</v>
      </c>
      <c r="B83" s="199" t="str">
        <f>IF(Répartition!$B44="","",Répartition!$B44)</f>
        <v>FIAP</v>
      </c>
      <c r="C83" s="82" t="str">
        <f>IF(Répartition!$C44="","",Répartition!$C44)</f>
        <v>Ruban FIAP</v>
      </c>
      <c r="D83" s="81" t="str">
        <f>IF(Répartition!$D44="","",Répartition!$D44)</f>
        <v>Monochrome</v>
      </c>
      <c r="E83" s="149">
        <f>VLOOKUP(C83&amp;D83,code,2,0)</f>
        <v>80</v>
      </c>
      <c r="F83" s="199" t="str">
        <f>IF(Répartition!$B44="","",Répartition!$B44)</f>
        <v>FIAP</v>
      </c>
      <c r="G83" s="82" t="str">
        <f>IF(Répartition!$E44="","",Répartition!$E44)</f>
        <v>Ruban FIAP</v>
      </c>
      <c r="H83" s="81" t="str">
        <f>IF(Répartition!$F44="","",Répartition!$F44)</f>
        <v>Monochrome</v>
      </c>
      <c r="I83" s="149">
        <f>VLOOKUP(G83&amp;H83,code,2,0)</f>
        <v>80</v>
      </c>
      <c r="J83" s="199" t="str">
        <f>IF(Répartition!$B44="","",Répartition!$B44)</f>
        <v>FIAP</v>
      </c>
      <c r="K83" s="82" t="str">
        <f>IF(Répartition!$G44="","",Répartition!$G44)</f>
        <v>Ruban FIAP</v>
      </c>
      <c r="L83" s="81" t="str">
        <f>IF(Répartition!$H44="","",Répartition!$H44)</f>
        <v>Monochrome</v>
      </c>
      <c r="M83" s="149">
        <f>VLOOKUP(K83&amp;L83,code,2,0)</f>
        <v>80</v>
      </c>
      <c r="N83" s="199" t="str">
        <f>IF(Répartition!$B44="","",Répartition!$B44)</f>
        <v>FIAP</v>
      </c>
      <c r="O83" s="82" t="str">
        <f>IF(Répartition!$I44="","",Répartition!$I44)</f>
        <v>Ruban FIAP</v>
      </c>
      <c r="P83" s="81" t="str">
        <f>IF(Répartition!$J44="","",Répartition!$J44)</f>
        <v>Monochrome</v>
      </c>
      <c r="Q83" s="149">
        <f>VLOOKUP(O83&amp;P83,code,2,0)</f>
        <v>80</v>
      </c>
      <c r="S83" s="45" t="s">
        <v>8</v>
      </c>
      <c r="T83" s="137" t="s">
        <v>72</v>
      </c>
      <c r="U83" s="136" t="s">
        <v>29</v>
      </c>
      <c r="V83" s="43" t="str">
        <f t="shared" si="0"/>
        <v>Médaille de Bronze FPFThème</v>
      </c>
      <c r="W83" s="197">
        <v>70</v>
      </c>
    </row>
    <row r="84" spans="1:23" s="25" customFormat="1" ht="15" customHeight="1" x14ac:dyDescent="0.25">
      <c r="A84" s="1">
        <v>1</v>
      </c>
      <c r="B84" s="199" t="str">
        <f>IF(Répartition!$B49="","",Répartition!$B49)</f>
        <v>FIAP</v>
      </c>
      <c r="C84" s="82" t="str">
        <f>IF(Répartition!$C49="","",Répartition!$C49)</f>
        <v>Ruban FIAP</v>
      </c>
      <c r="D84" s="81" t="str">
        <f>IF(Répartition!$D49="","",Répartition!$D49)</f>
        <v>Monochrome</v>
      </c>
      <c r="E84" s="149">
        <f>VLOOKUP(C84&amp;D84,code,2,0)</f>
        <v>80</v>
      </c>
      <c r="F84" s="199" t="str">
        <f>IF(Répartition!$B49="","",Répartition!$B49)</f>
        <v>FIAP</v>
      </c>
      <c r="G84" s="82" t="str">
        <f>IF(Répartition!$E49="","",Répartition!$E49)</f>
        <v>Ruban FIAP</v>
      </c>
      <c r="H84" s="81" t="str">
        <f>IF(Répartition!$F49="","",Répartition!$F49)</f>
        <v>Monochrome</v>
      </c>
      <c r="I84" s="149">
        <f>VLOOKUP(G84&amp;H84,code,2,0)</f>
        <v>80</v>
      </c>
      <c r="J84" s="199" t="str">
        <f>IF(Répartition!$B49="","",Répartition!$B49)</f>
        <v>FIAP</v>
      </c>
      <c r="K84" s="82" t="str">
        <f>IF(Répartition!$G49="","",Répartition!$G49)</f>
        <v>Ruban FIAP</v>
      </c>
      <c r="L84" s="81" t="str">
        <f>IF(Répartition!$H49="","",Répartition!$H49)</f>
        <v>Monochrome</v>
      </c>
      <c r="M84" s="149">
        <f>VLOOKUP(K84&amp;L84,code,2,0)</f>
        <v>80</v>
      </c>
      <c r="N84" s="199" t="str">
        <f>IF(Répartition!$B49="","",Répartition!$B49)</f>
        <v>FIAP</v>
      </c>
      <c r="O84" s="82" t="str">
        <f>IF(Répartition!$I49="","",Répartition!$I49)</f>
        <v>Ruban FIAP</v>
      </c>
      <c r="P84" s="81" t="str">
        <f>IF(Répartition!$J49="","",Répartition!$J49)</f>
        <v>Monochrome</v>
      </c>
      <c r="Q84" s="149">
        <f>VLOOKUP(O84&amp;P84,code,2,0)</f>
        <v>80</v>
      </c>
      <c r="S84" s="45" t="s">
        <v>14</v>
      </c>
      <c r="T84" s="137" t="s">
        <v>80</v>
      </c>
      <c r="U84" s="136" t="s">
        <v>24</v>
      </c>
      <c r="V84" s="43" t="str">
        <f t="shared" si="0"/>
        <v>Médaille de Bronze FDTCouleur</v>
      </c>
      <c r="W84" s="197">
        <v>71</v>
      </c>
    </row>
    <row r="85" spans="1:23" s="25" customFormat="1" ht="15" customHeight="1" x14ac:dyDescent="0.25">
      <c r="A85" s="1">
        <v>2</v>
      </c>
      <c r="B85" s="199" t="str">
        <f>IF(Répartition!$B53="","",Répartition!$B53)</f>
        <v>FIAP</v>
      </c>
      <c r="C85" s="82" t="str">
        <f>IF(Répartition!$C53="","",Répartition!$C53)</f>
        <v>Ruban FIAP</v>
      </c>
      <c r="D85" s="81" t="str">
        <f>IF(Répartition!$D53="","",Répartition!$D53)</f>
        <v>Monochrome</v>
      </c>
      <c r="E85" s="149">
        <f>VLOOKUP(C85&amp;D85,code,2,0)</f>
        <v>80</v>
      </c>
      <c r="F85" s="199" t="str">
        <f>IF(Répartition!$B53="","",Répartition!$B53)</f>
        <v>FIAP</v>
      </c>
      <c r="G85" s="82" t="str">
        <f>IF(Répartition!$E53="","",Répartition!$E53)</f>
        <v>Ruban FIAP</v>
      </c>
      <c r="H85" s="81" t="str">
        <f>IF(Répartition!$F53="","",Répartition!$F53)</f>
        <v>Monochrome</v>
      </c>
      <c r="I85" s="149">
        <f>VLOOKUP(G85&amp;H85,code,2,0)</f>
        <v>80</v>
      </c>
      <c r="J85" s="199" t="str">
        <f>IF(Répartition!$B53="","",Répartition!$B53)</f>
        <v>FIAP</v>
      </c>
      <c r="K85" s="82" t="str">
        <f>IF(Répartition!$G53="","",Répartition!$G53)</f>
        <v>Ruban FIAP</v>
      </c>
      <c r="L85" s="81" t="str">
        <f>IF(Répartition!$H53="","",Répartition!$H53)</f>
        <v>Monochrome</v>
      </c>
      <c r="M85" s="149">
        <f>VLOOKUP(K85&amp;L85,code,2,0)</f>
        <v>80</v>
      </c>
      <c r="N85" s="199" t="str">
        <f>IF(Répartition!$B53="","",Répartition!$B53)</f>
        <v>FIAP</v>
      </c>
      <c r="O85" s="82" t="str">
        <f>IF(Répartition!$I53="","",Répartition!$I53)</f>
        <v>Ruban FIAP</v>
      </c>
      <c r="P85" s="81" t="str">
        <f>IF(Répartition!$J53="","",Répartition!$J53)</f>
        <v>Monochrome</v>
      </c>
      <c r="Q85" s="149">
        <f>VLOOKUP(O85&amp;P85,code,2,0)</f>
        <v>80</v>
      </c>
      <c r="S85" s="45" t="s">
        <v>14</v>
      </c>
      <c r="T85" s="137" t="s">
        <v>80</v>
      </c>
      <c r="U85" s="136" t="s">
        <v>27</v>
      </c>
      <c r="V85" s="43" t="str">
        <f t="shared" si="0"/>
        <v>Médaille de Bronze FDTNature</v>
      </c>
      <c r="W85" s="197">
        <v>72</v>
      </c>
    </row>
    <row r="86" spans="1:23" s="25" customFormat="1" ht="15" customHeight="1" x14ac:dyDescent="0.25">
      <c r="A86" s="1">
        <v>3</v>
      </c>
      <c r="B86" s="199" t="str">
        <f>IF(Répartition!$B33="","",Répartition!$B33)</f>
        <v>FIAP</v>
      </c>
      <c r="C86" s="82" t="str">
        <f>IF(Répartition!$C33="","",Répartition!$C33)</f>
        <v>Ruban FIAP</v>
      </c>
      <c r="D86" s="81" t="str">
        <f>IF(Répartition!$D33="","",Répartition!$D33)</f>
        <v>Thème</v>
      </c>
      <c r="E86" s="149">
        <f>VLOOKUP(C86&amp;D86,code,2,0)</f>
        <v>81</v>
      </c>
      <c r="F86" s="199" t="str">
        <f>IF(Répartition!$B33="","",Répartition!$B33)</f>
        <v>FIAP</v>
      </c>
      <c r="G86" s="82" t="str">
        <f>IF(Répartition!$E33="","",Répartition!$E33)</f>
        <v>Ruban FIAP</v>
      </c>
      <c r="H86" s="81" t="str">
        <f>IF(Répartition!$F33="","",Répartition!$F33)</f>
        <v>Thème</v>
      </c>
      <c r="I86" s="149">
        <f>VLOOKUP(G86&amp;H86,code,2,0)</f>
        <v>81</v>
      </c>
      <c r="J86" s="199" t="str">
        <f>IF(Répartition!$B33="","",Répartition!$B33)</f>
        <v>FIAP</v>
      </c>
      <c r="K86" s="82" t="str">
        <f>IF(Répartition!$G33="","",Répartition!$G33)</f>
        <v>Ruban FIAP</v>
      </c>
      <c r="L86" s="81" t="str">
        <f>IF(Répartition!$H33="","",Répartition!$H33)</f>
        <v>Thème</v>
      </c>
      <c r="M86" s="149">
        <f>VLOOKUP(K86&amp;L86,code,2,0)</f>
        <v>81</v>
      </c>
      <c r="N86" s="199" t="str">
        <f>IF(Répartition!$B33="","",Répartition!$B33)</f>
        <v>FIAP</v>
      </c>
      <c r="O86" s="82" t="str">
        <f>IF(Répartition!$I33="","",Répartition!$I33)</f>
        <v>Ruban FIAP</v>
      </c>
      <c r="P86" s="81" t="str">
        <f>IF(Répartition!$J33="","",Répartition!$J33)</f>
        <v>Thème</v>
      </c>
      <c r="Q86" s="149">
        <f>VLOOKUP(O86&amp;P86,code,2,0)</f>
        <v>81</v>
      </c>
      <c r="S86" s="45" t="s">
        <v>14</v>
      </c>
      <c r="T86" s="137" t="s">
        <v>80</v>
      </c>
      <c r="U86" s="136" t="s">
        <v>28</v>
      </c>
      <c r="V86" s="43" t="str">
        <f t="shared" si="0"/>
        <v>Médaille de Bronze FDTMonochrome</v>
      </c>
      <c r="W86" s="197">
        <v>73</v>
      </c>
    </row>
    <row r="87" spans="1:23" s="25" customFormat="1" ht="15" customHeight="1" x14ac:dyDescent="0.25">
      <c r="A87" s="1">
        <v>4</v>
      </c>
      <c r="B87" s="199" t="str">
        <f>IF(Répartition!$B37="","",Répartition!$B37)</f>
        <v>FIAP</v>
      </c>
      <c r="C87" s="82" t="str">
        <f>IF(Répartition!$C37="","",Répartition!$C37)</f>
        <v>Ruban FIAP</v>
      </c>
      <c r="D87" s="81" t="str">
        <f>IF(Répartition!$D37="","",Répartition!$D37)</f>
        <v>Thème</v>
      </c>
      <c r="E87" s="149">
        <f>VLOOKUP(C87&amp;D87,code,2,0)</f>
        <v>81</v>
      </c>
      <c r="F87" s="199" t="str">
        <f>IF(Répartition!$B37="","",Répartition!$B37)</f>
        <v>FIAP</v>
      </c>
      <c r="G87" s="82" t="str">
        <f>IF(Répartition!$E37="","",Répartition!$E37)</f>
        <v>Ruban FIAP</v>
      </c>
      <c r="H87" s="81" t="str">
        <f>IF(Répartition!$F37="","",Répartition!$F37)</f>
        <v>Thème</v>
      </c>
      <c r="I87" s="149">
        <f>VLOOKUP(G87&amp;H87,code,2,0)</f>
        <v>81</v>
      </c>
      <c r="J87" s="199" t="str">
        <f>IF(Répartition!$B37="","",Répartition!$B37)</f>
        <v>FIAP</v>
      </c>
      <c r="K87" s="82" t="str">
        <f>IF(Répartition!$G37="","",Répartition!$G37)</f>
        <v>Ruban FIAP</v>
      </c>
      <c r="L87" s="81" t="str">
        <f>IF(Répartition!$H37="","",Répartition!$H37)</f>
        <v>Thème</v>
      </c>
      <c r="M87" s="149">
        <f>VLOOKUP(K87&amp;L87,code,2,0)</f>
        <v>81</v>
      </c>
      <c r="N87" s="199" t="str">
        <f>IF(Répartition!$B37="","",Répartition!$B37)</f>
        <v>FIAP</v>
      </c>
      <c r="O87" s="82" t="str">
        <f>IF(Répartition!$I37="","",Répartition!$I37)</f>
        <v>Ruban FIAP</v>
      </c>
      <c r="P87" s="81" t="str">
        <f>IF(Répartition!$J37="","",Répartition!$J37)</f>
        <v>Thème</v>
      </c>
      <c r="Q87" s="149">
        <f>VLOOKUP(O87&amp;P87,code,2,0)</f>
        <v>81</v>
      </c>
      <c r="S87" s="45" t="s">
        <v>14</v>
      </c>
      <c r="T87" s="137" t="s">
        <v>80</v>
      </c>
      <c r="U87" s="136" t="s">
        <v>29</v>
      </c>
      <c r="V87" s="43" t="str">
        <f t="shared" si="0"/>
        <v>Médaille de Bronze FDTThème</v>
      </c>
      <c r="W87" s="197">
        <v>74</v>
      </c>
    </row>
    <row r="88" spans="1:23" s="25" customFormat="1" ht="15" customHeight="1" x14ac:dyDescent="0.25">
      <c r="A88" s="1">
        <v>5</v>
      </c>
      <c r="B88" s="199" t="str">
        <f>IF(Répartition!$B41="","",Répartition!$B41)</f>
        <v>FIAP</v>
      </c>
      <c r="C88" s="82" t="str">
        <f>IF(Répartition!$C41="","",Répartition!$C41)</f>
        <v>Ruban FIAP</v>
      </c>
      <c r="D88" s="81" t="str">
        <f>IF(Répartition!$D41="","",Répartition!$D41)</f>
        <v>Thème</v>
      </c>
      <c r="E88" s="149">
        <f>VLOOKUP(C88&amp;D88,code,2,0)</f>
        <v>81</v>
      </c>
      <c r="F88" s="199" t="str">
        <f>IF(Répartition!$B41="","",Répartition!$B41)</f>
        <v>FIAP</v>
      </c>
      <c r="G88" s="82" t="str">
        <f>IF(Répartition!$E41="","",Répartition!$E41)</f>
        <v>Ruban FIAP</v>
      </c>
      <c r="H88" s="81" t="str">
        <f>IF(Répartition!$F41="","",Répartition!$F41)</f>
        <v>Thème</v>
      </c>
      <c r="I88" s="149">
        <f>VLOOKUP(G88&amp;H88,code,2,0)</f>
        <v>81</v>
      </c>
      <c r="J88" s="199" t="str">
        <f>IF(Répartition!$B41="","",Répartition!$B41)</f>
        <v>FIAP</v>
      </c>
      <c r="K88" s="82" t="str">
        <f>IF(Répartition!$G41="","",Répartition!$G41)</f>
        <v>Ruban FIAP</v>
      </c>
      <c r="L88" s="81" t="str">
        <f>IF(Répartition!$H41="","",Répartition!$H41)</f>
        <v>Thème</v>
      </c>
      <c r="M88" s="149">
        <f>VLOOKUP(K88&amp;L88,code,2,0)</f>
        <v>81</v>
      </c>
      <c r="N88" s="199" t="str">
        <f>IF(Répartition!$B41="","",Répartition!$B41)</f>
        <v>FIAP</v>
      </c>
      <c r="O88" s="82" t="str">
        <f>IF(Répartition!$I41="","",Répartition!$I41)</f>
        <v>Ruban FIAP</v>
      </c>
      <c r="P88" s="81" t="str">
        <f>IF(Répartition!$J41="","",Répartition!$J41)</f>
        <v>Thème</v>
      </c>
      <c r="Q88" s="149">
        <f>VLOOKUP(O88&amp;P88,code,2,0)</f>
        <v>81</v>
      </c>
      <c r="S88" s="45" t="s">
        <v>10</v>
      </c>
      <c r="T88" s="137" t="s">
        <v>57</v>
      </c>
      <c r="U88" s="136" t="s">
        <v>53</v>
      </c>
      <c r="V88" s="43" t="str">
        <f t="shared" si="0"/>
        <v>Ruban FIAP coup de Cœur juge N°1*-*-*-*</v>
      </c>
      <c r="W88" s="197">
        <v>75</v>
      </c>
    </row>
    <row r="89" spans="1:23" s="25" customFormat="1" ht="15" customHeight="1" x14ac:dyDescent="0.25">
      <c r="A89" s="1">
        <v>6</v>
      </c>
      <c r="B89" s="199" t="str">
        <f>IF(Répartition!$B45="","",Répartition!$B45)</f>
        <v>FIAP</v>
      </c>
      <c r="C89" s="82" t="str">
        <f>IF(Répartition!$C45="","",Répartition!$C45)</f>
        <v>Ruban FIAP</v>
      </c>
      <c r="D89" s="81" t="str">
        <f>IF(Répartition!$D45="","",Répartition!$D45)</f>
        <v>Thème</v>
      </c>
      <c r="E89" s="149">
        <f>VLOOKUP(C89&amp;D89,code,2,0)</f>
        <v>81</v>
      </c>
      <c r="F89" s="199" t="str">
        <f>IF(Répartition!$B45="","",Répartition!$B45)</f>
        <v>FIAP</v>
      </c>
      <c r="G89" s="82" t="str">
        <f>IF(Répartition!$E45="","",Répartition!$E45)</f>
        <v>Ruban FIAP</v>
      </c>
      <c r="H89" s="81" t="str">
        <f>IF(Répartition!$F45="","",Répartition!$F45)</f>
        <v>Thème</v>
      </c>
      <c r="I89" s="149">
        <f>VLOOKUP(G89&amp;H89,code,2,0)</f>
        <v>81</v>
      </c>
      <c r="J89" s="199" t="str">
        <f>IF(Répartition!$B45="","",Répartition!$B45)</f>
        <v>FIAP</v>
      </c>
      <c r="K89" s="82" t="str">
        <f>IF(Répartition!$G45="","",Répartition!$G45)</f>
        <v>Ruban FIAP</v>
      </c>
      <c r="L89" s="81" t="str">
        <f>IF(Répartition!$H45="","",Répartition!$H45)</f>
        <v>Thème</v>
      </c>
      <c r="M89" s="149">
        <f>VLOOKUP(K89&amp;L89,code,2,0)</f>
        <v>81</v>
      </c>
      <c r="N89" s="199" t="str">
        <f>IF(Répartition!$B45="","",Répartition!$B45)</f>
        <v>FIAP</v>
      </c>
      <c r="O89" s="82" t="str">
        <f>IF(Répartition!$I45="","",Répartition!$I45)</f>
        <v>Ruban FIAP</v>
      </c>
      <c r="P89" s="81" t="str">
        <f>IF(Répartition!$J45="","",Répartition!$J45)</f>
        <v>Thème</v>
      </c>
      <c r="Q89" s="149">
        <f>VLOOKUP(O89&amp;P89,code,2,0)</f>
        <v>81</v>
      </c>
      <c r="S89" s="45" t="s">
        <v>10</v>
      </c>
      <c r="T89" s="137" t="s">
        <v>58</v>
      </c>
      <c r="U89" s="136" t="s">
        <v>53</v>
      </c>
      <c r="V89" s="43" t="str">
        <f t="shared" si="0"/>
        <v>Ruban FIAP coup de Cœur juge N°2*-*-*-*</v>
      </c>
      <c r="W89" s="197">
        <v>76</v>
      </c>
    </row>
    <row r="90" spans="1:23" s="25" customFormat="1" ht="15" customHeight="1" x14ac:dyDescent="0.25">
      <c r="A90" s="1">
        <v>7</v>
      </c>
      <c r="B90" s="199" t="str">
        <f>IF(Répartition!$B50="","",Répartition!$B50)</f>
        <v>FIAP</v>
      </c>
      <c r="C90" s="82" t="str">
        <f>IF(Répartition!$C50="","",Répartition!$C50)</f>
        <v>Ruban FIAP</v>
      </c>
      <c r="D90" s="81" t="str">
        <f>IF(Répartition!$D50="","",Répartition!$D50)</f>
        <v>Thème</v>
      </c>
      <c r="E90" s="149">
        <f>VLOOKUP(C90&amp;D90,code,2,0)</f>
        <v>81</v>
      </c>
      <c r="F90" s="199" t="str">
        <f>IF(Répartition!$B50="","",Répartition!$B50)</f>
        <v>FIAP</v>
      </c>
      <c r="G90" s="82" t="str">
        <f>IF(Répartition!$E50="","",Répartition!$E50)</f>
        <v>Ruban FIAP</v>
      </c>
      <c r="H90" s="81" t="str">
        <f>IF(Répartition!$F50="","",Répartition!$F50)</f>
        <v>Thème</v>
      </c>
      <c r="I90" s="149">
        <f>VLOOKUP(G90&amp;H90,code,2,0)</f>
        <v>81</v>
      </c>
      <c r="J90" s="199" t="str">
        <f>IF(Répartition!$B50="","",Répartition!$B50)</f>
        <v>FIAP</v>
      </c>
      <c r="K90" s="82" t="str">
        <f>IF(Répartition!$G50="","",Répartition!$G50)</f>
        <v>Ruban FIAP</v>
      </c>
      <c r="L90" s="81" t="str">
        <f>IF(Répartition!$H50="","",Répartition!$H50)</f>
        <v>Thème</v>
      </c>
      <c r="M90" s="149">
        <f>VLOOKUP(K90&amp;L90,code,2,0)</f>
        <v>81</v>
      </c>
      <c r="N90" s="199" t="str">
        <f>IF(Répartition!$B50="","",Répartition!$B50)</f>
        <v>FIAP</v>
      </c>
      <c r="O90" s="82" t="str">
        <f>IF(Répartition!$I50="","",Répartition!$I50)</f>
        <v>Ruban FIAP</v>
      </c>
      <c r="P90" s="81" t="str">
        <f>IF(Répartition!$J50="","",Répartition!$J50)</f>
        <v>Thème</v>
      </c>
      <c r="Q90" s="149">
        <f>VLOOKUP(O90&amp;P90,code,2,0)</f>
        <v>81</v>
      </c>
      <c r="S90" s="45" t="s">
        <v>10</v>
      </c>
      <c r="T90" s="137" t="s">
        <v>59</v>
      </c>
      <c r="U90" s="136" t="s">
        <v>53</v>
      </c>
      <c r="V90" s="43" t="str">
        <f t="shared" si="0"/>
        <v>Ruban FIAP coup de Cœur juge N°3*-*-*-*</v>
      </c>
      <c r="W90" s="197">
        <v>77</v>
      </c>
    </row>
    <row r="91" spans="1:23" s="25" customFormat="1" ht="15" customHeight="1" x14ac:dyDescent="0.25">
      <c r="A91" s="1">
        <v>8</v>
      </c>
      <c r="B91" s="199" t="str">
        <f>IF(Répartition!$B54="","",Répartition!$B54)</f>
        <v>FIAP</v>
      </c>
      <c r="C91" s="82" t="str">
        <f>IF(Répartition!$C54="","",Répartition!$C54)</f>
        <v>Ruban FIAP</v>
      </c>
      <c r="D91" s="81" t="str">
        <f>IF(Répartition!$D54="","",Répartition!$D54)</f>
        <v>Thème</v>
      </c>
      <c r="E91" s="149">
        <f>VLOOKUP(C91&amp;D91,code,2,0)</f>
        <v>81</v>
      </c>
      <c r="F91" s="199" t="str">
        <f>IF(Répartition!$B54="","",Répartition!$B54)</f>
        <v>FIAP</v>
      </c>
      <c r="G91" s="82" t="str">
        <f>IF(Répartition!$E54="","",Répartition!$E54)</f>
        <v>Ruban FIAP</v>
      </c>
      <c r="H91" s="81" t="str">
        <f>IF(Répartition!$F54="","",Répartition!$F54)</f>
        <v>Thème</v>
      </c>
      <c r="I91" s="149">
        <f>VLOOKUP(G91&amp;H91,code,2,0)</f>
        <v>81</v>
      </c>
      <c r="J91" s="199" t="str">
        <f>IF(Répartition!$B54="","",Répartition!$B54)</f>
        <v>FIAP</v>
      </c>
      <c r="K91" s="82" t="str">
        <f>IF(Répartition!$G54="","",Répartition!$G54)</f>
        <v>Ruban FIAP</v>
      </c>
      <c r="L91" s="81" t="str">
        <f>IF(Répartition!$H54="","",Répartition!$H54)</f>
        <v>Thème</v>
      </c>
      <c r="M91" s="149">
        <f>VLOOKUP(K91&amp;L91,code,2,0)</f>
        <v>81</v>
      </c>
      <c r="N91" s="199" t="str">
        <f>IF(Répartition!$B54="","",Répartition!$B54)</f>
        <v>FIAP</v>
      </c>
      <c r="O91" s="82" t="str">
        <f>IF(Répartition!$I54="","",Répartition!$I54)</f>
        <v>Ruban FIAP</v>
      </c>
      <c r="P91" s="81" t="str">
        <f>IF(Répartition!$J54="","",Répartition!$J54)</f>
        <v>Thème</v>
      </c>
      <c r="Q91" s="149">
        <f>VLOOKUP(O91&amp;P91,code,2,0)</f>
        <v>81</v>
      </c>
      <c r="S91" s="45" t="s">
        <v>10</v>
      </c>
      <c r="T91" s="137" t="s">
        <v>60</v>
      </c>
      <c r="U91" s="136" t="s">
        <v>24</v>
      </c>
      <c r="V91" s="43" t="str">
        <f t="shared" si="0"/>
        <v>Ruban FIAPCouleur</v>
      </c>
      <c r="W91" s="197">
        <v>78</v>
      </c>
    </row>
    <row r="92" spans="1:23" s="25" customFormat="1" ht="15" customHeight="1" x14ac:dyDescent="0.25">
      <c r="A92" s="1">
        <v>9</v>
      </c>
      <c r="B92" s="199" t="str">
        <f>IF(Répartition!$B67="","",Répartition!$B67)</f>
        <v>PSA</v>
      </c>
      <c r="C92" s="82" t="str">
        <f>IF(Répartition!$C67="","",Répartition!$C67)</f>
        <v>Ruban PSA</v>
      </c>
      <c r="D92" s="81" t="str">
        <f>IF(Répartition!$D67="","",Répartition!$D67)</f>
        <v>Couleur</v>
      </c>
      <c r="E92" s="149">
        <f>VLOOKUP(C92&amp;D92,code,2,0)</f>
        <v>83</v>
      </c>
      <c r="F92" s="199" t="str">
        <f>IF(Répartition!$B67="","",Répartition!$B67)</f>
        <v>PSA</v>
      </c>
      <c r="G92" s="82" t="str">
        <f>IF(Répartition!$E67="","",Répartition!$E67)</f>
        <v>Ruban PSA</v>
      </c>
      <c r="H92" s="81" t="str">
        <f>IF(Répartition!$F67="","",Répartition!$F67)</f>
        <v>Couleur</v>
      </c>
      <c r="I92" s="149">
        <f>VLOOKUP(G92&amp;H92,code,2,0)</f>
        <v>83</v>
      </c>
      <c r="J92" s="199" t="str">
        <f>IF(Répartition!$B67="","",Répartition!$B67)</f>
        <v>PSA</v>
      </c>
      <c r="K92" s="82" t="str">
        <f>IF(Répartition!$G67="","",Répartition!$G67)</f>
        <v>Ruban PSA</v>
      </c>
      <c r="L92" s="81" t="str">
        <f>IF(Répartition!$H67="","",Répartition!$H67)</f>
        <v>Couleur</v>
      </c>
      <c r="M92" s="149">
        <f>VLOOKUP(K92&amp;L92,code,2,0)</f>
        <v>83</v>
      </c>
      <c r="N92" s="199" t="str">
        <f>IF(Répartition!$B67="","",Répartition!$B67)</f>
        <v>PSA</v>
      </c>
      <c r="O92" s="82" t="str">
        <f>IF(Répartition!$I67="","",Répartition!$I67)</f>
        <v>Ruban PSA</v>
      </c>
      <c r="P92" s="81" t="str">
        <f>IF(Répartition!$J67="","",Répartition!$J67)</f>
        <v>Couleur</v>
      </c>
      <c r="Q92" s="149">
        <f>VLOOKUP(O92&amp;P92,code,2,0)</f>
        <v>83</v>
      </c>
      <c r="S92" s="45" t="s">
        <v>10</v>
      </c>
      <c r="T92" s="137" t="s">
        <v>60</v>
      </c>
      <c r="U92" s="136" t="s">
        <v>27</v>
      </c>
      <c r="V92" s="43" t="str">
        <f t="shared" si="0"/>
        <v>Ruban FIAPNature</v>
      </c>
      <c r="W92" s="197">
        <v>79</v>
      </c>
    </row>
    <row r="93" spans="1:23" s="25" customFormat="1" ht="15" customHeight="1" x14ac:dyDescent="0.25">
      <c r="A93" s="1">
        <v>10</v>
      </c>
      <c r="B93" s="199" t="str">
        <f>IF(Répartition!$B71="","",Répartition!$B71)</f>
        <v>PSA</v>
      </c>
      <c r="C93" s="82" t="str">
        <f>IF(Répartition!$C71="","",Répartition!$C71)</f>
        <v>Ruban PSA</v>
      </c>
      <c r="D93" s="81" t="str">
        <f>IF(Répartition!$D71="","",Répartition!$D71)</f>
        <v>Couleur</v>
      </c>
      <c r="E93" s="149">
        <f>VLOOKUP(C93&amp;D93,code,2,0)</f>
        <v>83</v>
      </c>
      <c r="F93" s="199" t="str">
        <f>IF(Répartition!$B71="","",Répartition!$B71)</f>
        <v>PSA</v>
      </c>
      <c r="G93" s="82" t="str">
        <f>IF(Répartition!$E71="","",Répartition!$E71)</f>
        <v>Ruban PSA</v>
      </c>
      <c r="H93" s="81" t="str">
        <f>IF(Répartition!$F71="","",Répartition!$F71)</f>
        <v>Couleur</v>
      </c>
      <c r="I93" s="149">
        <f>VLOOKUP(G93&amp;H93,code,2,0)</f>
        <v>83</v>
      </c>
      <c r="J93" s="199" t="str">
        <f>IF(Répartition!$B71="","",Répartition!$B71)</f>
        <v>PSA</v>
      </c>
      <c r="K93" s="82" t="str">
        <f>IF(Répartition!$G71="","",Répartition!$G71)</f>
        <v>Ruban PSA</v>
      </c>
      <c r="L93" s="81" t="str">
        <f>IF(Répartition!$H71="","",Répartition!$H71)</f>
        <v>Couleur</v>
      </c>
      <c r="M93" s="149">
        <f>VLOOKUP(K93&amp;L93,code,2,0)</f>
        <v>83</v>
      </c>
      <c r="N93" s="199" t="str">
        <f>IF(Répartition!$B71="","",Répartition!$B71)</f>
        <v>PSA</v>
      </c>
      <c r="O93" s="82" t="str">
        <f>IF(Répartition!$I71="","",Répartition!$I71)</f>
        <v>Ruban PSA</v>
      </c>
      <c r="P93" s="81" t="str">
        <f>IF(Répartition!$J71="","",Répartition!$J71)</f>
        <v>Couleur</v>
      </c>
      <c r="Q93" s="149">
        <f>VLOOKUP(O93&amp;P93,code,2,0)</f>
        <v>83</v>
      </c>
      <c r="S93" s="45" t="s">
        <v>10</v>
      </c>
      <c r="T93" s="137" t="s">
        <v>60</v>
      </c>
      <c r="U93" s="136" t="s">
        <v>28</v>
      </c>
      <c r="V93" s="43" t="str">
        <f t="shared" si="0"/>
        <v>Ruban FIAPMonochrome</v>
      </c>
      <c r="W93" s="197">
        <v>80</v>
      </c>
    </row>
    <row r="94" spans="1:23" s="25" customFormat="1" ht="15" customHeight="1" x14ac:dyDescent="0.25">
      <c r="A94" s="1">
        <v>11</v>
      </c>
      <c r="B94" s="199" t="str">
        <f>IF(Répartition!$B68="","",Répartition!$B68)</f>
        <v>PSA</v>
      </c>
      <c r="C94" s="82" t="str">
        <f>IF(Répartition!$C68="","",Répartition!$C68)</f>
        <v>Ruban PSA</v>
      </c>
      <c r="D94" s="81" t="str">
        <f>IF(Répartition!$D68="","",Répartition!$D68)</f>
        <v>Nature</v>
      </c>
      <c r="E94" s="149">
        <f>VLOOKUP(C94&amp;D94,code,2,0)</f>
        <v>84</v>
      </c>
      <c r="F94" s="199" t="str">
        <f>IF(Répartition!$B68="","",Répartition!$B68)</f>
        <v>PSA</v>
      </c>
      <c r="G94" s="82" t="str">
        <f>IF(Répartition!$E68="","",Répartition!$E68)</f>
        <v>Ruban PSA</v>
      </c>
      <c r="H94" s="81" t="str">
        <f>IF(Répartition!$F68="","",Répartition!$F68)</f>
        <v>Nature</v>
      </c>
      <c r="I94" s="149">
        <f>VLOOKUP(G94&amp;H94,code,2,0)</f>
        <v>84</v>
      </c>
      <c r="J94" s="199" t="str">
        <f>IF(Répartition!$B68="","",Répartition!$B68)</f>
        <v>PSA</v>
      </c>
      <c r="K94" s="82" t="str">
        <f>IF(Répartition!$G68="","",Répartition!$G68)</f>
        <v>Ruban PSA</v>
      </c>
      <c r="L94" s="81" t="str">
        <f>IF(Répartition!$H68="","",Répartition!$H68)</f>
        <v>Nature</v>
      </c>
      <c r="M94" s="149">
        <f>VLOOKUP(K94&amp;L94,code,2,0)</f>
        <v>84</v>
      </c>
      <c r="N94" s="199" t="str">
        <f>IF(Répartition!$B68="","",Répartition!$B68)</f>
        <v>PSA</v>
      </c>
      <c r="O94" s="82" t="str">
        <f>IF(Répartition!$I68="","",Répartition!$I68)</f>
        <v>Ruban PSA</v>
      </c>
      <c r="P94" s="81" t="str">
        <f>IF(Répartition!$J68="","",Répartition!$J68)</f>
        <v>Nature</v>
      </c>
      <c r="Q94" s="149">
        <f>VLOOKUP(O94&amp;P94,code,2,0)</f>
        <v>84</v>
      </c>
      <c r="S94" s="45" t="s">
        <v>10</v>
      </c>
      <c r="T94" s="137" t="s">
        <v>60</v>
      </c>
      <c r="U94" s="136" t="s">
        <v>29</v>
      </c>
      <c r="V94" s="43" t="str">
        <f t="shared" si="0"/>
        <v>Ruban FIAPThème</v>
      </c>
      <c r="W94" s="197">
        <v>81</v>
      </c>
    </row>
    <row r="95" spans="1:23" s="25" customFormat="1" ht="15" customHeight="1" x14ac:dyDescent="0.25">
      <c r="A95" s="1">
        <v>12</v>
      </c>
      <c r="B95" s="199" t="str">
        <f>IF(Répartition!$B72="","",Répartition!$B72)</f>
        <v>PSA</v>
      </c>
      <c r="C95" s="82" t="str">
        <f>IF(Répartition!$C72="","",Répartition!$C72)</f>
        <v>Ruban PSA</v>
      </c>
      <c r="D95" s="81" t="str">
        <f>IF(Répartition!$D72="","",Répartition!$D72)</f>
        <v>Nature</v>
      </c>
      <c r="E95" s="149">
        <f>VLOOKUP(C95&amp;D95,code,2,0)</f>
        <v>84</v>
      </c>
      <c r="F95" s="199" t="str">
        <f>IF(Répartition!$B72="","",Répartition!$B72)</f>
        <v>PSA</v>
      </c>
      <c r="G95" s="82" t="str">
        <f>IF(Répartition!$E72="","",Répartition!$E72)</f>
        <v>Ruban PSA</v>
      </c>
      <c r="H95" s="81" t="str">
        <f>IF(Répartition!$F72="","",Répartition!$F72)</f>
        <v>Nature</v>
      </c>
      <c r="I95" s="149">
        <f>VLOOKUP(G95&amp;H95,code,2,0)</f>
        <v>84</v>
      </c>
      <c r="J95" s="199" t="str">
        <f>IF(Répartition!$B72="","",Répartition!$B72)</f>
        <v>PSA</v>
      </c>
      <c r="K95" s="82" t="str">
        <f>IF(Répartition!$G72="","",Répartition!$G72)</f>
        <v>Ruban PSA</v>
      </c>
      <c r="L95" s="81" t="str">
        <f>IF(Répartition!$H72="","",Répartition!$H72)</f>
        <v>Nature</v>
      </c>
      <c r="M95" s="149">
        <f>VLOOKUP(K95&amp;L95,code,2,0)</f>
        <v>84</v>
      </c>
      <c r="N95" s="199" t="str">
        <f>IF(Répartition!$B72="","",Répartition!$B72)</f>
        <v>PSA</v>
      </c>
      <c r="O95" s="82" t="str">
        <f>IF(Répartition!$I72="","",Répartition!$I72)</f>
        <v>Ruban PSA</v>
      </c>
      <c r="P95" s="81" t="str">
        <f>IF(Répartition!$J72="","",Répartition!$J72)</f>
        <v>Nature</v>
      </c>
      <c r="Q95" s="149">
        <f>VLOOKUP(O95&amp;P95,code,2,0)</f>
        <v>84</v>
      </c>
      <c r="S95" s="45" t="s">
        <v>10</v>
      </c>
      <c r="T95" s="137" t="s">
        <v>60</v>
      </c>
      <c r="U95" s="136" t="s">
        <v>24</v>
      </c>
      <c r="V95" s="43" t="str">
        <f t="shared" si="0"/>
        <v>Ruban FIAPCouleur</v>
      </c>
      <c r="W95" s="197">
        <v>82</v>
      </c>
    </row>
    <row r="96" spans="1:23" s="25" customFormat="1" ht="15" customHeight="1" x14ac:dyDescent="0.25">
      <c r="A96" s="1">
        <v>13</v>
      </c>
      <c r="B96" s="199" t="str">
        <f>IF(Répartition!$B69="","",Répartition!$B69)</f>
        <v>PSA</v>
      </c>
      <c r="C96" s="82" t="str">
        <f>IF(Répartition!$C69="","",Répartition!$C69)</f>
        <v>Ruban PSA</v>
      </c>
      <c r="D96" s="81" t="str">
        <f>IF(Répartition!$D69="","",Répartition!$D69)</f>
        <v>Monochrome</v>
      </c>
      <c r="E96" s="149">
        <f>VLOOKUP(C96&amp;D96,code,2,0)</f>
        <v>85</v>
      </c>
      <c r="F96" s="199" t="str">
        <f>IF(Répartition!$B69="","",Répartition!$B69)</f>
        <v>PSA</v>
      </c>
      <c r="G96" s="82" t="str">
        <f>IF(Répartition!$E69="","",Répartition!$E69)</f>
        <v>Ruban PSA</v>
      </c>
      <c r="H96" s="81" t="str">
        <f>IF(Répartition!$F69="","",Répartition!$F69)</f>
        <v>Monochrome</v>
      </c>
      <c r="I96" s="149">
        <f>VLOOKUP(G96&amp;H96,code,2,0)</f>
        <v>85</v>
      </c>
      <c r="J96" s="199" t="str">
        <f>IF(Répartition!$B69="","",Répartition!$B69)</f>
        <v>PSA</v>
      </c>
      <c r="K96" s="82" t="str">
        <f>IF(Répartition!$G69="","",Répartition!$G69)</f>
        <v>Ruban PSA</v>
      </c>
      <c r="L96" s="81" t="str">
        <f>IF(Répartition!$H69="","",Répartition!$H69)</f>
        <v>Monochrome</v>
      </c>
      <c r="M96" s="149">
        <f>VLOOKUP(K96&amp;L96,code,2,0)</f>
        <v>85</v>
      </c>
      <c r="N96" s="199" t="str">
        <f>IF(Répartition!$B69="","",Répartition!$B69)</f>
        <v>PSA</v>
      </c>
      <c r="O96" s="82" t="str">
        <f>IF(Répartition!$I69="","",Répartition!$I69)</f>
        <v>Ruban PSA</v>
      </c>
      <c r="P96" s="81" t="str">
        <f>IF(Répartition!$J69="","",Répartition!$J69)</f>
        <v>Monochrome</v>
      </c>
      <c r="Q96" s="149">
        <f>VLOOKUP(O96&amp;P96,code,2,0)</f>
        <v>85</v>
      </c>
      <c r="S96" s="45" t="s">
        <v>11</v>
      </c>
      <c r="T96" s="137" t="s">
        <v>64</v>
      </c>
      <c r="U96" s="136" t="s">
        <v>24</v>
      </c>
      <c r="V96" s="43" t="str">
        <f t="shared" ref="V96:V115" si="1">T96&amp;U96</f>
        <v>Ruban PSACouleur</v>
      </c>
      <c r="W96" s="197">
        <v>83</v>
      </c>
    </row>
    <row r="97" spans="1:24" s="25" customFormat="1" ht="15" customHeight="1" x14ac:dyDescent="0.25">
      <c r="A97" s="1">
        <v>14</v>
      </c>
      <c r="B97" s="199" t="str">
        <f>IF(Répartition!$B73="","",Répartition!$B73)</f>
        <v>PSA</v>
      </c>
      <c r="C97" s="82" t="str">
        <f>IF(Répartition!$C73="","",Répartition!$C73)</f>
        <v>Ruban PSA</v>
      </c>
      <c r="D97" s="81" t="str">
        <f>IF(Répartition!$D73="","",Répartition!$D73)</f>
        <v>Monochrome</v>
      </c>
      <c r="E97" s="149">
        <f>VLOOKUP(C97&amp;D97,code,2,0)</f>
        <v>85</v>
      </c>
      <c r="F97" s="199" t="str">
        <f>IF(Répartition!$B73="","",Répartition!$B73)</f>
        <v>PSA</v>
      </c>
      <c r="G97" s="82" t="str">
        <f>IF(Répartition!$E73="","",Répartition!$E73)</f>
        <v>Ruban PSA</v>
      </c>
      <c r="H97" s="81" t="str">
        <f>IF(Répartition!$F73="","",Répartition!$F73)</f>
        <v>Monochrome</v>
      </c>
      <c r="I97" s="149">
        <f>VLOOKUP(G97&amp;H97,code,2,0)</f>
        <v>85</v>
      </c>
      <c r="J97" s="199" t="str">
        <f>IF(Répartition!$B73="","",Répartition!$B73)</f>
        <v>PSA</v>
      </c>
      <c r="K97" s="82" t="str">
        <f>IF(Répartition!$G73="","",Répartition!$G73)</f>
        <v>Ruban PSA</v>
      </c>
      <c r="L97" s="81" t="str">
        <f>IF(Répartition!$H73="","",Répartition!$H73)</f>
        <v>Monochrome</v>
      </c>
      <c r="M97" s="149">
        <f>VLOOKUP(K97&amp;L97,code,2,0)</f>
        <v>85</v>
      </c>
      <c r="N97" s="199" t="str">
        <f>IF(Répartition!$B73="","",Répartition!$B73)</f>
        <v>PSA</v>
      </c>
      <c r="O97" s="82" t="str">
        <f>IF(Répartition!$I73="","",Répartition!$I73)</f>
        <v>Ruban PSA</v>
      </c>
      <c r="P97" s="81" t="str">
        <f>IF(Répartition!$J73="","",Répartition!$J73)</f>
        <v>Monochrome</v>
      </c>
      <c r="Q97" s="149">
        <f>VLOOKUP(O97&amp;P97,code,2,0)</f>
        <v>85</v>
      </c>
      <c r="S97" s="45" t="s">
        <v>11</v>
      </c>
      <c r="T97" s="137" t="s">
        <v>64</v>
      </c>
      <c r="U97" s="136" t="s">
        <v>27</v>
      </c>
      <c r="V97" s="43" t="str">
        <f t="shared" si="1"/>
        <v>Ruban PSANature</v>
      </c>
      <c r="W97" s="197">
        <v>84</v>
      </c>
    </row>
    <row r="98" spans="1:24" s="25" customFormat="1" ht="15" customHeight="1" x14ac:dyDescent="0.25">
      <c r="A98" s="1">
        <v>15</v>
      </c>
      <c r="B98" s="199" t="str">
        <f>IF(Répartition!$B70="","",Répartition!$B70)</f>
        <v>PSA</v>
      </c>
      <c r="C98" s="82" t="str">
        <f>IF(Répartition!$C70="","",Répartition!$C70)</f>
        <v>Ruban PSA</v>
      </c>
      <c r="D98" s="81" t="str">
        <f>IF(Répartition!$D70="","",Répartition!$D70)</f>
        <v>Thème</v>
      </c>
      <c r="E98" s="149">
        <f>VLOOKUP(C98&amp;D98,code,2,0)</f>
        <v>86</v>
      </c>
      <c r="F98" s="199" t="str">
        <f>IF(Répartition!$B70="","",Répartition!$B70)</f>
        <v>PSA</v>
      </c>
      <c r="G98" s="82" t="str">
        <f>IF(Répartition!$E70="","",Répartition!$E70)</f>
        <v>Ruban PSA</v>
      </c>
      <c r="H98" s="81" t="str">
        <f>IF(Répartition!$F70="","",Répartition!$F70)</f>
        <v>Thème</v>
      </c>
      <c r="I98" s="149">
        <f>VLOOKUP(G98&amp;H98,code,2,0)</f>
        <v>86</v>
      </c>
      <c r="J98" s="199" t="str">
        <f>IF(Répartition!$B70="","",Répartition!$B70)</f>
        <v>PSA</v>
      </c>
      <c r="K98" s="82" t="str">
        <f>IF(Répartition!$G70="","",Répartition!$G70)</f>
        <v>Ruban PSA</v>
      </c>
      <c r="L98" s="81" t="str">
        <f>IF(Répartition!$H70="","",Répartition!$H70)</f>
        <v>Thème</v>
      </c>
      <c r="M98" s="149">
        <f>VLOOKUP(K98&amp;L98,code,2,0)</f>
        <v>86</v>
      </c>
      <c r="N98" s="199" t="str">
        <f>IF(Répartition!$B70="","",Répartition!$B70)</f>
        <v>PSA</v>
      </c>
      <c r="O98" s="82" t="str">
        <f>IF(Répartition!$I70="","",Répartition!$I70)</f>
        <v>Ruban PSA</v>
      </c>
      <c r="P98" s="81" t="str">
        <f>IF(Répartition!$J70="","",Répartition!$J70)</f>
        <v>Thème</v>
      </c>
      <c r="Q98" s="149">
        <f>VLOOKUP(O98&amp;P98,code,2,0)</f>
        <v>86</v>
      </c>
      <c r="S98" s="45" t="s">
        <v>11</v>
      </c>
      <c r="T98" s="137" t="s">
        <v>64</v>
      </c>
      <c r="U98" s="136" t="s">
        <v>28</v>
      </c>
      <c r="V98" s="43" t="str">
        <f t="shared" si="1"/>
        <v>Ruban PSAMonochrome</v>
      </c>
      <c r="W98" s="197">
        <v>85</v>
      </c>
    </row>
    <row r="99" spans="1:24" s="25" customFormat="1" ht="15" customHeight="1" x14ac:dyDescent="0.25">
      <c r="A99" s="1">
        <v>16</v>
      </c>
      <c r="B99" s="199" t="str">
        <f>IF(Répartition!$B74="","",Répartition!$B74)</f>
        <v>PSA</v>
      </c>
      <c r="C99" s="82" t="str">
        <f>IF(Répartition!$C74="","",Répartition!$C74)</f>
        <v>Ruban PSA</v>
      </c>
      <c r="D99" s="81" t="str">
        <f>IF(Répartition!$D74="","",Répartition!$D74)</f>
        <v>Thème</v>
      </c>
      <c r="E99" s="149">
        <f>VLOOKUP(C99&amp;D99,code,2,0)</f>
        <v>86</v>
      </c>
      <c r="F99" s="199" t="str">
        <f>IF(Répartition!$B74="","",Répartition!$B74)</f>
        <v>PSA</v>
      </c>
      <c r="G99" s="82" t="str">
        <f>IF(Répartition!$E74="","",Répartition!$E74)</f>
        <v>Ruban PSA</v>
      </c>
      <c r="H99" s="81" t="str">
        <f>IF(Répartition!$F74="","",Répartition!$F74)</f>
        <v>Thème</v>
      </c>
      <c r="I99" s="149">
        <f>VLOOKUP(G99&amp;H99,code,2,0)</f>
        <v>86</v>
      </c>
      <c r="J99" s="199" t="str">
        <f>IF(Répartition!$B74="","",Répartition!$B74)</f>
        <v>PSA</v>
      </c>
      <c r="K99" s="82" t="str">
        <f>IF(Répartition!$G74="","",Répartition!$G74)</f>
        <v>Ruban PSA</v>
      </c>
      <c r="L99" s="81" t="str">
        <f>IF(Répartition!$H74="","",Répartition!$H74)</f>
        <v>Thème</v>
      </c>
      <c r="M99" s="149">
        <f>VLOOKUP(K99&amp;L99,code,2,0)</f>
        <v>86</v>
      </c>
      <c r="N99" s="199" t="str">
        <f>IF(Répartition!$B74="","",Répartition!$B74)</f>
        <v>PSA</v>
      </c>
      <c r="O99" s="82" t="str">
        <f>IF(Répartition!$I74="","",Répartition!$I74)</f>
        <v>Ruban PSA</v>
      </c>
      <c r="P99" s="81" t="str">
        <f>IF(Répartition!$J74="","",Répartition!$J74)</f>
        <v>Thème</v>
      </c>
      <c r="Q99" s="149">
        <f>VLOOKUP(O99&amp;P99,code,2,0)</f>
        <v>86</v>
      </c>
      <c r="S99" s="45" t="s">
        <v>11</v>
      </c>
      <c r="T99" s="137" t="s">
        <v>64</v>
      </c>
      <c r="U99" s="136" t="s">
        <v>29</v>
      </c>
      <c r="V99" s="43" t="str">
        <f t="shared" si="1"/>
        <v>Ruban PSAThème</v>
      </c>
      <c r="W99" s="197">
        <v>86</v>
      </c>
    </row>
    <row r="100" spans="1:24" s="44" customFormat="1" ht="15" customHeight="1" x14ac:dyDescent="0.25">
      <c r="A100" s="1">
        <v>17</v>
      </c>
      <c r="B100" s="199" t="str">
        <f>IF(Répartition!$B78="","",Répartition!$B78)</f>
        <v>GPU</v>
      </c>
      <c r="C100" s="82" t="str">
        <f>IF(Répartition!$C78="","",Répartition!$C78)</f>
        <v>Ruban GPU</v>
      </c>
      <c r="D100" s="81" t="str">
        <f>IF(Répartition!$D78="","",Répartition!$D78)</f>
        <v>Couleur</v>
      </c>
      <c r="E100" s="149">
        <f>VLOOKUP(C100&amp;D100,code,2,0)</f>
        <v>87</v>
      </c>
      <c r="F100" s="199" t="str">
        <f>IF(Répartition!$B78="","",Répartition!$B78)</f>
        <v>GPU</v>
      </c>
      <c r="G100" s="82" t="str">
        <f>IF(Répartition!$E78="","",Répartition!$E78)</f>
        <v>Ruban GPU</v>
      </c>
      <c r="H100" s="81" t="str">
        <f>IF(Répartition!$F78="","",Répartition!$F78)</f>
        <v>Couleur</v>
      </c>
      <c r="I100" s="149">
        <f>VLOOKUP(G100&amp;H100,code,2,0)</f>
        <v>87</v>
      </c>
      <c r="J100" s="199" t="str">
        <f>IF(Répartition!$B78="","",Répartition!$B78)</f>
        <v>GPU</v>
      </c>
      <c r="K100" s="82" t="str">
        <f>IF(Répartition!$G78="","",Répartition!$G78)</f>
        <v>Ruban GPU</v>
      </c>
      <c r="L100" s="81" t="str">
        <f>IF(Répartition!$H78="","",Répartition!$H78)</f>
        <v>Couleur</v>
      </c>
      <c r="M100" s="149">
        <f>VLOOKUP(K100&amp;L100,code,2,0)</f>
        <v>87</v>
      </c>
      <c r="N100" s="199" t="str">
        <f>IF(Répartition!$B78="","",Répartition!$B78)</f>
        <v>GPU</v>
      </c>
      <c r="O100" s="82" t="str">
        <f>IF(Répartition!$I78="","",Répartition!$I78)</f>
        <v>Ruban GPU</v>
      </c>
      <c r="P100" s="81" t="str">
        <f>IF(Répartition!$J78="","",Répartition!$J78)</f>
        <v>Couleur</v>
      </c>
      <c r="Q100" s="149">
        <f>VLOOKUP(O100&amp;P100,code,2,0)</f>
        <v>87</v>
      </c>
      <c r="S100" s="45" t="s">
        <v>23</v>
      </c>
      <c r="T100" s="137" t="s">
        <v>68</v>
      </c>
      <c r="U100" s="136" t="s">
        <v>24</v>
      </c>
      <c r="V100" s="43" t="str">
        <f t="shared" si="1"/>
        <v>Ruban GPUCouleur</v>
      </c>
      <c r="W100" s="197">
        <v>87</v>
      </c>
    </row>
    <row r="101" spans="1:24" s="44" customFormat="1" ht="15" customHeight="1" x14ac:dyDescent="0.25">
      <c r="A101" s="1">
        <v>18</v>
      </c>
      <c r="B101" s="199" t="str">
        <f>IF(Répartition!$B82="","",Répartition!$B82)</f>
        <v>GPU</v>
      </c>
      <c r="C101" s="82" t="str">
        <f>IF(Répartition!$C82="","",Répartition!$C82)</f>
        <v>Ruban GPU</v>
      </c>
      <c r="D101" s="81" t="str">
        <f>IF(Répartition!$D82="","",Répartition!$D82)</f>
        <v>Couleur</v>
      </c>
      <c r="E101" s="149">
        <f>VLOOKUP(C101&amp;D101,code,2,0)</f>
        <v>87</v>
      </c>
      <c r="F101" s="199" t="str">
        <f>IF(Répartition!$B82="","",Répartition!$B82)</f>
        <v>GPU</v>
      </c>
      <c r="G101" s="82" t="str">
        <f>IF(Répartition!$E82="","",Répartition!$E82)</f>
        <v>Ruban GPU</v>
      </c>
      <c r="H101" s="81" t="str">
        <f>IF(Répartition!$F82="","",Répartition!$F82)</f>
        <v>Couleur</v>
      </c>
      <c r="I101" s="149">
        <f>VLOOKUP(G101&amp;H101,code,2,0)</f>
        <v>87</v>
      </c>
      <c r="J101" s="199" t="str">
        <f>IF(Répartition!$B82="","",Répartition!$B82)</f>
        <v>GPU</v>
      </c>
      <c r="K101" s="82" t="str">
        <f>IF(Répartition!$G82="","",Répartition!$G82)</f>
        <v>Ruban GPU</v>
      </c>
      <c r="L101" s="81" t="str">
        <f>IF(Répartition!$H82="","",Répartition!$H82)</f>
        <v>Couleur</v>
      </c>
      <c r="M101" s="149">
        <f>VLOOKUP(K101&amp;L101,code,2,0)</f>
        <v>87</v>
      </c>
      <c r="N101" s="199" t="str">
        <f>IF(Répartition!$B82="","",Répartition!$B82)</f>
        <v>GPU</v>
      </c>
      <c r="O101" s="82" t="str">
        <f>IF(Répartition!$I82="","",Répartition!$I82)</f>
        <v>Ruban GPU</v>
      </c>
      <c r="P101" s="81" t="str">
        <f>IF(Répartition!$J82="","",Répartition!$J82)</f>
        <v>Couleur</v>
      </c>
      <c r="Q101" s="149">
        <f>VLOOKUP(O101&amp;P101,code,2,0)</f>
        <v>87</v>
      </c>
      <c r="S101" s="45" t="s">
        <v>23</v>
      </c>
      <c r="T101" s="137" t="s">
        <v>68</v>
      </c>
      <c r="U101" s="136" t="s">
        <v>27</v>
      </c>
      <c r="V101" s="43" t="str">
        <f t="shared" si="1"/>
        <v>Ruban GPUNature</v>
      </c>
      <c r="W101" s="197">
        <v>88</v>
      </c>
    </row>
    <row r="102" spans="1:24" s="44" customFormat="1" ht="15" customHeight="1" x14ac:dyDescent="0.25">
      <c r="A102" s="1">
        <v>19</v>
      </c>
      <c r="B102" s="199" t="str">
        <f>IF(Répartition!$B79="","",Répartition!$B79)</f>
        <v>GPU</v>
      </c>
      <c r="C102" s="82" t="str">
        <f>IF(Répartition!$C79="","",Répartition!$C79)</f>
        <v>Ruban GPU</v>
      </c>
      <c r="D102" s="81" t="str">
        <f>IF(Répartition!$D79="","",Répartition!$D79)</f>
        <v>Nature</v>
      </c>
      <c r="E102" s="149">
        <f>VLOOKUP(C102&amp;D102,code,2,0)</f>
        <v>88</v>
      </c>
      <c r="F102" s="199" t="str">
        <f>IF(Répartition!$B79="","",Répartition!$B79)</f>
        <v>GPU</v>
      </c>
      <c r="G102" s="82" t="str">
        <f>IF(Répartition!$E79="","",Répartition!$E79)</f>
        <v>Ruban GPU</v>
      </c>
      <c r="H102" s="81" t="str">
        <f>IF(Répartition!$F79="","",Répartition!$F79)</f>
        <v>Nature</v>
      </c>
      <c r="I102" s="149">
        <f>VLOOKUP(G102&amp;H102,code,2,0)</f>
        <v>88</v>
      </c>
      <c r="J102" s="199" t="str">
        <f>IF(Répartition!$B79="","",Répartition!$B79)</f>
        <v>GPU</v>
      </c>
      <c r="K102" s="82" t="str">
        <f>IF(Répartition!$G79="","",Répartition!$G79)</f>
        <v>Ruban GPU</v>
      </c>
      <c r="L102" s="81" t="str">
        <f>IF(Répartition!$H79="","",Répartition!$H79)</f>
        <v>Nature</v>
      </c>
      <c r="M102" s="149">
        <f>VLOOKUP(K102&amp;L102,code,2,0)</f>
        <v>88</v>
      </c>
      <c r="N102" s="199" t="str">
        <f>IF(Répartition!$B79="","",Répartition!$B79)</f>
        <v>GPU</v>
      </c>
      <c r="O102" s="82" t="str">
        <f>IF(Répartition!$I79="","",Répartition!$I79)</f>
        <v>Ruban GPU</v>
      </c>
      <c r="P102" s="81" t="str">
        <f>IF(Répartition!$J79="","",Répartition!$J79)</f>
        <v>Nature</v>
      </c>
      <c r="Q102" s="149">
        <f>VLOOKUP(O102&amp;P102,code,2,0)</f>
        <v>88</v>
      </c>
      <c r="S102" s="45" t="s">
        <v>23</v>
      </c>
      <c r="T102" s="137" t="s">
        <v>68</v>
      </c>
      <c r="U102" s="136" t="s">
        <v>28</v>
      </c>
      <c r="V102" s="43" t="str">
        <f t="shared" si="1"/>
        <v>Ruban GPUMonochrome</v>
      </c>
      <c r="W102" s="197">
        <v>89</v>
      </c>
      <c r="X102" s="25"/>
    </row>
    <row r="103" spans="1:24" s="44" customFormat="1" ht="15" customHeight="1" x14ac:dyDescent="0.25">
      <c r="A103" s="1">
        <v>20</v>
      </c>
      <c r="B103" s="199" t="str">
        <f>IF(Répartition!$B83="","",Répartition!$B83)</f>
        <v>GPU</v>
      </c>
      <c r="C103" s="82" t="str">
        <f>IF(Répartition!$C83="","",Répartition!$C83)</f>
        <v>Ruban GPU</v>
      </c>
      <c r="D103" s="81" t="str">
        <f>IF(Répartition!$D83="","",Répartition!$D83)</f>
        <v>Nature</v>
      </c>
      <c r="E103" s="149">
        <f>VLOOKUP(C103&amp;D103,code,2,0)</f>
        <v>88</v>
      </c>
      <c r="F103" s="199" t="str">
        <f>IF(Répartition!$B83="","",Répartition!$B83)</f>
        <v>GPU</v>
      </c>
      <c r="G103" s="82" t="str">
        <f>IF(Répartition!$E83="","",Répartition!$E83)</f>
        <v>Ruban GPU</v>
      </c>
      <c r="H103" s="81" t="str">
        <f>IF(Répartition!$F83="","",Répartition!$F83)</f>
        <v>Nature</v>
      </c>
      <c r="I103" s="149">
        <f>VLOOKUP(G103&amp;H103,code,2,0)</f>
        <v>88</v>
      </c>
      <c r="J103" s="199" t="str">
        <f>IF(Répartition!$B83="","",Répartition!$B83)</f>
        <v>GPU</v>
      </c>
      <c r="K103" s="82" t="str">
        <f>IF(Répartition!$G83="","",Répartition!$G83)</f>
        <v>Ruban GPU</v>
      </c>
      <c r="L103" s="81" t="str">
        <f>IF(Répartition!$H83="","",Répartition!$H83)</f>
        <v>Nature</v>
      </c>
      <c r="M103" s="149">
        <f>VLOOKUP(K103&amp;L103,code,2,0)</f>
        <v>88</v>
      </c>
      <c r="N103" s="199" t="str">
        <f>IF(Répartition!$B83="","",Répartition!$B83)</f>
        <v>GPU</v>
      </c>
      <c r="O103" s="82" t="str">
        <f>IF(Répartition!$I83="","",Répartition!$I83)</f>
        <v>Ruban GPU</v>
      </c>
      <c r="P103" s="81" t="str">
        <f>IF(Répartition!$J83="","",Répartition!$J83)</f>
        <v>Nature</v>
      </c>
      <c r="Q103" s="149">
        <f>VLOOKUP(O103&amp;P103,code,2,0)</f>
        <v>88</v>
      </c>
      <c r="S103" s="45" t="s">
        <v>23</v>
      </c>
      <c r="T103" s="137" t="s">
        <v>68</v>
      </c>
      <c r="U103" s="136" t="s">
        <v>29</v>
      </c>
      <c r="V103" s="43" t="str">
        <f t="shared" si="1"/>
        <v>Ruban GPUThème</v>
      </c>
      <c r="W103" s="197">
        <v>90</v>
      </c>
      <c r="X103" s="25"/>
    </row>
    <row r="104" spans="1:24" s="44" customFormat="1" ht="15" customHeight="1" x14ac:dyDescent="0.25">
      <c r="A104" s="1">
        <v>21</v>
      </c>
      <c r="B104" s="199" t="str">
        <f>IF(Répartition!$B80="","",Répartition!$B80)</f>
        <v>GPU</v>
      </c>
      <c r="C104" s="82" t="str">
        <f>IF(Répartition!$C80="","",Répartition!$C80)</f>
        <v>Ruban GPU</v>
      </c>
      <c r="D104" s="81" t="str">
        <f>IF(Répartition!$D80="","",Répartition!$D80)</f>
        <v>Monochrome</v>
      </c>
      <c r="E104" s="149">
        <f>VLOOKUP(C104&amp;D104,code,2,0)</f>
        <v>89</v>
      </c>
      <c r="F104" s="199" t="str">
        <f>IF(Répartition!$B80="","",Répartition!$B80)</f>
        <v>GPU</v>
      </c>
      <c r="G104" s="82" t="str">
        <f>IF(Répartition!$E80="","",Répartition!$E80)</f>
        <v>Ruban GPU</v>
      </c>
      <c r="H104" s="81" t="str">
        <f>IF(Répartition!$F80="","",Répartition!$F80)</f>
        <v>Monochrome</v>
      </c>
      <c r="I104" s="149">
        <f>VLOOKUP(G104&amp;H104,code,2,0)</f>
        <v>89</v>
      </c>
      <c r="J104" s="199" t="str">
        <f>IF(Répartition!$B80="","",Répartition!$B80)</f>
        <v>GPU</v>
      </c>
      <c r="K104" s="82" t="str">
        <f>IF(Répartition!$G80="","",Répartition!$G80)</f>
        <v>Ruban GPU</v>
      </c>
      <c r="L104" s="81" t="str">
        <f>IF(Répartition!$H80="","",Répartition!$H80)</f>
        <v>Monochrome</v>
      </c>
      <c r="M104" s="149">
        <f>VLOOKUP(K104&amp;L104,code,2,0)</f>
        <v>89</v>
      </c>
      <c r="N104" s="199" t="str">
        <f>IF(Répartition!$B80="","",Répartition!$B80)</f>
        <v>GPU</v>
      </c>
      <c r="O104" s="82" t="str">
        <f>IF(Répartition!$I80="","",Répartition!$I80)</f>
        <v>Ruban GPU</v>
      </c>
      <c r="P104" s="81" t="str">
        <f>IF(Répartition!$J80="","",Répartition!$J80)</f>
        <v>Monochrome</v>
      </c>
      <c r="Q104" s="149">
        <f>VLOOKUP(O104&amp;P104,code,2,0)</f>
        <v>89</v>
      </c>
      <c r="S104" s="45" t="s">
        <v>13</v>
      </c>
      <c r="T104" s="137" t="s">
        <v>77</v>
      </c>
      <c r="U104" s="136" t="s">
        <v>24</v>
      </c>
      <c r="V104" s="43" t="str">
        <f t="shared" si="1"/>
        <v>Diplôme ISFCouleur</v>
      </c>
      <c r="W104" s="197">
        <v>91</v>
      </c>
      <c r="X104" s="25"/>
    </row>
    <row r="105" spans="1:24" s="44" customFormat="1" ht="15" customHeight="1" x14ac:dyDescent="0.25">
      <c r="A105" s="1">
        <v>1</v>
      </c>
      <c r="B105" s="199" t="str">
        <f>IF(Répartition!$B81="","",Répartition!$B81)</f>
        <v>GPU</v>
      </c>
      <c r="C105" s="82" t="str">
        <f>IF(Répartition!$C81="","",Répartition!$C81)</f>
        <v>Ruban GPU</v>
      </c>
      <c r="D105" s="81" t="str">
        <f>IF(Répartition!$D81="","",Répartition!$D81)</f>
        <v>Thème</v>
      </c>
      <c r="E105" s="149">
        <f>VLOOKUP(C105&amp;D105,code,2,0)</f>
        <v>90</v>
      </c>
      <c r="F105" s="199" t="str">
        <f>IF(Répartition!$B81="","",Répartition!$B81)</f>
        <v>GPU</v>
      </c>
      <c r="G105" s="82" t="str">
        <f>IF(Répartition!$E81="","",Répartition!$E81)</f>
        <v>Ruban GPU</v>
      </c>
      <c r="H105" s="81" t="str">
        <f>IF(Répartition!$F81="","",Répartition!$F81)</f>
        <v>Thème</v>
      </c>
      <c r="I105" s="149">
        <f>VLOOKUP(G105&amp;H105,code,2,0)</f>
        <v>90</v>
      </c>
      <c r="J105" s="199" t="str">
        <f>IF(Répartition!$B81="","",Répartition!$B81)</f>
        <v>GPU</v>
      </c>
      <c r="K105" s="82" t="str">
        <f>IF(Répartition!$G81="","",Répartition!$G81)</f>
        <v>Ruban GPU</v>
      </c>
      <c r="L105" s="81" t="str">
        <f>IF(Répartition!$H81="","",Répartition!$H81)</f>
        <v>Thème</v>
      </c>
      <c r="M105" s="149">
        <f>VLOOKUP(K105&amp;L105,code,2,0)</f>
        <v>90</v>
      </c>
      <c r="N105" s="199" t="str">
        <f>IF(Répartition!$B81="","",Répartition!$B81)</f>
        <v>GPU</v>
      </c>
      <c r="O105" s="82" t="str">
        <f>IF(Répartition!$I81="","",Répartition!$I81)</f>
        <v>Ruban GPU</v>
      </c>
      <c r="P105" s="81" t="str">
        <f>IF(Répartition!$J81="","",Répartition!$J81)</f>
        <v>Thème</v>
      </c>
      <c r="Q105" s="149">
        <f>VLOOKUP(O105&amp;P105,code,2,0)</f>
        <v>90</v>
      </c>
      <c r="S105" s="45" t="s">
        <v>13</v>
      </c>
      <c r="T105" s="137" t="s">
        <v>77</v>
      </c>
      <c r="U105" s="136" t="s">
        <v>27</v>
      </c>
      <c r="V105" s="43" t="str">
        <f t="shared" si="1"/>
        <v>Diplôme ISFNature</v>
      </c>
      <c r="W105" s="197">
        <v>92</v>
      </c>
      <c r="X105" s="25"/>
    </row>
    <row r="106" spans="1:24" s="44" customFormat="1" ht="15" customHeight="1" x14ac:dyDescent="0.25">
      <c r="A106" s="1">
        <v>2</v>
      </c>
      <c r="B106" s="199" t="str">
        <f>IF(Répartition!$B108="","",Répartition!$B108)</f>
        <v>ISF</v>
      </c>
      <c r="C106" s="82" t="str">
        <f>IF(Répartition!$C108="","",Répartition!$C108)</f>
        <v>Diplôme ISF</v>
      </c>
      <c r="D106" s="81" t="str">
        <f>IF(Répartition!$D108="","",Répartition!$D108)</f>
        <v>Couleur</v>
      </c>
      <c r="E106" s="149">
        <f>VLOOKUP(C106&amp;D106,code,2,0)</f>
        <v>91</v>
      </c>
      <c r="F106" s="199" t="str">
        <f>IF(Répartition!$B108="","",Répartition!$B108)</f>
        <v>ISF</v>
      </c>
      <c r="G106" s="82" t="str">
        <f>IF(Répartition!$E108="","",Répartition!$E108)</f>
        <v>Diplôme ISF</v>
      </c>
      <c r="H106" s="81" t="str">
        <f>IF(Répartition!$F108="","",Répartition!$F108)</f>
        <v>Couleur</v>
      </c>
      <c r="I106" s="149">
        <f>VLOOKUP(G106&amp;H106,code,2,0)</f>
        <v>91</v>
      </c>
      <c r="J106" s="199" t="str">
        <f>IF(Répartition!$B108="","",Répartition!$B108)</f>
        <v>ISF</v>
      </c>
      <c r="K106" s="82" t="str">
        <f>IF(Répartition!$G108="","",Répartition!$G108)</f>
        <v>Diplôme ISF</v>
      </c>
      <c r="L106" s="81" t="str">
        <f>IF(Répartition!$H108="","",Répartition!$H108)</f>
        <v>Couleur</v>
      </c>
      <c r="M106" s="149">
        <f>VLOOKUP(K106&amp;L106,code,2,0)</f>
        <v>91</v>
      </c>
      <c r="N106" s="199" t="str">
        <f>IF(Répartition!$B108="","",Répartition!$B108)</f>
        <v>ISF</v>
      </c>
      <c r="O106" s="82" t="str">
        <f>IF(Répartition!$I108="","",Répartition!$I108)</f>
        <v>Diplôme ISF</v>
      </c>
      <c r="P106" s="81" t="str">
        <f>IF(Répartition!$J108="","",Répartition!$J108)</f>
        <v>Couleur</v>
      </c>
      <c r="Q106" s="149">
        <f>VLOOKUP(O106&amp;P106,code,2,0)</f>
        <v>91</v>
      </c>
      <c r="S106" s="45" t="s">
        <v>13</v>
      </c>
      <c r="T106" s="137" t="s">
        <v>77</v>
      </c>
      <c r="U106" s="136" t="s">
        <v>28</v>
      </c>
      <c r="V106" s="43" t="str">
        <f t="shared" si="1"/>
        <v>Diplôme ISFMonochrome</v>
      </c>
      <c r="W106" s="197">
        <v>93</v>
      </c>
      <c r="X106" s="25"/>
    </row>
    <row r="107" spans="1:24" s="44" customFormat="1" ht="15" customHeight="1" x14ac:dyDescent="0.25">
      <c r="A107" s="63">
        <v>3</v>
      </c>
      <c r="B107" s="199" t="str">
        <f>IF(Répartition!$B112="","",Répartition!$B112)</f>
        <v>ISF</v>
      </c>
      <c r="C107" s="82" t="str">
        <f>IF(Répartition!$C112="","",Répartition!$C112)</f>
        <v>Diplôme ISF</v>
      </c>
      <c r="D107" s="81" t="str">
        <f>IF(Répartition!$D112="","",Répartition!$D112)</f>
        <v>Couleur</v>
      </c>
      <c r="E107" s="149">
        <f>VLOOKUP(C107&amp;D107,code,2,0)</f>
        <v>91</v>
      </c>
      <c r="F107" s="199" t="str">
        <f>IF(Répartition!$B112="","",Répartition!$B112)</f>
        <v>ISF</v>
      </c>
      <c r="G107" s="82" t="str">
        <f>IF(Répartition!$E112="","",Répartition!$E112)</f>
        <v>Diplôme ISF</v>
      </c>
      <c r="H107" s="81" t="str">
        <f>IF(Répartition!$F112="","",Répartition!$F112)</f>
        <v>Couleur</v>
      </c>
      <c r="I107" s="149">
        <f>VLOOKUP(G107&amp;H107,code,2,0)</f>
        <v>91</v>
      </c>
      <c r="J107" s="199" t="str">
        <f>IF(Répartition!$B112="","",Répartition!$B112)</f>
        <v>ISF</v>
      </c>
      <c r="K107" s="82" t="str">
        <f>IF(Répartition!$G112="","",Répartition!$G112)</f>
        <v>Diplôme ISF</v>
      </c>
      <c r="L107" s="81" t="str">
        <f>IF(Répartition!$H112="","",Répartition!$H112)</f>
        <v>Couleur</v>
      </c>
      <c r="M107" s="149">
        <f>VLOOKUP(K107&amp;L107,code,2,0)</f>
        <v>91</v>
      </c>
      <c r="N107" s="199" t="str">
        <f>IF(Répartition!$B112="","",Répartition!$B112)</f>
        <v>ISF</v>
      </c>
      <c r="O107" s="82" t="str">
        <f>IF(Répartition!$I112="","",Répartition!$I112)</f>
        <v>Diplôme ISF</v>
      </c>
      <c r="P107" s="81" t="str">
        <f>IF(Répartition!$J112="","",Répartition!$J112)</f>
        <v>Couleur</v>
      </c>
      <c r="Q107" s="149">
        <f>VLOOKUP(O107&amp;P107,code,2,0)</f>
        <v>91</v>
      </c>
      <c r="S107" s="45" t="s">
        <v>13</v>
      </c>
      <c r="T107" s="137" t="s">
        <v>77</v>
      </c>
      <c r="U107" s="136" t="s">
        <v>29</v>
      </c>
      <c r="V107" s="43" t="str">
        <f t="shared" si="1"/>
        <v>Diplôme ISFThème</v>
      </c>
      <c r="W107" s="197">
        <v>94</v>
      </c>
      <c r="X107" s="25"/>
    </row>
    <row r="108" spans="1:24" s="44" customFormat="1" ht="15" customHeight="1" x14ac:dyDescent="0.25">
      <c r="A108" s="1">
        <v>4</v>
      </c>
      <c r="B108" s="199" t="str">
        <f>IF(Répartition!$B116="","",Répartition!$B116)</f>
        <v>ISF</v>
      </c>
      <c r="C108" s="82" t="str">
        <f>IF(Répartition!$C116="","",Répartition!$C116)</f>
        <v>Diplôme ISF</v>
      </c>
      <c r="D108" s="81" t="str">
        <f>IF(Répartition!$D116="","",Répartition!$D116)</f>
        <v>Couleur</v>
      </c>
      <c r="E108" s="149">
        <f>VLOOKUP(C108&amp;D108,code,2,0)</f>
        <v>91</v>
      </c>
      <c r="F108" s="199" t="str">
        <f>IF(Répartition!$B116="","",Répartition!$B116)</f>
        <v>ISF</v>
      </c>
      <c r="G108" s="82" t="str">
        <f>IF(Répartition!$E116="","",Répartition!$E116)</f>
        <v>Diplôme ISF</v>
      </c>
      <c r="H108" s="81" t="str">
        <f>IF(Répartition!$F116="","",Répartition!$F116)</f>
        <v>Couleur</v>
      </c>
      <c r="I108" s="149">
        <f>VLOOKUP(G108&amp;H108,code,2,0)</f>
        <v>91</v>
      </c>
      <c r="J108" s="199" t="str">
        <f>IF(Répartition!$B116="","",Répartition!$B116)</f>
        <v>ISF</v>
      </c>
      <c r="K108" s="82" t="str">
        <f>IF(Répartition!$G116="","",Répartition!$G116)</f>
        <v>Diplôme ISF</v>
      </c>
      <c r="L108" s="81" t="str">
        <f>IF(Répartition!$H116="","",Répartition!$H116)</f>
        <v>Couleur</v>
      </c>
      <c r="M108" s="149">
        <f>VLOOKUP(K108&amp;L108,code,2,0)</f>
        <v>91</v>
      </c>
      <c r="N108" s="199" t="str">
        <f>IF(Répartition!$B116="","",Répartition!$B116)</f>
        <v>ISF</v>
      </c>
      <c r="O108" s="82" t="str">
        <f>IF(Répartition!$I116="","",Répartition!$I116)</f>
        <v>Diplôme ISF</v>
      </c>
      <c r="P108" s="81" t="str">
        <f>IF(Répartition!$J116="","",Répartition!$J116)</f>
        <v>Couleur</v>
      </c>
      <c r="Q108" s="149">
        <f>VLOOKUP(O108&amp;P108,code,2,0)</f>
        <v>91</v>
      </c>
      <c r="S108" s="45" t="s">
        <v>8</v>
      </c>
      <c r="T108" s="137" t="s">
        <v>73</v>
      </c>
      <c r="U108" s="136" t="s">
        <v>24</v>
      </c>
      <c r="V108" s="43" t="str">
        <f t="shared" si="1"/>
        <v>Diplôme FPFCouleur</v>
      </c>
      <c r="W108" s="197">
        <v>95</v>
      </c>
      <c r="X108" s="25"/>
    </row>
    <row r="109" spans="1:24" s="25" customFormat="1" ht="15" customHeight="1" x14ac:dyDescent="0.25">
      <c r="A109" s="1">
        <v>5</v>
      </c>
      <c r="B109" s="199" t="str">
        <f>IF(Répartition!$B109="","",Répartition!$B109)</f>
        <v>ISF</v>
      </c>
      <c r="C109" s="82" t="str">
        <f>IF(Répartition!$C109="","",Répartition!$C109)</f>
        <v>Diplôme ISF</v>
      </c>
      <c r="D109" s="81" t="str">
        <f>IF(Répartition!$D109="","",Répartition!$D109)</f>
        <v>Nature</v>
      </c>
      <c r="E109" s="149">
        <f>VLOOKUP(C109&amp;D109,code,2,0)</f>
        <v>92</v>
      </c>
      <c r="F109" s="199" t="str">
        <f>IF(Répartition!$B109="","",Répartition!$B109)</f>
        <v>ISF</v>
      </c>
      <c r="G109" s="82" t="str">
        <f>IF(Répartition!$E109="","",Répartition!$E109)</f>
        <v>Diplôme ISF</v>
      </c>
      <c r="H109" s="81" t="str">
        <f>IF(Répartition!$F109="","",Répartition!$F109)</f>
        <v>Nature</v>
      </c>
      <c r="I109" s="149">
        <f>VLOOKUP(G109&amp;H109,code,2,0)</f>
        <v>92</v>
      </c>
      <c r="J109" s="199" t="str">
        <f>IF(Répartition!$B109="","",Répartition!$B109)</f>
        <v>ISF</v>
      </c>
      <c r="K109" s="82" t="str">
        <f>IF(Répartition!$G109="","",Répartition!$G109)</f>
        <v>Diplôme ISF</v>
      </c>
      <c r="L109" s="81" t="str">
        <f>IF(Répartition!$H109="","",Répartition!$H109)</f>
        <v>Nature</v>
      </c>
      <c r="M109" s="149">
        <f>VLOOKUP(K109&amp;L109,code,2,0)</f>
        <v>92</v>
      </c>
      <c r="N109" s="199" t="str">
        <f>IF(Répartition!$B109="","",Répartition!$B109)</f>
        <v>ISF</v>
      </c>
      <c r="O109" s="82" t="str">
        <f>IF(Répartition!$I109="","",Répartition!$I109)</f>
        <v>Diplôme ISF</v>
      </c>
      <c r="P109" s="81" t="str">
        <f>IF(Répartition!$J109="","",Répartition!$J109)</f>
        <v>Nature</v>
      </c>
      <c r="Q109" s="149">
        <f>VLOOKUP(O109&amp;P109,code,2,0)</f>
        <v>92</v>
      </c>
      <c r="S109" s="45" t="s">
        <v>8</v>
      </c>
      <c r="T109" s="137" t="s">
        <v>73</v>
      </c>
      <c r="U109" s="136" t="s">
        <v>27</v>
      </c>
      <c r="V109" s="43" t="str">
        <f t="shared" si="1"/>
        <v>Diplôme FPFNature</v>
      </c>
      <c r="W109" s="197">
        <v>96</v>
      </c>
    </row>
    <row r="110" spans="1:24" s="25" customFormat="1" ht="15" customHeight="1" x14ac:dyDescent="0.25">
      <c r="A110" s="63">
        <v>6</v>
      </c>
      <c r="B110" s="199" t="str">
        <f>IF(Répartition!$B113="","",Répartition!$B113)</f>
        <v>ISF</v>
      </c>
      <c r="C110" s="82" t="str">
        <f>IF(Répartition!$C113="","",Répartition!$C113)</f>
        <v>Diplôme ISF</v>
      </c>
      <c r="D110" s="81" t="str">
        <f>IF(Répartition!$D113="","",Répartition!$D113)</f>
        <v>Nature</v>
      </c>
      <c r="E110" s="149">
        <f>VLOOKUP(C110&amp;D110,code,2,0)</f>
        <v>92</v>
      </c>
      <c r="F110" s="199" t="str">
        <f>IF(Répartition!$B113="","",Répartition!$B113)</f>
        <v>ISF</v>
      </c>
      <c r="G110" s="82" t="str">
        <f>IF(Répartition!$E113="","",Répartition!$E113)</f>
        <v>Diplôme ISF</v>
      </c>
      <c r="H110" s="81" t="str">
        <f>IF(Répartition!$F113="","",Répartition!$F113)</f>
        <v>Nature</v>
      </c>
      <c r="I110" s="149">
        <f>VLOOKUP(G110&amp;H110,code,2,0)</f>
        <v>92</v>
      </c>
      <c r="J110" s="199" t="str">
        <f>IF(Répartition!$B113="","",Répartition!$B113)</f>
        <v>ISF</v>
      </c>
      <c r="K110" s="82" t="str">
        <f>IF(Répartition!$G113="","",Répartition!$G113)</f>
        <v>Diplôme ISF</v>
      </c>
      <c r="L110" s="81" t="str">
        <f>IF(Répartition!$H113="","",Répartition!$H113)</f>
        <v>Nature</v>
      </c>
      <c r="M110" s="149">
        <f>VLOOKUP(K110&amp;L110,code,2,0)</f>
        <v>92</v>
      </c>
      <c r="N110" s="199" t="str">
        <f>IF(Répartition!$B113="","",Répartition!$B113)</f>
        <v>ISF</v>
      </c>
      <c r="O110" s="82" t="str">
        <f>IF(Répartition!$I113="","",Répartition!$I113)</f>
        <v>Diplôme ISF</v>
      </c>
      <c r="P110" s="81" t="str">
        <f>IF(Répartition!$J113="","",Répartition!$J113)</f>
        <v>Nature</v>
      </c>
      <c r="Q110" s="149">
        <f>VLOOKUP(O110&amp;P110,code,2,0)</f>
        <v>92</v>
      </c>
      <c r="S110" s="45" t="s">
        <v>8</v>
      </c>
      <c r="T110" s="137" t="s">
        <v>73</v>
      </c>
      <c r="U110" s="136" t="s">
        <v>28</v>
      </c>
      <c r="V110" s="43" t="str">
        <f t="shared" si="1"/>
        <v>Diplôme FPFMonochrome</v>
      </c>
      <c r="W110" s="197">
        <v>97</v>
      </c>
      <c r="X110" s="64"/>
    </row>
    <row r="111" spans="1:24" s="25" customFormat="1" ht="15" customHeight="1" x14ac:dyDescent="0.25">
      <c r="A111" s="1">
        <v>7</v>
      </c>
      <c r="B111" s="199" t="str">
        <f>IF(Répartition!$B117="","",Répartition!$B117)</f>
        <v>ISF</v>
      </c>
      <c r="C111" s="82" t="str">
        <f>IF(Répartition!$C117="","",Répartition!$C117)</f>
        <v>Diplôme ISF</v>
      </c>
      <c r="D111" s="81" t="str">
        <f>IF(Répartition!$D117="","",Répartition!$D117)</f>
        <v>Nature</v>
      </c>
      <c r="E111" s="149">
        <f>VLOOKUP(C111&amp;D111,code,2,0)</f>
        <v>92</v>
      </c>
      <c r="F111" s="199" t="str">
        <f>IF(Répartition!$B117="","",Répartition!$B117)</f>
        <v>ISF</v>
      </c>
      <c r="G111" s="82" t="str">
        <f>IF(Répartition!$E117="","",Répartition!$E117)</f>
        <v>Diplôme ISF</v>
      </c>
      <c r="H111" s="81" t="str">
        <f>IF(Répartition!$F117="","",Répartition!$F117)</f>
        <v>Nature</v>
      </c>
      <c r="I111" s="149">
        <f>VLOOKUP(G111&amp;H111,code,2,0)</f>
        <v>92</v>
      </c>
      <c r="J111" s="199" t="str">
        <f>IF(Répartition!$B117="","",Répartition!$B117)</f>
        <v>ISF</v>
      </c>
      <c r="K111" s="82" t="str">
        <f>IF(Répartition!$G117="","",Répartition!$G117)</f>
        <v>Diplôme ISF</v>
      </c>
      <c r="L111" s="81" t="str">
        <f>IF(Répartition!$H117="","",Répartition!$H117)</f>
        <v>Nature</v>
      </c>
      <c r="M111" s="149">
        <f>VLOOKUP(K111&amp;L111,code,2,0)</f>
        <v>92</v>
      </c>
      <c r="N111" s="199" t="str">
        <f>IF(Répartition!$B117="","",Répartition!$B117)</f>
        <v>ISF</v>
      </c>
      <c r="O111" s="82" t="str">
        <f>IF(Répartition!$I117="","",Répartition!$I117)</f>
        <v>Diplôme ISF</v>
      </c>
      <c r="P111" s="81" t="str">
        <f>IF(Répartition!$J117="","",Répartition!$J117)</f>
        <v>Nature</v>
      </c>
      <c r="Q111" s="149">
        <f>VLOOKUP(O111&amp;P111,code,2,0)</f>
        <v>92</v>
      </c>
      <c r="S111" s="45" t="s">
        <v>8</v>
      </c>
      <c r="T111" s="137" t="s">
        <v>73</v>
      </c>
      <c r="U111" s="136" t="s">
        <v>29</v>
      </c>
      <c r="V111" s="43" t="str">
        <f t="shared" si="1"/>
        <v>Diplôme FPFThème</v>
      </c>
      <c r="W111" s="197">
        <v>98</v>
      </c>
      <c r="X111" s="64"/>
    </row>
    <row r="112" spans="1:24" s="25" customFormat="1" ht="15" customHeight="1" x14ac:dyDescent="0.25">
      <c r="A112" s="1">
        <v>8</v>
      </c>
      <c r="B112" s="199" t="str">
        <f>IF(Répartition!$B110="","",Répartition!$B110)</f>
        <v>ISF</v>
      </c>
      <c r="C112" s="82" t="str">
        <f>IF(Répartition!$C110="","",Répartition!$C110)</f>
        <v>Diplôme ISF</v>
      </c>
      <c r="D112" s="81" t="str">
        <f>IF(Répartition!$D110="","",Répartition!$D110)</f>
        <v>Monochrome</v>
      </c>
      <c r="E112" s="149">
        <f>VLOOKUP(C112&amp;D112,code,2,0)</f>
        <v>93</v>
      </c>
      <c r="F112" s="199" t="str">
        <f>IF(Répartition!$B110="","",Répartition!$B110)</f>
        <v>ISF</v>
      </c>
      <c r="G112" s="82" t="str">
        <f>IF(Répartition!$E110="","",Répartition!$E110)</f>
        <v>Diplôme ISF</v>
      </c>
      <c r="H112" s="81" t="str">
        <f>IF(Répartition!$F110="","",Répartition!$F110)</f>
        <v>Monochrome</v>
      </c>
      <c r="I112" s="149">
        <f>VLOOKUP(G112&amp;H112,code,2,0)</f>
        <v>93</v>
      </c>
      <c r="J112" s="199" t="str">
        <f>IF(Répartition!$B110="","",Répartition!$B110)</f>
        <v>ISF</v>
      </c>
      <c r="K112" s="82" t="str">
        <f>IF(Répartition!$G110="","",Répartition!$G110)</f>
        <v>Diplôme ISF</v>
      </c>
      <c r="L112" s="81" t="str">
        <f>IF(Répartition!$H110="","",Répartition!$H110)</f>
        <v>Monochrome</v>
      </c>
      <c r="M112" s="149">
        <f>VLOOKUP(K112&amp;L112,code,2,0)</f>
        <v>93</v>
      </c>
      <c r="N112" s="199" t="str">
        <f>IF(Répartition!$B110="","",Répartition!$B110)</f>
        <v>ISF</v>
      </c>
      <c r="O112" s="82" t="str">
        <f>IF(Répartition!$I110="","",Répartition!$I110)</f>
        <v>Diplôme ISF</v>
      </c>
      <c r="P112" s="81" t="str">
        <f>IF(Répartition!$J110="","",Répartition!$J110)</f>
        <v>Monochrome</v>
      </c>
      <c r="Q112" s="149">
        <f>VLOOKUP(O112&amp;P112,code,2,0)</f>
        <v>93</v>
      </c>
      <c r="S112" s="45" t="s">
        <v>14</v>
      </c>
      <c r="T112" s="137" t="s">
        <v>81</v>
      </c>
      <c r="U112" s="136" t="s">
        <v>24</v>
      </c>
      <c r="V112" s="43" t="str">
        <f t="shared" si="1"/>
        <v>Diplôme FDTCouleur</v>
      </c>
      <c r="W112" s="197">
        <v>99</v>
      </c>
      <c r="X112" s="64"/>
    </row>
    <row r="113" spans="1:24" s="25" customFormat="1" ht="15" customHeight="1" x14ac:dyDescent="0.25">
      <c r="A113" s="63">
        <v>9</v>
      </c>
      <c r="B113" s="199" t="str">
        <f>IF(Répartition!$B114="","",Répartition!$B114)</f>
        <v>ISF</v>
      </c>
      <c r="C113" s="82" t="str">
        <f>IF(Répartition!$C114="","",Répartition!$C114)</f>
        <v>Diplôme ISF</v>
      </c>
      <c r="D113" s="81" t="str">
        <f>IF(Répartition!$D114="","",Répartition!$D114)</f>
        <v>Monochrome</v>
      </c>
      <c r="E113" s="149">
        <f>VLOOKUP(C113&amp;D113,code,2,0)</f>
        <v>93</v>
      </c>
      <c r="F113" s="199" t="str">
        <f>IF(Répartition!$B114="","",Répartition!$B114)</f>
        <v>ISF</v>
      </c>
      <c r="G113" s="82" t="str">
        <f>IF(Répartition!$E114="","",Répartition!$E114)</f>
        <v>Diplôme ISF</v>
      </c>
      <c r="H113" s="81" t="str">
        <f>IF(Répartition!$F114="","",Répartition!$F114)</f>
        <v>Monochrome</v>
      </c>
      <c r="I113" s="149">
        <f>VLOOKUP(G113&amp;H113,code,2,0)</f>
        <v>93</v>
      </c>
      <c r="J113" s="199" t="str">
        <f>IF(Répartition!$B114="","",Répartition!$B114)</f>
        <v>ISF</v>
      </c>
      <c r="K113" s="82" t="str">
        <f>IF(Répartition!$G114="","",Répartition!$G114)</f>
        <v>Diplôme ISF</v>
      </c>
      <c r="L113" s="81" t="str">
        <f>IF(Répartition!$H114="","",Répartition!$H114)</f>
        <v>Monochrome</v>
      </c>
      <c r="M113" s="149">
        <f>VLOOKUP(K113&amp;L113,code,2,0)</f>
        <v>93</v>
      </c>
      <c r="N113" s="199" t="str">
        <f>IF(Répartition!$B114="","",Répartition!$B114)</f>
        <v>ISF</v>
      </c>
      <c r="O113" s="82" t="str">
        <f>IF(Répartition!$I114="","",Répartition!$I114)</f>
        <v>Diplôme ISF</v>
      </c>
      <c r="P113" s="81" t="str">
        <f>IF(Répartition!$J114="","",Répartition!$J114)</f>
        <v>Monochrome</v>
      </c>
      <c r="Q113" s="149">
        <f>VLOOKUP(O113&amp;P113,code,2,0)</f>
        <v>93</v>
      </c>
      <c r="S113" s="45" t="s">
        <v>14</v>
      </c>
      <c r="T113" s="137" t="s">
        <v>81</v>
      </c>
      <c r="U113" s="136" t="s">
        <v>27</v>
      </c>
      <c r="V113" s="43" t="str">
        <f t="shared" si="1"/>
        <v>Diplôme FDTNature</v>
      </c>
      <c r="W113" s="197">
        <v>100</v>
      </c>
      <c r="X113" s="64"/>
    </row>
    <row r="114" spans="1:24" s="25" customFormat="1" ht="15" customHeight="1" x14ac:dyDescent="0.25">
      <c r="A114" s="1">
        <v>10</v>
      </c>
      <c r="B114" s="199" t="str">
        <f>IF(Répartition!$B118="","",Répartition!$B118)</f>
        <v>ISF</v>
      </c>
      <c r="C114" s="82" t="str">
        <f>IF(Répartition!$C118="","",Répartition!$C118)</f>
        <v>Diplôme ISF</v>
      </c>
      <c r="D114" s="81" t="str">
        <f>IF(Répartition!$D118="","",Répartition!$D118)</f>
        <v>Monochrome</v>
      </c>
      <c r="E114" s="149">
        <f>VLOOKUP(C114&amp;D114,code,2,0)</f>
        <v>93</v>
      </c>
      <c r="F114" s="199" t="str">
        <f>IF(Répartition!$B118="","",Répartition!$B118)</f>
        <v>ISF</v>
      </c>
      <c r="G114" s="82" t="str">
        <f>IF(Répartition!$E118="","",Répartition!$E118)</f>
        <v>Diplôme ISF</v>
      </c>
      <c r="H114" s="81" t="str">
        <f>IF(Répartition!$F118="","",Répartition!$F118)</f>
        <v>Monochrome</v>
      </c>
      <c r="I114" s="149">
        <f>VLOOKUP(G114&amp;H114,code,2,0)</f>
        <v>93</v>
      </c>
      <c r="J114" s="199" t="str">
        <f>IF(Répartition!$B118="","",Répartition!$B118)</f>
        <v>ISF</v>
      </c>
      <c r="K114" s="82" t="str">
        <f>IF(Répartition!$G118="","",Répartition!$G118)</f>
        <v>Diplôme ISF</v>
      </c>
      <c r="L114" s="81" t="str">
        <f>IF(Répartition!$H118="","",Répartition!$H118)</f>
        <v>Monochrome</v>
      </c>
      <c r="M114" s="149">
        <f>VLOOKUP(K114&amp;L114,code,2,0)</f>
        <v>93</v>
      </c>
      <c r="N114" s="199" t="str">
        <f>IF(Répartition!$B118="","",Répartition!$B118)</f>
        <v>ISF</v>
      </c>
      <c r="O114" s="82" t="str">
        <f>IF(Répartition!$I118="","",Répartition!$I118)</f>
        <v>Diplôme ISF</v>
      </c>
      <c r="P114" s="81" t="str">
        <f>IF(Répartition!$J118="","",Répartition!$J118)</f>
        <v>Monochrome</v>
      </c>
      <c r="Q114" s="149">
        <f>VLOOKUP(O114&amp;P114,code,2,0)</f>
        <v>93</v>
      </c>
      <c r="S114" s="45" t="s">
        <v>14</v>
      </c>
      <c r="T114" s="137" t="s">
        <v>81</v>
      </c>
      <c r="U114" s="136" t="s">
        <v>28</v>
      </c>
      <c r="V114" s="43" t="str">
        <f t="shared" si="1"/>
        <v>Diplôme FDTMonochrome</v>
      </c>
      <c r="W114" s="197">
        <v>101</v>
      </c>
      <c r="X114" s="64"/>
    </row>
    <row r="115" spans="1:24" s="25" customFormat="1" ht="15" customHeight="1" x14ac:dyDescent="0.25">
      <c r="A115" s="1">
        <v>11</v>
      </c>
      <c r="B115" s="199" t="str">
        <f>IF(Répartition!$B111="","",Répartition!$B111)</f>
        <v>ISF</v>
      </c>
      <c r="C115" s="82" t="str">
        <f>IF(Répartition!$C111="","",Répartition!$C111)</f>
        <v>Diplôme ISF</v>
      </c>
      <c r="D115" s="81" t="str">
        <f>IF(Répartition!$D111="","",Répartition!$D111)</f>
        <v>Thème</v>
      </c>
      <c r="E115" s="149">
        <f>VLOOKUP(C115&amp;D115,code,2,0)</f>
        <v>94</v>
      </c>
      <c r="F115" s="199" t="str">
        <f>IF(Répartition!$B111="","",Répartition!$B111)</f>
        <v>ISF</v>
      </c>
      <c r="G115" s="82" t="str">
        <f>IF(Répartition!$E111="","",Répartition!$E111)</f>
        <v>Diplôme ISF</v>
      </c>
      <c r="H115" s="81" t="str">
        <f>IF(Répartition!$F111="","",Répartition!$F111)</f>
        <v>Thème</v>
      </c>
      <c r="I115" s="149">
        <f>VLOOKUP(G115&amp;H115,code,2,0)</f>
        <v>94</v>
      </c>
      <c r="J115" s="199" t="str">
        <f>IF(Répartition!$B111="","",Répartition!$B111)</f>
        <v>ISF</v>
      </c>
      <c r="K115" s="82" t="str">
        <f>IF(Répartition!$G111="","",Répartition!$G111)</f>
        <v>Diplôme ISF</v>
      </c>
      <c r="L115" s="81" t="str">
        <f>IF(Répartition!$H111="","",Répartition!$H111)</f>
        <v>Thème</v>
      </c>
      <c r="M115" s="149">
        <f>VLOOKUP(K115&amp;L115,code,2,0)</f>
        <v>94</v>
      </c>
      <c r="N115" s="199" t="str">
        <f>IF(Répartition!$B111="","",Répartition!$B111)</f>
        <v>ISF</v>
      </c>
      <c r="O115" s="82" t="str">
        <f>IF(Répartition!$I111="","",Répartition!$I111)</f>
        <v>Diplôme ISF</v>
      </c>
      <c r="P115" s="81" t="str">
        <f>IF(Répartition!$J111="","",Répartition!$J111)</f>
        <v>Thème</v>
      </c>
      <c r="Q115" s="149">
        <f>VLOOKUP(O115&amp;P115,code,2,0)</f>
        <v>94</v>
      </c>
      <c r="S115" s="45" t="s">
        <v>14</v>
      </c>
      <c r="T115" s="137" t="s">
        <v>81</v>
      </c>
      <c r="U115" s="136" t="s">
        <v>29</v>
      </c>
      <c r="V115" s="43" t="str">
        <f t="shared" si="1"/>
        <v>Diplôme FDTThème</v>
      </c>
      <c r="W115" s="197">
        <v>102</v>
      </c>
      <c r="X115" s="64"/>
    </row>
    <row r="116" spans="1:24" s="25" customFormat="1" ht="15" customHeight="1" x14ac:dyDescent="0.25">
      <c r="A116" s="63">
        <v>12</v>
      </c>
      <c r="B116" s="199" t="str">
        <f>IF(Répartition!$B115="","",Répartition!$B115)</f>
        <v>ISF</v>
      </c>
      <c r="C116" s="82" t="str">
        <f>IF(Répartition!$C115="","",Répartition!$C115)</f>
        <v>Diplôme ISF</v>
      </c>
      <c r="D116" s="81" t="str">
        <f>IF(Répartition!$D115="","",Répartition!$D115)</f>
        <v>Thème</v>
      </c>
      <c r="E116" s="149">
        <f>VLOOKUP(C116&amp;D116,code,2,0)</f>
        <v>94</v>
      </c>
      <c r="F116" s="199" t="str">
        <f>IF(Répartition!$B115="","",Répartition!$B115)</f>
        <v>ISF</v>
      </c>
      <c r="G116" s="82" t="str">
        <f>IF(Répartition!$E115="","",Répartition!$E115)</f>
        <v>Diplôme ISF</v>
      </c>
      <c r="H116" s="81" t="str">
        <f>IF(Répartition!$F115="","",Répartition!$F115)</f>
        <v>Thème</v>
      </c>
      <c r="I116" s="149">
        <f>VLOOKUP(G116&amp;H116,code,2,0)</f>
        <v>94</v>
      </c>
      <c r="J116" s="199" t="str">
        <f>IF(Répartition!$B115="","",Répartition!$B115)</f>
        <v>ISF</v>
      </c>
      <c r="K116" s="82" t="str">
        <f>IF(Répartition!$G115="","",Répartition!$G115)</f>
        <v>Diplôme ISF</v>
      </c>
      <c r="L116" s="81" t="str">
        <f>IF(Répartition!$H115="","",Répartition!$H115)</f>
        <v>Thème</v>
      </c>
      <c r="M116" s="149">
        <f>VLOOKUP(K116&amp;L116,code,2,0)</f>
        <v>94</v>
      </c>
      <c r="N116" s="199" t="str">
        <f>IF(Répartition!$B115="","",Répartition!$B115)</f>
        <v>ISF</v>
      </c>
      <c r="O116" s="82" t="str">
        <f>IF(Répartition!$I115="","",Répartition!$I115)</f>
        <v>Diplôme ISF</v>
      </c>
      <c r="P116" s="81" t="str">
        <f>IF(Répartition!$J115="","",Répartition!$J115)</f>
        <v>Thème</v>
      </c>
      <c r="Q116" s="149">
        <f>VLOOKUP(O116&amp;P116,code,2,0)</f>
        <v>94</v>
      </c>
      <c r="S116" s="131" t="s">
        <v>48</v>
      </c>
      <c r="T116" s="137" t="s">
        <v>102</v>
      </c>
      <c r="U116" s="136" t="s">
        <v>29</v>
      </c>
      <c r="V116" s="43" t="str">
        <f t="shared" ref="V116:V135" si="2">T116&amp;U116</f>
        <v>Diplôme U.R 06Thème</v>
      </c>
      <c r="W116" s="197">
        <v>103</v>
      </c>
      <c r="X116" s="64"/>
    </row>
    <row r="117" spans="1:24" s="25" customFormat="1" ht="15" customHeight="1" x14ac:dyDescent="0.25">
      <c r="A117" s="1">
        <v>13</v>
      </c>
      <c r="B117" s="199" t="str">
        <f>IF(Répartition!$B119="","",Répartition!$B119)</f>
        <v>ISF</v>
      </c>
      <c r="C117" s="82" t="str">
        <f>IF(Répartition!$C119="","",Répartition!$C119)</f>
        <v>Diplôme ISF</v>
      </c>
      <c r="D117" s="81" t="str">
        <f>IF(Répartition!$D119="","",Répartition!$D119)</f>
        <v>Thème</v>
      </c>
      <c r="E117" s="149">
        <f>VLOOKUP(C117&amp;D117,code,2,0)</f>
        <v>94</v>
      </c>
      <c r="F117" s="199" t="str">
        <f>IF(Répartition!$B119="","",Répartition!$B119)</f>
        <v>ISF</v>
      </c>
      <c r="G117" s="82" t="str">
        <f>IF(Répartition!$E119="","",Répartition!$E119)</f>
        <v>Diplôme ISF</v>
      </c>
      <c r="H117" s="81" t="str">
        <f>IF(Répartition!$F119="","",Répartition!$F119)</f>
        <v>Thème</v>
      </c>
      <c r="I117" s="149">
        <f>VLOOKUP(G117&amp;H117,code,2,0)</f>
        <v>94</v>
      </c>
      <c r="J117" s="199" t="str">
        <f>IF(Répartition!$B119="","",Répartition!$B119)</f>
        <v>ISF</v>
      </c>
      <c r="K117" s="82" t="str">
        <f>IF(Répartition!$G119="","",Répartition!$G119)</f>
        <v>Diplôme ISF</v>
      </c>
      <c r="L117" s="81" t="str">
        <f>IF(Répartition!$H119="","",Répartition!$H119)</f>
        <v>Thème</v>
      </c>
      <c r="M117" s="149">
        <f>VLOOKUP(K117&amp;L117,code,2,0)</f>
        <v>94</v>
      </c>
      <c r="N117" s="199" t="str">
        <f>IF(Répartition!$B119="","",Répartition!$B119)</f>
        <v>ISF</v>
      </c>
      <c r="O117" s="82" t="str">
        <f>IF(Répartition!$I119="","",Répartition!$I119)</f>
        <v>Diplôme ISF</v>
      </c>
      <c r="P117" s="81" t="str">
        <f>IF(Répartition!$J119="","",Répartition!$J119)</f>
        <v>Thème</v>
      </c>
      <c r="Q117" s="149">
        <f>VLOOKUP(O117&amp;P117,code,2,0)</f>
        <v>94</v>
      </c>
      <c r="S117" s="131" t="s">
        <v>48</v>
      </c>
      <c r="T117" s="137" t="s">
        <v>102</v>
      </c>
      <c r="U117" s="136" t="s">
        <v>28</v>
      </c>
      <c r="V117" s="43" t="str">
        <f t="shared" si="2"/>
        <v>Diplôme U.R 06Monochrome</v>
      </c>
      <c r="W117" s="197">
        <v>104</v>
      </c>
      <c r="X117" s="66"/>
    </row>
    <row r="118" spans="1:24" s="25" customFormat="1" ht="15" customHeight="1" x14ac:dyDescent="0.25">
      <c r="A118" s="1">
        <v>14</v>
      </c>
      <c r="B118" s="199" t="str">
        <f>IF(Répartition!$B91="","",Répartition!$B91)</f>
        <v>FPF</v>
      </c>
      <c r="C118" s="82" t="str">
        <f>IF(Répartition!$C91="","",Répartition!$C91)</f>
        <v>Diplôme FPF</v>
      </c>
      <c r="D118" s="81" t="str">
        <f>IF(Répartition!$D91="","",Répartition!$D91)</f>
        <v>Couleur</v>
      </c>
      <c r="E118" s="149">
        <f>VLOOKUP(C118&amp;D118,code,2,0)</f>
        <v>95</v>
      </c>
      <c r="F118" s="199" t="str">
        <f>IF(Répartition!$B91="","",Répartition!$B91)</f>
        <v>FPF</v>
      </c>
      <c r="G118" s="82" t="str">
        <f>IF(Répartition!$E91="","",Répartition!$E91)</f>
        <v>Diplôme FPF</v>
      </c>
      <c r="H118" s="81" t="str">
        <f>IF(Répartition!$F91="","",Répartition!$F91)</f>
        <v>Couleur</v>
      </c>
      <c r="I118" s="149">
        <f>VLOOKUP(G118&amp;H118,code,2,0)</f>
        <v>95</v>
      </c>
      <c r="J118" s="199" t="str">
        <f>IF(Répartition!$B91="","",Répartition!$B91)</f>
        <v>FPF</v>
      </c>
      <c r="K118" s="82" t="str">
        <f>IF(Répartition!$G91="","",Répartition!$G91)</f>
        <v>Diplôme FPF</v>
      </c>
      <c r="L118" s="81" t="str">
        <f>IF(Répartition!$H91="","",Répartition!$H91)</f>
        <v>Couleur</v>
      </c>
      <c r="M118" s="149">
        <f>VLOOKUP(K118&amp;L118,code,2,0)</f>
        <v>95</v>
      </c>
      <c r="N118" s="199" t="str">
        <f>IF(Répartition!$B91="","",Répartition!$B91)</f>
        <v>FPF</v>
      </c>
      <c r="O118" s="82" t="str">
        <f>IF(Répartition!$I91="","",Répartition!$I91)</f>
        <v>Diplôme FPF</v>
      </c>
      <c r="P118" s="81" t="str">
        <f>IF(Répartition!$J91="","",Répartition!$J91)</f>
        <v>Couleur</v>
      </c>
      <c r="Q118" s="149">
        <f>VLOOKUP(O118&amp;P118,code,2,0)</f>
        <v>95</v>
      </c>
      <c r="S118" s="131" t="s">
        <v>48</v>
      </c>
      <c r="T118" s="137" t="s">
        <v>102</v>
      </c>
      <c r="U118" s="136" t="s">
        <v>24</v>
      </c>
      <c r="V118" s="43" t="str">
        <f t="shared" si="2"/>
        <v>Diplôme U.R 06Couleur</v>
      </c>
      <c r="W118" s="197">
        <v>105</v>
      </c>
      <c r="X118" s="10"/>
    </row>
    <row r="119" spans="1:24" s="25" customFormat="1" ht="15" customHeight="1" x14ac:dyDescent="0.25">
      <c r="A119" s="63">
        <v>15</v>
      </c>
      <c r="B119" s="199" t="str">
        <f>IF(Répartition!$B95="","",Répartition!$B95)</f>
        <v>FPF</v>
      </c>
      <c r="C119" s="82" t="str">
        <f>IF(Répartition!$C95="","",Répartition!$C95)</f>
        <v>Diplôme FPF</v>
      </c>
      <c r="D119" s="81" t="str">
        <f>IF(Répartition!$D95="","",Répartition!$D95)</f>
        <v>Couleur</v>
      </c>
      <c r="E119" s="149">
        <f>VLOOKUP(C119&amp;D119,code,2,0)</f>
        <v>95</v>
      </c>
      <c r="F119" s="199" t="str">
        <f>IF(Répartition!$B95="","",Répartition!$B95)</f>
        <v>FPF</v>
      </c>
      <c r="G119" s="82" t="str">
        <f>IF(Répartition!$E95="","",Répartition!$E95)</f>
        <v>Diplôme FPF</v>
      </c>
      <c r="H119" s="81" t="str">
        <f>IF(Répartition!$F95="","",Répartition!$F95)</f>
        <v>Couleur</v>
      </c>
      <c r="I119" s="149">
        <f>VLOOKUP(G119&amp;H119,code,2,0)</f>
        <v>95</v>
      </c>
      <c r="J119" s="199" t="str">
        <f>IF(Répartition!$B95="","",Répartition!$B95)</f>
        <v>FPF</v>
      </c>
      <c r="K119" s="82" t="str">
        <f>IF(Répartition!$G95="","",Répartition!$G95)</f>
        <v>Diplôme FPF</v>
      </c>
      <c r="L119" s="81" t="str">
        <f>IF(Répartition!$H95="","",Répartition!$H95)</f>
        <v>Couleur</v>
      </c>
      <c r="M119" s="149">
        <f>VLOOKUP(K119&amp;L119,code,2,0)</f>
        <v>95</v>
      </c>
      <c r="N119" s="199" t="str">
        <f>IF(Répartition!$B95="","",Répartition!$B95)</f>
        <v>FPF</v>
      </c>
      <c r="O119" s="82" t="str">
        <f>IF(Répartition!$I95="","",Répartition!$I95)</f>
        <v>Diplôme FPF</v>
      </c>
      <c r="P119" s="81" t="str">
        <f>IF(Répartition!$J95="","",Répartition!$J95)</f>
        <v>Couleur</v>
      </c>
      <c r="Q119" s="149">
        <f>VLOOKUP(O119&amp;P119,code,2,0)</f>
        <v>95</v>
      </c>
      <c r="S119" s="131" t="s">
        <v>48</v>
      </c>
      <c r="T119" s="137" t="s">
        <v>102</v>
      </c>
      <c r="U119" s="136" t="s">
        <v>27</v>
      </c>
      <c r="V119" s="43" t="str">
        <f t="shared" si="2"/>
        <v>Diplôme U.R 06Nature</v>
      </c>
      <c r="W119" s="197">
        <v>106</v>
      </c>
      <c r="X119" s="10"/>
    </row>
    <row r="120" spans="1:24" s="25" customFormat="1" ht="15" customHeight="1" x14ac:dyDescent="0.25">
      <c r="A120" s="1">
        <v>1</v>
      </c>
      <c r="B120" s="199" t="str">
        <f>IF(Répartition!$B99="","",Répartition!$B99)</f>
        <v>FPF</v>
      </c>
      <c r="C120" s="82" t="str">
        <f>IF(Répartition!$C99="","",Répartition!$C99)</f>
        <v>Diplôme FPF</v>
      </c>
      <c r="D120" s="81" t="str">
        <f>IF(Répartition!$D99="","",Répartition!$D99)</f>
        <v>Couleur</v>
      </c>
      <c r="E120" s="149">
        <f>VLOOKUP(C120&amp;D120,code,2,0)</f>
        <v>95</v>
      </c>
      <c r="F120" s="199" t="str">
        <f>IF(Répartition!$B99="","",Répartition!$B99)</f>
        <v>FPF</v>
      </c>
      <c r="G120" s="82" t="str">
        <f>IF(Répartition!$E99="","",Répartition!$E99)</f>
        <v>Diplôme FPF</v>
      </c>
      <c r="H120" s="81" t="str">
        <f>IF(Répartition!$F99="","",Répartition!$F99)</f>
        <v>Couleur</v>
      </c>
      <c r="I120" s="149">
        <f>VLOOKUP(G120&amp;H120,code,2,0)</f>
        <v>95</v>
      </c>
      <c r="J120" s="199" t="str">
        <f>IF(Répartition!$B99="","",Répartition!$B99)</f>
        <v>FPF</v>
      </c>
      <c r="K120" s="82" t="str">
        <f>IF(Répartition!$G99="","",Répartition!$G99)</f>
        <v>Diplôme FPF</v>
      </c>
      <c r="L120" s="81" t="str">
        <f>IF(Répartition!$H99="","",Répartition!$H99)</f>
        <v>Couleur</v>
      </c>
      <c r="M120" s="149">
        <f>VLOOKUP(K120&amp;L120,code,2,0)</f>
        <v>95</v>
      </c>
      <c r="N120" s="199" t="str">
        <f>IF(Répartition!$B99="","",Répartition!$B99)</f>
        <v>FPF</v>
      </c>
      <c r="O120" s="82" t="str">
        <f>IF(Répartition!$I99="","",Répartition!$I99)</f>
        <v>Diplôme FPF</v>
      </c>
      <c r="P120" s="81" t="str">
        <f>IF(Répartition!$J99="","",Répartition!$J99)</f>
        <v>Couleur</v>
      </c>
      <c r="Q120" s="149">
        <f>VLOOKUP(O120&amp;P120,code,2,0)</f>
        <v>95</v>
      </c>
      <c r="S120" s="131" t="s">
        <v>48</v>
      </c>
      <c r="T120" s="137" t="s">
        <v>49</v>
      </c>
      <c r="U120" s="136" t="s">
        <v>24</v>
      </c>
      <c r="V120" s="43" t="str">
        <f t="shared" si="2"/>
        <v>Médaille Région Pays de la LoireCouleur</v>
      </c>
      <c r="W120" s="197">
        <v>107</v>
      </c>
      <c r="X120" s="10"/>
    </row>
    <row r="121" spans="1:24" s="25" customFormat="1" ht="15" customHeight="1" x14ac:dyDescent="0.25">
      <c r="A121" s="63">
        <v>2</v>
      </c>
      <c r="B121" s="199" t="str">
        <f>IF(Répartition!$B103="","",Répartition!$B103)</f>
        <v>FPF</v>
      </c>
      <c r="C121" s="82" t="str">
        <f>IF(Répartition!$C103="","",Répartition!$C103)</f>
        <v>Diplôme FPF</v>
      </c>
      <c r="D121" s="81" t="str">
        <f>IF(Répartition!$D103="","",Répartition!$D103)</f>
        <v>Couleur</v>
      </c>
      <c r="E121" s="149">
        <f>VLOOKUP(C121&amp;D121,code,2,0)</f>
        <v>95</v>
      </c>
      <c r="F121" s="199" t="str">
        <f>IF(Répartition!$B92="","",Répartition!$B92)</f>
        <v>FPF</v>
      </c>
      <c r="G121" s="82" t="str">
        <f>IF(Répartition!$E92="","",Répartition!$E92)</f>
        <v>Diplôme FPF</v>
      </c>
      <c r="H121" s="81" t="str">
        <f>IF(Répartition!$F92="","",Répartition!$F92)</f>
        <v>Nature</v>
      </c>
      <c r="I121" s="149">
        <f>VLOOKUP(G121&amp;H121,code,2,0)</f>
        <v>96</v>
      </c>
      <c r="J121" s="199" t="str">
        <f>IF(Répartition!$B92="","",Répartition!$B92)</f>
        <v>FPF</v>
      </c>
      <c r="K121" s="82" t="str">
        <f>IF(Répartition!$G92="","",Répartition!$G92)</f>
        <v>Diplôme FPF</v>
      </c>
      <c r="L121" s="81" t="str">
        <f>IF(Répartition!$H92="","",Répartition!$H92)</f>
        <v>Nature</v>
      </c>
      <c r="M121" s="149">
        <f>VLOOKUP(K121&amp;L121,code,2,0)</f>
        <v>96</v>
      </c>
      <c r="N121" s="199" t="str">
        <f>IF(Répartition!$B104="","",Répartition!$B104)</f>
        <v>FPF</v>
      </c>
      <c r="O121" s="82" t="str">
        <f>IF(Répartition!$I104="","",Répartition!$I104)</f>
        <v>Diplôme FPF</v>
      </c>
      <c r="P121" s="81" t="str">
        <f>IF(Répartition!$J104="","",Répartition!$J104)</f>
        <v>Couleur</v>
      </c>
      <c r="Q121" s="149">
        <f>VLOOKUP(O121&amp;P121,code,2,0)</f>
        <v>95</v>
      </c>
      <c r="S121" s="131" t="s">
        <v>48</v>
      </c>
      <c r="T121" s="137" t="s">
        <v>51</v>
      </c>
      <c r="U121" s="136" t="s">
        <v>27</v>
      </c>
      <c r="V121" s="43" t="str">
        <f t="shared" si="2"/>
        <v>Médaille Crédit Mutuel LegéNature</v>
      </c>
      <c r="W121" s="197">
        <v>108</v>
      </c>
      <c r="X121" s="10"/>
    </row>
    <row r="122" spans="1:24" s="25" customFormat="1" ht="15" customHeight="1" x14ac:dyDescent="0.25">
      <c r="A122" s="1">
        <v>3</v>
      </c>
      <c r="B122" s="199" t="str">
        <f>IF(Répartition!$B92="","",Répartition!$B92)</f>
        <v>FPF</v>
      </c>
      <c r="C122" s="82" t="str">
        <f>IF(Répartition!$C92="","",Répartition!$C92)</f>
        <v>Diplôme FPF</v>
      </c>
      <c r="D122" s="81" t="str">
        <f>IF(Répartition!$D92="","",Répartition!$D92)</f>
        <v>Nature</v>
      </c>
      <c r="E122" s="149">
        <f>VLOOKUP(C122&amp;D122,code,2,0)</f>
        <v>96</v>
      </c>
      <c r="F122" s="199" t="str">
        <f>IF(Répartition!$B96="","",Répartition!$B96)</f>
        <v>FPF</v>
      </c>
      <c r="G122" s="82" t="str">
        <f>IF(Répartition!$E96="","",Répartition!$E96)</f>
        <v>Diplôme FPF</v>
      </c>
      <c r="H122" s="81" t="str">
        <f>IF(Répartition!$F96="","",Répartition!$F96)</f>
        <v>Nature</v>
      </c>
      <c r="I122" s="149">
        <f>VLOOKUP(G122&amp;H122,code,2,0)</f>
        <v>96</v>
      </c>
      <c r="J122" s="199" t="str">
        <f>IF(Répartition!$B96="","",Répartition!$B96)</f>
        <v>FPF</v>
      </c>
      <c r="K122" s="82" t="str">
        <f>IF(Répartition!$G96="","",Répartition!$G96)</f>
        <v>Diplôme FPF</v>
      </c>
      <c r="L122" s="81" t="str">
        <f>IF(Répartition!$H96="","",Répartition!$H96)</f>
        <v>Nature</v>
      </c>
      <c r="M122" s="149">
        <f>VLOOKUP(K122&amp;L122,code,2,0)</f>
        <v>96</v>
      </c>
      <c r="N122" s="199" t="str">
        <f>IF(Répartition!$B92="","",Répartition!$B92)</f>
        <v>FPF</v>
      </c>
      <c r="O122" s="82" t="str">
        <f>IF(Répartition!$I92="","",Répartition!$I92)</f>
        <v>Diplôme FPF</v>
      </c>
      <c r="P122" s="81" t="str">
        <f>IF(Répartition!$J92="","",Répartition!$J92)</f>
        <v>Nature</v>
      </c>
      <c r="Q122" s="149">
        <f>VLOOKUP(O122&amp;P122,code,2,0)</f>
        <v>96</v>
      </c>
      <c r="S122" s="131" t="s">
        <v>48</v>
      </c>
      <c r="T122" s="137" t="s">
        <v>50</v>
      </c>
      <c r="U122" s="136" t="s">
        <v>28</v>
      </c>
      <c r="V122" s="43" t="str">
        <f t="shared" si="2"/>
        <v>Médaille de la Ville de LegéMonochrome</v>
      </c>
      <c r="W122" s="197">
        <v>109</v>
      </c>
      <c r="X122" s="10"/>
    </row>
    <row r="123" spans="1:24" s="64" customFormat="1" ht="15" x14ac:dyDescent="0.25">
      <c r="A123" s="1">
        <v>4</v>
      </c>
      <c r="B123" s="199" t="str">
        <f>IF(Répartition!$B96="","",Répartition!$B96)</f>
        <v>FPF</v>
      </c>
      <c r="C123" s="82" t="str">
        <f>IF(Répartition!$C96="","",Répartition!$C96)</f>
        <v>Diplôme FPF</v>
      </c>
      <c r="D123" s="81" t="str">
        <f>IF(Répartition!$D96="","",Répartition!$D96)</f>
        <v>Nature</v>
      </c>
      <c r="E123" s="149">
        <f>VLOOKUP(C123&amp;D123,code,2,0)</f>
        <v>96</v>
      </c>
      <c r="F123" s="199" t="str">
        <f>IF(Répartition!$B100="","",Répartition!$B100)</f>
        <v>FPF</v>
      </c>
      <c r="G123" s="82" t="str">
        <f>IF(Répartition!$E100="","",Répartition!$E100)</f>
        <v>Diplôme FPF</v>
      </c>
      <c r="H123" s="81" t="str">
        <f>IF(Répartition!$F100="","",Répartition!$F100)</f>
        <v>Nature</v>
      </c>
      <c r="I123" s="149">
        <f>VLOOKUP(G123&amp;H123,code,2,0)</f>
        <v>96</v>
      </c>
      <c r="J123" s="199" t="str">
        <f>IF(Répartition!$B100="","",Répartition!$B100)</f>
        <v>FPF</v>
      </c>
      <c r="K123" s="82" t="str">
        <f>IF(Répartition!$G100="","",Répartition!$G100)</f>
        <v>Diplôme FPF</v>
      </c>
      <c r="L123" s="81" t="str">
        <f>IF(Répartition!$H100="","",Répartition!$H100)</f>
        <v>Nature</v>
      </c>
      <c r="M123" s="149">
        <f>VLOOKUP(K123&amp;L123,code,2,0)</f>
        <v>96</v>
      </c>
      <c r="N123" s="199" t="str">
        <f>IF(Répartition!$B96="","",Répartition!$B96)</f>
        <v>FPF</v>
      </c>
      <c r="O123" s="82" t="str">
        <f>IF(Répartition!$I96="","",Répartition!$I96)</f>
        <v>Diplôme FPF</v>
      </c>
      <c r="P123" s="81" t="str">
        <f>IF(Répartition!$J96="","",Répartition!$J96)</f>
        <v>Nature</v>
      </c>
      <c r="Q123" s="149">
        <f>VLOOKUP(O123&amp;P123,code,2,0)</f>
        <v>96</v>
      </c>
      <c r="S123" s="131" t="s">
        <v>48</v>
      </c>
      <c r="T123" s="137" t="s">
        <v>50</v>
      </c>
      <c r="U123" s="136" t="s">
        <v>29</v>
      </c>
      <c r="V123" s="43" t="str">
        <f t="shared" si="2"/>
        <v>Médaille de la Ville de LegéThème</v>
      </c>
      <c r="W123" s="197">
        <v>110</v>
      </c>
      <c r="X123" s="10"/>
    </row>
    <row r="124" spans="1:24" s="64" customFormat="1" ht="15" x14ac:dyDescent="0.25">
      <c r="A124" s="63">
        <v>5</v>
      </c>
      <c r="B124" s="199" t="str">
        <f>IF(Répartition!$B100="","",Répartition!$B100)</f>
        <v>FPF</v>
      </c>
      <c r="C124" s="82" t="str">
        <f>IF(Répartition!$C100="","",Répartition!$C100)</f>
        <v>Diplôme FPF</v>
      </c>
      <c r="D124" s="81" t="str">
        <f>IF(Répartition!$D100="","",Répartition!$D100)</f>
        <v>Nature</v>
      </c>
      <c r="E124" s="149">
        <f>VLOOKUP(C124&amp;D124,code,2,0)</f>
        <v>96</v>
      </c>
      <c r="F124" s="199" t="str">
        <f>IF(Répartition!$B103="","",Répartition!$B103)</f>
        <v>FPF</v>
      </c>
      <c r="G124" s="82" t="str">
        <f>IF(Répartition!$E103="","",Répartition!$E103)</f>
        <v>Diplôme FPF</v>
      </c>
      <c r="H124" s="81" t="str">
        <f>IF(Répartition!$F103="","",Répartition!$F103)</f>
        <v>Nature</v>
      </c>
      <c r="I124" s="149">
        <f>VLOOKUP(G124&amp;H124,code,2,0)</f>
        <v>96</v>
      </c>
      <c r="J124" s="199" t="str">
        <f>IF(Répartition!$B93="","",Répartition!$B93)</f>
        <v>FPF</v>
      </c>
      <c r="K124" s="82" t="str">
        <f>IF(Répartition!$G93="","",Répartition!$G93)</f>
        <v>Diplôme FPF</v>
      </c>
      <c r="L124" s="81" t="str">
        <f>IF(Répartition!$H93="","",Répartition!$H93)</f>
        <v>Monochrome</v>
      </c>
      <c r="M124" s="149">
        <f>VLOOKUP(K124&amp;L124,code,2,0)</f>
        <v>97</v>
      </c>
      <c r="N124" s="199" t="str">
        <f>IF(Répartition!$B100="","",Répartition!$B100)</f>
        <v>FPF</v>
      </c>
      <c r="O124" s="82" t="str">
        <f>IF(Répartition!$I100="","",Répartition!$I100)</f>
        <v>Diplôme FPF</v>
      </c>
      <c r="P124" s="81" t="str">
        <f>IF(Répartition!$J100="","",Répartition!$J100)</f>
        <v>Nature</v>
      </c>
      <c r="Q124" s="149">
        <f>VLOOKUP(O124&amp;P124,code,2,0)</f>
        <v>96</v>
      </c>
      <c r="S124" s="131" t="s">
        <v>48</v>
      </c>
      <c r="T124" s="137" t="s">
        <v>113</v>
      </c>
      <c r="U124" s="136" t="s">
        <v>24</v>
      </c>
      <c r="V124" s="43" t="str">
        <f t="shared" si="2"/>
        <v>Médaille du Conseil Régional Basse NormandieCouleur</v>
      </c>
      <c r="W124" s="197">
        <v>111</v>
      </c>
      <c r="X124" s="10"/>
    </row>
    <row r="125" spans="1:24" s="64" customFormat="1" ht="15" x14ac:dyDescent="0.25">
      <c r="A125" s="1">
        <v>6</v>
      </c>
      <c r="B125" s="199" t="str">
        <f>IF(Répartition!$B104="","",Répartition!$B104)</f>
        <v>FPF</v>
      </c>
      <c r="C125" s="82" t="str">
        <f>IF(Répartition!$C104="","",Répartition!$C104)</f>
        <v>Diplôme FPF</v>
      </c>
      <c r="D125" s="81" t="str">
        <f>IF(Répartition!$D104="","",Répartition!$D104)</f>
        <v>Nature</v>
      </c>
      <c r="E125" s="149">
        <f>VLOOKUP(C125&amp;D125,code,2,0)</f>
        <v>96</v>
      </c>
      <c r="F125" s="199" t="str">
        <f>IF(Répartition!$B93="","",Répartition!$B93)</f>
        <v>FPF</v>
      </c>
      <c r="G125" s="82" t="str">
        <f>IF(Répartition!$E93="","",Répartition!$E93)</f>
        <v>Diplôme FPF</v>
      </c>
      <c r="H125" s="81" t="str">
        <f>IF(Répartition!$F93="","",Répartition!$F93)</f>
        <v>Monochrome</v>
      </c>
      <c r="I125" s="149">
        <f>VLOOKUP(G125&amp;H125,code,2,0)</f>
        <v>97</v>
      </c>
      <c r="J125" s="199" t="str">
        <f>IF(Répartition!$B97="","",Répartition!$B97)</f>
        <v>FPF</v>
      </c>
      <c r="K125" s="82" t="str">
        <f>IF(Répartition!$G97="","",Répartition!$G97)</f>
        <v>Diplôme FPF</v>
      </c>
      <c r="L125" s="81" t="str">
        <f>IF(Répartition!$H97="","",Répartition!$H97)</f>
        <v>Monochrome</v>
      </c>
      <c r="M125" s="149">
        <f>VLOOKUP(K125&amp;L125,code,2,0)</f>
        <v>97</v>
      </c>
      <c r="N125" s="199" t="str">
        <f>IF(Répartition!$B93="","",Répartition!$B93)</f>
        <v>FPF</v>
      </c>
      <c r="O125" s="82" t="str">
        <f>IF(Répartition!$I93="","",Répartition!$I93)</f>
        <v>Diplôme FPF</v>
      </c>
      <c r="P125" s="81" t="str">
        <f>IF(Répartition!$J93="","",Répartition!$J93)</f>
        <v>Monochrome</v>
      </c>
      <c r="Q125" s="149">
        <f>VLOOKUP(O125&amp;P125,code,2,0)</f>
        <v>97</v>
      </c>
      <c r="S125" s="131" t="s">
        <v>48</v>
      </c>
      <c r="T125" s="137" t="s">
        <v>113</v>
      </c>
      <c r="U125" s="136" t="s">
        <v>27</v>
      </c>
      <c r="V125" s="43" t="str">
        <f t="shared" si="2"/>
        <v>Médaille du Conseil Régional Basse NormandieNature</v>
      </c>
      <c r="W125" s="197">
        <v>112</v>
      </c>
      <c r="X125" s="10"/>
    </row>
    <row r="126" spans="1:24" s="64" customFormat="1" ht="15" x14ac:dyDescent="0.25">
      <c r="A126" s="1">
        <v>7</v>
      </c>
      <c r="B126" s="199" t="str">
        <f>IF(Répartition!$B93="","",Répartition!$B93)</f>
        <v>FPF</v>
      </c>
      <c r="C126" s="82" t="str">
        <f>IF(Répartition!$C93="","",Répartition!$C93)</f>
        <v>Diplôme FPF</v>
      </c>
      <c r="D126" s="81" t="str">
        <f>IF(Répartition!$D93="","",Répartition!$D93)</f>
        <v>Monochrome</v>
      </c>
      <c r="E126" s="149">
        <f>VLOOKUP(C126&amp;D126,code,2,0)</f>
        <v>97</v>
      </c>
      <c r="F126" s="199" t="str">
        <f>IF(Répartition!$B97="","",Répartition!$B97)</f>
        <v>FPF</v>
      </c>
      <c r="G126" s="82" t="str">
        <f>IF(Répartition!$E97="","",Répartition!$E97)</f>
        <v>Diplôme FPF</v>
      </c>
      <c r="H126" s="81" t="str">
        <f>IF(Répartition!$F97="","",Répartition!$F97)</f>
        <v>Monochrome</v>
      </c>
      <c r="I126" s="149">
        <f>VLOOKUP(G126&amp;H126,code,2,0)</f>
        <v>97</v>
      </c>
      <c r="J126" s="199" t="str">
        <f>IF(Répartition!$B101="","",Répartition!$B101)</f>
        <v>FPF</v>
      </c>
      <c r="K126" s="82" t="str">
        <f>IF(Répartition!$G101="","",Répartition!$G101)</f>
        <v>Diplôme FPF</v>
      </c>
      <c r="L126" s="81" t="str">
        <f>IF(Répartition!$H101="","",Répartition!$H101)</f>
        <v>Monochrome</v>
      </c>
      <c r="M126" s="149">
        <f>VLOOKUP(K126&amp;L126,code,2,0)</f>
        <v>97</v>
      </c>
      <c r="N126" s="199" t="str">
        <f>IF(Répartition!$B97="","",Répartition!$B97)</f>
        <v>FPF</v>
      </c>
      <c r="O126" s="82" t="str">
        <f>IF(Répartition!$I97="","",Répartition!$I97)</f>
        <v>Diplôme FPF</v>
      </c>
      <c r="P126" s="81" t="str">
        <f>IF(Répartition!$J97="","",Répartition!$J97)</f>
        <v>Monochrome</v>
      </c>
      <c r="Q126" s="149">
        <f>VLOOKUP(O126&amp;P126,code,2,0)</f>
        <v>97</v>
      </c>
      <c r="S126" s="131" t="s">
        <v>48</v>
      </c>
      <c r="T126" s="137" t="s">
        <v>113</v>
      </c>
      <c r="U126" s="136" t="s">
        <v>28</v>
      </c>
      <c r="V126" s="43" t="str">
        <f t="shared" si="2"/>
        <v>Médaille du Conseil Régional Basse NormandieMonochrome</v>
      </c>
      <c r="W126" s="197">
        <v>113</v>
      </c>
      <c r="X126" s="10"/>
    </row>
    <row r="127" spans="1:24" s="64" customFormat="1" ht="15" x14ac:dyDescent="0.25">
      <c r="A127" s="63">
        <v>8</v>
      </c>
      <c r="B127" s="199" t="str">
        <f>IF(Répartition!$B97="","",Répartition!$B97)</f>
        <v>FPF</v>
      </c>
      <c r="C127" s="82" t="str">
        <f>IF(Répartition!$C97="","",Répartition!$C97)</f>
        <v>Diplôme FPF</v>
      </c>
      <c r="D127" s="81" t="str">
        <f>IF(Répartition!$D97="","",Répartition!$D97)</f>
        <v>Monochrome</v>
      </c>
      <c r="E127" s="149">
        <f>VLOOKUP(C127&amp;D127,code,2,0)</f>
        <v>97</v>
      </c>
      <c r="F127" s="199" t="str">
        <f>IF(Répartition!$B101="","",Répartition!$B101)</f>
        <v>FPF</v>
      </c>
      <c r="G127" s="82" t="str">
        <f>IF(Répartition!$E101="","",Répartition!$E101)</f>
        <v>Diplôme FPF</v>
      </c>
      <c r="H127" s="81" t="str">
        <f>IF(Répartition!$F101="","",Répartition!$F101)</f>
        <v>Monochrome</v>
      </c>
      <c r="I127" s="149">
        <f>VLOOKUP(G127&amp;H127,code,2,0)</f>
        <v>97</v>
      </c>
      <c r="J127" s="199" t="str">
        <f>IF(Répartition!$B103="","",Répartition!$B103)</f>
        <v>FPF</v>
      </c>
      <c r="K127" s="82" t="str">
        <f>IF(Répartition!$G103="","",Répartition!$G103)</f>
        <v>Diplôme FPF</v>
      </c>
      <c r="L127" s="81" t="str">
        <f>IF(Répartition!$H103="","",Répartition!$H103)</f>
        <v>Monochrome</v>
      </c>
      <c r="M127" s="149">
        <f>VLOOKUP(K127&amp;L127,code,2,0)</f>
        <v>97</v>
      </c>
      <c r="N127" s="199" t="str">
        <f>IF(Répartition!$B101="","",Répartition!$B101)</f>
        <v>FPF</v>
      </c>
      <c r="O127" s="82" t="str">
        <f>IF(Répartition!$I101="","",Répartition!$I101)</f>
        <v>Diplôme FPF</v>
      </c>
      <c r="P127" s="81" t="str">
        <f>IF(Répartition!$J101="","",Répartition!$J101)</f>
        <v>Monochrome</v>
      </c>
      <c r="Q127" s="149">
        <f>VLOOKUP(O127&amp;P127,code,2,0)</f>
        <v>97</v>
      </c>
      <c r="S127" s="131" t="s">
        <v>48</v>
      </c>
      <c r="T127" s="137" t="s">
        <v>113</v>
      </c>
      <c r="U127" s="136" t="s">
        <v>29</v>
      </c>
      <c r="V127" s="43" t="str">
        <f t="shared" si="2"/>
        <v>Médaille du Conseil Régional Basse NormandieThème</v>
      </c>
      <c r="W127" s="197">
        <v>114</v>
      </c>
      <c r="X127" s="10"/>
    </row>
    <row r="128" spans="1:24" s="64" customFormat="1" ht="15" x14ac:dyDescent="0.25">
      <c r="A128" s="1">
        <v>9</v>
      </c>
      <c r="B128" s="199" t="str">
        <f>IF(Répartition!$B101="","",Répartition!$B101)</f>
        <v>FPF</v>
      </c>
      <c r="C128" s="82" t="str">
        <f>IF(Répartition!$C101="","",Répartition!$C101)</f>
        <v>Diplôme FPF</v>
      </c>
      <c r="D128" s="81" t="str">
        <f>IF(Répartition!$D101="","",Répartition!$D101)</f>
        <v>Monochrome</v>
      </c>
      <c r="E128" s="149">
        <f>VLOOKUP(C128&amp;D128,code,2,0)</f>
        <v>97</v>
      </c>
      <c r="F128" s="199" t="str">
        <f>IF(Répartition!$B104="","",Répartition!$B104)</f>
        <v>FPF</v>
      </c>
      <c r="G128" s="82" t="str">
        <f>IF(Répartition!$E104="","",Répartition!$E104)</f>
        <v>Diplôme FPF</v>
      </c>
      <c r="H128" s="81" t="str">
        <f>IF(Répartition!$F104="","",Répartition!$F104)</f>
        <v>Monochrome</v>
      </c>
      <c r="I128" s="149">
        <f>VLOOKUP(G128&amp;H128,code,2,0)</f>
        <v>97</v>
      </c>
      <c r="J128" s="199" t="str">
        <f>IF(Répartition!$B94="","",Répartition!$B94)</f>
        <v>FPF</v>
      </c>
      <c r="K128" s="82" t="str">
        <f>IF(Répartition!$G94="","",Répartition!$G94)</f>
        <v>Diplôme FPF</v>
      </c>
      <c r="L128" s="81" t="str">
        <f>IF(Répartition!$H94="","",Répartition!$H94)</f>
        <v>Thème</v>
      </c>
      <c r="M128" s="149">
        <f>VLOOKUP(K128&amp;L128,code,2,0)</f>
        <v>98</v>
      </c>
      <c r="N128" s="199" t="str">
        <f>IF(Répartition!$B94="","",Répartition!$B94)</f>
        <v>FPF</v>
      </c>
      <c r="O128" s="82" t="str">
        <f>IF(Répartition!$I94="","",Répartition!$I94)</f>
        <v>Diplôme FPF</v>
      </c>
      <c r="P128" s="81" t="str">
        <f>IF(Répartition!$J94="","",Répartition!$J94)</f>
        <v>Thème</v>
      </c>
      <c r="Q128" s="149">
        <f>VLOOKUP(O128&amp;P128,code,2,0)</f>
        <v>98</v>
      </c>
      <c r="S128" s="131" t="s">
        <v>48</v>
      </c>
      <c r="T128" s="137" t="s">
        <v>101</v>
      </c>
      <c r="U128" s="136" t="s">
        <v>24</v>
      </c>
      <c r="V128" s="43" t="str">
        <f t="shared" si="2"/>
        <v>Médaille de La GacilyCouleur</v>
      </c>
      <c r="W128" s="197">
        <v>115</v>
      </c>
      <c r="X128" s="10"/>
    </row>
    <row r="129" spans="1:24" s="64" customFormat="1" ht="15" x14ac:dyDescent="0.25">
      <c r="A129" s="1">
        <v>10</v>
      </c>
      <c r="B129" s="199" t="str">
        <f>IF(Répartition!$B94="","",Répartition!$B94)</f>
        <v>FPF</v>
      </c>
      <c r="C129" s="82" t="str">
        <f>IF(Répartition!$C94="","",Répartition!$C94)</f>
        <v>Diplôme FPF</v>
      </c>
      <c r="D129" s="81" t="str">
        <f>IF(Répartition!$D94="","",Répartition!$D94)</f>
        <v>Thème</v>
      </c>
      <c r="E129" s="149">
        <f>VLOOKUP(C129&amp;D129,code,2,0)</f>
        <v>98</v>
      </c>
      <c r="F129" s="199" t="str">
        <f>IF(Répartition!$B94="","",Répartition!$B94)</f>
        <v>FPF</v>
      </c>
      <c r="G129" s="82" t="str">
        <f>IF(Répartition!$E94="","",Répartition!$E94)</f>
        <v>Diplôme FPF</v>
      </c>
      <c r="H129" s="81" t="str">
        <f>IF(Répartition!$F94="","",Répartition!$F94)</f>
        <v>Thème</v>
      </c>
      <c r="I129" s="149">
        <f>VLOOKUP(G129&amp;H129,code,2,0)</f>
        <v>98</v>
      </c>
      <c r="J129" s="199" t="str">
        <f>IF(Répartition!$B98="","",Répartition!$B98)</f>
        <v>FPF</v>
      </c>
      <c r="K129" s="82" t="str">
        <f>IF(Répartition!$G98="","",Répartition!$G98)</f>
        <v>Diplôme FPF</v>
      </c>
      <c r="L129" s="81" t="str">
        <f>IF(Répartition!$H98="","",Répartition!$H98)</f>
        <v>Thème</v>
      </c>
      <c r="M129" s="149">
        <f>VLOOKUP(K129&amp;L129,code,2,0)</f>
        <v>98</v>
      </c>
      <c r="N129" s="199" t="str">
        <f>IF(Répartition!$B98="","",Répartition!$B98)</f>
        <v>FPF</v>
      </c>
      <c r="O129" s="82" t="str">
        <f>IF(Répartition!$I98="","",Répartition!$I98)</f>
        <v>Diplôme FPF</v>
      </c>
      <c r="P129" s="81" t="str">
        <f>IF(Répartition!$J98="","",Répartition!$J98)</f>
        <v>Thème</v>
      </c>
      <c r="Q129" s="149">
        <f>VLOOKUP(O129&amp;P129,code,2,0)</f>
        <v>98</v>
      </c>
      <c r="S129" s="131" t="s">
        <v>48</v>
      </c>
      <c r="T129" s="137" t="s">
        <v>101</v>
      </c>
      <c r="U129" s="136" t="s">
        <v>27</v>
      </c>
      <c r="V129" s="43" t="str">
        <f t="shared" si="2"/>
        <v>Médaille de La GacilyNature</v>
      </c>
      <c r="W129" s="197">
        <v>116</v>
      </c>
      <c r="X129" s="10"/>
    </row>
    <row r="130" spans="1:24" s="64" customFormat="1" ht="15" x14ac:dyDescent="0.25">
      <c r="A130" s="63">
        <v>11</v>
      </c>
      <c r="B130" s="199" t="str">
        <f>IF(Répartition!$B98="","",Répartition!$B98)</f>
        <v>FPF</v>
      </c>
      <c r="C130" s="82" t="str">
        <f>IF(Répartition!$C98="","",Répartition!$C98)</f>
        <v>Diplôme FPF</v>
      </c>
      <c r="D130" s="81" t="str">
        <f>IF(Répartition!$D98="","",Répartition!$D98)</f>
        <v>Thème</v>
      </c>
      <c r="E130" s="149">
        <f>VLOOKUP(C130&amp;D130,code,2,0)</f>
        <v>98</v>
      </c>
      <c r="F130" s="199" t="str">
        <f>IF(Répartition!$B98="","",Répartition!$B98)</f>
        <v>FPF</v>
      </c>
      <c r="G130" s="82" t="str">
        <f>IF(Répartition!$E98="","",Répartition!$E98)</f>
        <v>Diplôme FPF</v>
      </c>
      <c r="H130" s="81" t="str">
        <f>IF(Répartition!$F98="","",Répartition!$F98)</f>
        <v>Thème</v>
      </c>
      <c r="I130" s="149">
        <f>VLOOKUP(G130&amp;H130,code,2,0)</f>
        <v>98</v>
      </c>
      <c r="J130" s="199" t="str">
        <f>IF(Répartition!$B102="","",Répartition!$B102)</f>
        <v>FPF</v>
      </c>
      <c r="K130" s="82" t="str">
        <f>IF(Répartition!$G102="","",Répartition!$G102)</f>
        <v>Diplôme FPF</v>
      </c>
      <c r="L130" s="81" t="str">
        <f>IF(Répartition!$H102="","",Répartition!$H102)</f>
        <v>Thème</v>
      </c>
      <c r="M130" s="149">
        <f>VLOOKUP(K130&amp;L130,code,2,0)</f>
        <v>98</v>
      </c>
      <c r="N130" s="199" t="str">
        <f>IF(Répartition!$B102="","",Répartition!$B102)</f>
        <v>FPF</v>
      </c>
      <c r="O130" s="82" t="str">
        <f>IF(Répartition!$I102="","",Répartition!$I102)</f>
        <v>Diplôme FPF</v>
      </c>
      <c r="P130" s="81" t="str">
        <f>IF(Répartition!$J102="","",Répartition!$J102)</f>
        <v>Thème</v>
      </c>
      <c r="Q130" s="149">
        <f>VLOOKUP(O130&amp;P130,code,2,0)</f>
        <v>98</v>
      </c>
      <c r="S130" s="131" t="s">
        <v>48</v>
      </c>
      <c r="T130" s="137" t="s">
        <v>101</v>
      </c>
      <c r="U130" s="136" t="s">
        <v>28</v>
      </c>
      <c r="V130" s="43" t="str">
        <f t="shared" si="2"/>
        <v>Médaille de La GacilyMonochrome</v>
      </c>
      <c r="W130" s="197">
        <v>117</v>
      </c>
      <c r="X130" s="10"/>
    </row>
    <row r="131" spans="1:24" s="64" customFormat="1" ht="15" x14ac:dyDescent="0.25">
      <c r="A131" s="1">
        <v>12</v>
      </c>
      <c r="B131" s="199" t="str">
        <f>IF(Répartition!$B102="","",Répartition!$B102)</f>
        <v>FPF</v>
      </c>
      <c r="C131" s="82" t="str">
        <f>IF(Répartition!$C102="","",Répartition!$C102)</f>
        <v>Diplôme FPF</v>
      </c>
      <c r="D131" s="81" t="str">
        <f>IF(Répartition!$D102="","",Répartition!$D102)</f>
        <v>Thème</v>
      </c>
      <c r="E131" s="149">
        <f>VLOOKUP(C131&amp;D131,code,2,0)</f>
        <v>98</v>
      </c>
      <c r="F131" s="199" t="str">
        <f>IF(Répartition!$B102="","",Répartition!$B102)</f>
        <v>FPF</v>
      </c>
      <c r="G131" s="82" t="str">
        <f>IF(Répartition!$E102="","",Répartition!$E102)</f>
        <v>Diplôme FPF</v>
      </c>
      <c r="H131" s="81" t="str">
        <f>IF(Répartition!$F102="","",Répartition!$F102)</f>
        <v>Thème</v>
      </c>
      <c r="I131" s="149">
        <f>VLOOKUP(G131&amp;H131,code,2,0)</f>
        <v>98</v>
      </c>
      <c r="J131" s="199" t="str">
        <f>IF(Répartition!$B104="","",Répartition!$B104)</f>
        <v>FPF</v>
      </c>
      <c r="K131" s="82" t="str">
        <f>IF(Répartition!$G104="","",Répartition!$G104)</f>
        <v>Diplôme FPF</v>
      </c>
      <c r="L131" s="81" t="str">
        <f>IF(Répartition!$H104="","",Répartition!$H104)</f>
        <v>Thème</v>
      </c>
      <c r="M131" s="149">
        <f>VLOOKUP(K131&amp;L131,code,2,0)</f>
        <v>98</v>
      </c>
      <c r="N131" s="199" t="str">
        <f>IF(Répartition!$B103="","",Répartition!$B103)</f>
        <v>FPF</v>
      </c>
      <c r="O131" s="82" t="str">
        <f>IF(Répartition!$I103="","",Répartition!$I103)</f>
        <v>Diplôme FPF</v>
      </c>
      <c r="P131" s="81" t="str">
        <f>IF(Répartition!$J103="","",Répartition!$J103)</f>
        <v>Thème</v>
      </c>
      <c r="Q131" s="149">
        <f>VLOOKUP(O131&amp;P131,code,2,0)</f>
        <v>98</v>
      </c>
      <c r="S131" s="131" t="s">
        <v>48</v>
      </c>
      <c r="T131" s="137" t="s">
        <v>101</v>
      </c>
      <c r="U131" s="136" t="s">
        <v>29</v>
      </c>
      <c r="V131" s="43" t="str">
        <f t="shared" si="2"/>
        <v>Médaille de La GacilyThème</v>
      </c>
      <c r="W131" s="197">
        <v>118</v>
      </c>
      <c r="X131" s="10"/>
    </row>
    <row r="132" spans="1:24" s="64" customFormat="1" ht="15" x14ac:dyDescent="0.25">
      <c r="A132" s="1">
        <v>13</v>
      </c>
      <c r="B132" s="199" t="str">
        <f>IF(Répartition!$B132="","",Répartition!$B132)</f>
        <v>FDT</v>
      </c>
      <c r="C132" s="82" t="str">
        <f>IF(Répartition!$C132="","",Répartition!$C132)</f>
        <v>Diplôme FDT</v>
      </c>
      <c r="D132" s="81" t="str">
        <f>IF(Répartition!$D132="","",Répartition!$D132)</f>
        <v>Couleur</v>
      </c>
      <c r="E132" s="149">
        <f>VLOOKUP(C132&amp;D132,code,2,0)</f>
        <v>99</v>
      </c>
      <c r="F132" s="199" t="str">
        <f>IF(Répartition!$B132="","",Répartition!$B132)</f>
        <v>FDT</v>
      </c>
      <c r="G132" s="82" t="str">
        <f>IF(Répartition!$E132="","",Répartition!$E132)</f>
        <v>Diplôme FDT</v>
      </c>
      <c r="H132" s="81" t="str">
        <f>IF(Répartition!$F132="","",Répartition!$F132)</f>
        <v>Couleur</v>
      </c>
      <c r="I132" s="149">
        <f>VLOOKUP(G132&amp;H132,code,2,0)</f>
        <v>99</v>
      </c>
      <c r="J132" s="199" t="str">
        <f>IF(Répartition!$B132="","",Répartition!$B132)</f>
        <v>FDT</v>
      </c>
      <c r="K132" s="82" t="str">
        <f>IF(Répartition!$G132="","",Répartition!$G132)</f>
        <v>Diplôme FDT</v>
      </c>
      <c r="L132" s="81" t="str">
        <f>IF(Répartition!$H132="","",Répartition!$H132)</f>
        <v>Couleur</v>
      </c>
      <c r="M132" s="149">
        <f>VLOOKUP(K132&amp;L132,code,2,0)</f>
        <v>99</v>
      </c>
      <c r="N132" s="199" t="str">
        <f>IF(Répartition!$B132="","",Répartition!$B132)</f>
        <v>FDT</v>
      </c>
      <c r="O132" s="82" t="str">
        <f>IF(Répartition!$I132="","",Répartition!$I132)</f>
        <v>Diplôme FDT</v>
      </c>
      <c r="P132" s="81" t="str">
        <f>IF(Répartition!$J132="","",Répartition!$J132)</f>
        <v>Couleur</v>
      </c>
      <c r="Q132" s="149">
        <f>VLOOKUP(O132&amp;P132,code,2,0)</f>
        <v>99</v>
      </c>
      <c r="S132" s="131" t="s">
        <v>48</v>
      </c>
      <c r="T132" s="137" t="s">
        <v>93</v>
      </c>
      <c r="U132" s="136" t="s">
        <v>29</v>
      </c>
      <c r="V132" s="43" t="str">
        <f t="shared" si="2"/>
        <v>Médaille prix de la ville de Saint GervaisThème</v>
      </c>
      <c r="W132" s="197">
        <v>119</v>
      </c>
      <c r="X132" s="10"/>
    </row>
    <row r="133" spans="1:24" s="66" customFormat="1" ht="15" x14ac:dyDescent="0.25">
      <c r="A133" s="63">
        <v>14</v>
      </c>
      <c r="B133" s="199" t="str">
        <f>IF(Répartition!$B136="","",Répartition!$B136)</f>
        <v>FDT</v>
      </c>
      <c r="C133" s="82" t="str">
        <f>IF(Répartition!$C136="","",Répartition!$C136)</f>
        <v>Diplôme FDT</v>
      </c>
      <c r="D133" s="81" t="str">
        <f>IF(Répartition!$D136="","",Répartition!$D136)</f>
        <v>Couleur</v>
      </c>
      <c r="E133" s="149">
        <f>VLOOKUP(C133&amp;D133,code,2,0)</f>
        <v>99</v>
      </c>
      <c r="F133" s="199" t="str">
        <f>IF(Répartition!$B136="","",Répartition!$B136)</f>
        <v>FDT</v>
      </c>
      <c r="G133" s="82" t="str">
        <f>IF(Répartition!$E136="","",Répartition!$E136)</f>
        <v>Diplôme FDT</v>
      </c>
      <c r="H133" s="81" t="str">
        <f>IF(Répartition!$F136="","",Répartition!$F136)</f>
        <v>Couleur</v>
      </c>
      <c r="I133" s="149">
        <f>VLOOKUP(G133&amp;H133,code,2,0)</f>
        <v>99</v>
      </c>
      <c r="J133" s="199" t="str">
        <f>IF(Répartition!$B136="","",Répartition!$B136)</f>
        <v>FDT</v>
      </c>
      <c r="K133" s="82" t="str">
        <f>IF(Répartition!$G136="","",Répartition!$G136)</f>
        <v>Diplôme FDT</v>
      </c>
      <c r="L133" s="81" t="str">
        <f>IF(Répartition!$H136="","",Répartition!$H136)</f>
        <v>Couleur</v>
      </c>
      <c r="M133" s="149">
        <f>VLOOKUP(K133&amp;L133,code,2,0)</f>
        <v>99</v>
      </c>
      <c r="N133" s="199" t="str">
        <f>IF(Répartition!$B136="","",Répartition!$B136)</f>
        <v>FDT</v>
      </c>
      <c r="O133" s="82" t="str">
        <f>IF(Répartition!$I136="","",Répartition!$I136)</f>
        <v>Diplôme FDT</v>
      </c>
      <c r="P133" s="81" t="str">
        <f>IF(Répartition!$J136="","",Répartition!$J136)</f>
        <v>Couleur</v>
      </c>
      <c r="Q133" s="149">
        <f>VLOOKUP(O133&amp;P133,code,2,0)</f>
        <v>99</v>
      </c>
      <c r="S133" s="131" t="s">
        <v>48</v>
      </c>
      <c r="T133" s="137" t="s">
        <v>92</v>
      </c>
      <c r="U133" s="136" t="s">
        <v>28</v>
      </c>
      <c r="V133" s="43" t="str">
        <f t="shared" si="2"/>
        <v>Médaille prix du Conseil Général  du GardMonochrome</v>
      </c>
      <c r="W133" s="197">
        <v>120</v>
      </c>
      <c r="X133" s="10"/>
    </row>
    <row r="134" spans="1:24" ht="15" x14ac:dyDescent="0.25">
      <c r="A134" s="1">
        <v>15</v>
      </c>
      <c r="B134" s="199" t="str">
        <f>IF(Répartition!$B140="","",Répartition!$B140)</f>
        <v>FDT</v>
      </c>
      <c r="C134" s="82" t="str">
        <f>IF(Répartition!$C140="","",Répartition!$C140)</f>
        <v>Diplôme FDT</v>
      </c>
      <c r="D134" s="81" t="str">
        <f>IF(Répartition!$D140="","",Répartition!$D140)</f>
        <v>Couleur</v>
      </c>
      <c r="E134" s="149">
        <f>VLOOKUP(C134&amp;D134,code,2,0)</f>
        <v>99</v>
      </c>
      <c r="F134" s="199" t="str">
        <f>IF(Répartition!$B140="","",Répartition!$B140)</f>
        <v>FDT</v>
      </c>
      <c r="G134" s="82" t="str">
        <f>IF(Répartition!$E140="","",Répartition!$E140)</f>
        <v>Diplôme FDT</v>
      </c>
      <c r="H134" s="81" t="str">
        <f>IF(Répartition!$F140="","",Répartition!$F140)</f>
        <v>Couleur</v>
      </c>
      <c r="I134" s="149">
        <f>VLOOKUP(G134&amp;H134,code,2,0)</f>
        <v>99</v>
      </c>
      <c r="J134" s="199" t="str">
        <f>IF(Répartition!$B140="","",Répartition!$B140)</f>
        <v>FDT</v>
      </c>
      <c r="K134" s="82" t="str">
        <f>IF(Répartition!$G140="","",Répartition!$G140)</f>
        <v>Diplôme FDT</v>
      </c>
      <c r="L134" s="81" t="str">
        <f>IF(Répartition!$H140="","",Répartition!$H140)</f>
        <v>Couleur</v>
      </c>
      <c r="M134" s="149">
        <f>VLOOKUP(K134&amp;L134,code,2,0)</f>
        <v>99</v>
      </c>
      <c r="N134" s="199" t="str">
        <f>IF(Répartition!$B140="","",Répartition!$B140)</f>
        <v>FDT</v>
      </c>
      <c r="O134" s="82" t="str">
        <f>IF(Répartition!$I140="","",Répartition!$I140)</f>
        <v>Diplôme FDT</v>
      </c>
      <c r="P134" s="81" t="str">
        <f>IF(Répartition!$J140="","",Répartition!$J140)</f>
        <v>Couleur</v>
      </c>
      <c r="Q134" s="149">
        <f>VLOOKUP(O134&amp;P134,code,2,0)</f>
        <v>99</v>
      </c>
      <c r="S134" s="131" t="s">
        <v>48</v>
      </c>
      <c r="T134" s="137" t="s">
        <v>90</v>
      </c>
      <c r="U134" s="136" t="s">
        <v>24</v>
      </c>
      <c r="V134" s="43" t="str">
        <f t="shared" si="2"/>
        <v>Diplôme FDT : Prix ACBMCouleur</v>
      </c>
      <c r="W134" s="197">
        <v>121</v>
      </c>
    </row>
    <row r="135" spans="1:24" ht="15" x14ac:dyDescent="0.25">
      <c r="A135" s="1">
        <v>16</v>
      </c>
      <c r="B135" s="199" t="str">
        <f>IF(Répartition!$B133="","",Répartition!$B133)</f>
        <v>FDT</v>
      </c>
      <c r="C135" s="82" t="str">
        <f>IF(Répartition!$C133="","",Répartition!$C133)</f>
        <v>Diplôme FDT</v>
      </c>
      <c r="D135" s="81" t="str">
        <f>IF(Répartition!$D133="","",Répartition!$D133)</f>
        <v>Nature</v>
      </c>
      <c r="E135" s="149">
        <f>VLOOKUP(C135&amp;D135,code,2,0)</f>
        <v>100</v>
      </c>
      <c r="F135" s="199" t="str">
        <f>IF(Répartition!$B133="","",Répartition!$B133)</f>
        <v>FDT</v>
      </c>
      <c r="G135" s="82" t="str">
        <f>IF(Répartition!$E133="","",Répartition!$E133)</f>
        <v>Diplôme FDT</v>
      </c>
      <c r="H135" s="81" t="str">
        <f>IF(Répartition!$F133="","",Répartition!$F133)</f>
        <v>Nature</v>
      </c>
      <c r="I135" s="149">
        <f>VLOOKUP(G135&amp;H135,code,2,0)</f>
        <v>100</v>
      </c>
      <c r="J135" s="199" t="str">
        <f>IF(Répartition!$B133="","",Répartition!$B133)</f>
        <v>FDT</v>
      </c>
      <c r="K135" s="82" t="str">
        <f>IF(Répartition!$G133="","",Répartition!$G133)</f>
        <v>Diplôme FDT</v>
      </c>
      <c r="L135" s="81" t="str">
        <f>IF(Répartition!$H133="","",Répartition!$H133)</f>
        <v>Nature</v>
      </c>
      <c r="M135" s="149">
        <f>VLOOKUP(K135&amp;L135,code,2,0)</f>
        <v>100</v>
      </c>
      <c r="N135" s="199" t="str">
        <f>IF(Répartition!$B133="","",Répartition!$B133)</f>
        <v>FDT</v>
      </c>
      <c r="O135" s="82" t="str">
        <f>IF(Répartition!$I133="","",Répartition!$I133)</f>
        <v>Diplôme FDT</v>
      </c>
      <c r="P135" s="81" t="str">
        <f>IF(Répartition!$J133="","",Répartition!$J133)</f>
        <v>Nature</v>
      </c>
      <c r="Q135" s="149">
        <f>VLOOKUP(O135&amp;P135,code,2,0)</f>
        <v>100</v>
      </c>
      <c r="S135" s="131" t="s">
        <v>48</v>
      </c>
      <c r="T135" s="137" t="s">
        <v>91</v>
      </c>
      <c r="U135" s="136" t="s">
        <v>27</v>
      </c>
      <c r="V135" s="43" t="str">
        <f t="shared" si="2"/>
        <v>Diplôme FDT : Prix P.C Bagnols MarcouleNature</v>
      </c>
      <c r="W135" s="197">
        <v>122</v>
      </c>
    </row>
    <row r="136" spans="1:24" ht="15" x14ac:dyDescent="0.25">
      <c r="A136" s="63">
        <v>17</v>
      </c>
      <c r="B136" s="199" t="str">
        <f>IF(Répartition!$B137="","",Répartition!$B137)</f>
        <v>FDT</v>
      </c>
      <c r="C136" s="82" t="str">
        <f>IF(Répartition!$C137="","",Répartition!$C137)</f>
        <v>Diplôme FDT</v>
      </c>
      <c r="D136" s="81" t="str">
        <f>IF(Répartition!$D137="","",Répartition!$D137)</f>
        <v>Nature</v>
      </c>
      <c r="E136" s="149">
        <f>VLOOKUP(C136&amp;D136,code,2,0)</f>
        <v>100</v>
      </c>
      <c r="F136" s="199" t="str">
        <f>IF(Répartition!$B137="","",Répartition!$B137)</f>
        <v>FDT</v>
      </c>
      <c r="G136" s="82" t="str">
        <f>IF(Répartition!$E137="","",Répartition!$E137)</f>
        <v>Diplôme FDT</v>
      </c>
      <c r="H136" s="81" t="str">
        <f>IF(Répartition!$F137="","",Répartition!$F137)</f>
        <v>Nature</v>
      </c>
      <c r="I136" s="149">
        <f>VLOOKUP(G136&amp;H136,code,2,0)</f>
        <v>100</v>
      </c>
      <c r="J136" s="199" t="str">
        <f>IF(Répartition!$B137="","",Répartition!$B137)</f>
        <v>FDT</v>
      </c>
      <c r="K136" s="82" t="str">
        <f>IF(Répartition!$G137="","",Répartition!$G137)</f>
        <v>Diplôme FDT</v>
      </c>
      <c r="L136" s="81" t="str">
        <f>IF(Répartition!$H137="","",Répartition!$H137)</f>
        <v>Nature</v>
      </c>
      <c r="M136" s="149">
        <f>VLOOKUP(K136&amp;L136,code,2,0)</f>
        <v>100</v>
      </c>
      <c r="N136" s="199" t="str">
        <f>IF(Répartition!$B137="","",Répartition!$B137)</f>
        <v>FDT</v>
      </c>
      <c r="O136" s="82" t="str">
        <f>IF(Répartition!$I137="","",Répartition!$I137)</f>
        <v>Diplôme FDT</v>
      </c>
      <c r="P136" s="81" t="str">
        <f>IF(Répartition!$J137="","",Répartition!$J137)</f>
        <v>Nature</v>
      </c>
      <c r="Q136" s="149">
        <f>VLOOKUP(O136&amp;P136,code,2,0)</f>
        <v>100</v>
      </c>
      <c r="S136" s="131"/>
      <c r="T136" s="137"/>
      <c r="U136" s="136"/>
      <c r="W136" s="197"/>
    </row>
    <row r="137" spans="1:24" ht="15.75" thickBot="1" x14ac:dyDescent="0.3">
      <c r="A137" s="1">
        <v>18</v>
      </c>
      <c r="B137" s="199" t="str">
        <f>IF(Répartition!$B141="","",Répartition!$B141)</f>
        <v>FDT</v>
      </c>
      <c r="C137" s="82" t="str">
        <f>IF(Répartition!$C141="","",Répartition!$C141)</f>
        <v>Diplôme FDT</v>
      </c>
      <c r="D137" s="81" t="str">
        <f>IF(Répartition!$D141="","",Répartition!$D141)</f>
        <v>Nature</v>
      </c>
      <c r="E137" s="149">
        <f>VLOOKUP(C137&amp;D137,code,2,0)</f>
        <v>100</v>
      </c>
      <c r="F137" s="199" t="str">
        <f>IF(Répartition!$B141="","",Répartition!$B141)</f>
        <v>FDT</v>
      </c>
      <c r="G137" s="82" t="str">
        <f>IF(Répartition!$E141="","",Répartition!$E141)</f>
        <v>Diplôme FDT</v>
      </c>
      <c r="H137" s="81" t="str">
        <f>IF(Répartition!$F141="","",Répartition!$F141)</f>
        <v>Nature</v>
      </c>
      <c r="I137" s="149">
        <f>VLOOKUP(G137&amp;H137,code,2,0)</f>
        <v>100</v>
      </c>
      <c r="J137" s="199" t="str">
        <f>IF(Répartition!$B141="","",Répartition!$B141)</f>
        <v>FDT</v>
      </c>
      <c r="K137" s="82" t="str">
        <f>IF(Répartition!$G141="","",Répartition!$G141)</f>
        <v>Diplôme FDT</v>
      </c>
      <c r="L137" s="81" t="str">
        <f>IF(Répartition!$H141="","",Répartition!$H141)</f>
        <v>Nature</v>
      </c>
      <c r="M137" s="149">
        <f>VLOOKUP(K137&amp;L137,code,2,0)</f>
        <v>100</v>
      </c>
      <c r="N137" s="199" t="str">
        <f>IF(Répartition!$B141="","",Répartition!$B141)</f>
        <v>FDT</v>
      </c>
      <c r="O137" s="82" t="str">
        <f>IF(Répartition!$I141="","",Répartition!$I141)</f>
        <v>Diplôme FDT</v>
      </c>
      <c r="P137" s="81" t="str">
        <f>IF(Répartition!$J141="","",Répartition!$J141)</f>
        <v>Nature</v>
      </c>
      <c r="Q137" s="149">
        <f>VLOOKUP(O137&amp;P137,code,2,0)</f>
        <v>100</v>
      </c>
      <c r="S137" s="68"/>
      <c r="T137" s="138"/>
      <c r="U137" s="139"/>
    </row>
    <row r="138" spans="1:24" ht="15" x14ac:dyDescent="0.25">
      <c r="A138" s="1">
        <v>19</v>
      </c>
      <c r="B138" s="199" t="str">
        <f>IF(Répartition!$B134="","",Répartition!$B134)</f>
        <v>FDT</v>
      </c>
      <c r="C138" s="82" t="str">
        <f>IF(Répartition!$C134="","",Répartition!$C134)</f>
        <v>Diplôme FDT</v>
      </c>
      <c r="D138" s="81" t="str">
        <f>IF(Répartition!$D134="","",Répartition!$D134)</f>
        <v>Monochrome</v>
      </c>
      <c r="E138" s="149">
        <f>VLOOKUP(C138&amp;D138,code,2,0)</f>
        <v>101</v>
      </c>
      <c r="F138" s="199" t="str">
        <f>IF(Répartition!$B134="","",Répartition!$B134)</f>
        <v>FDT</v>
      </c>
      <c r="G138" s="82" t="str">
        <f>IF(Répartition!$E134="","",Répartition!$E134)</f>
        <v>Diplôme FDT</v>
      </c>
      <c r="H138" s="81" t="str">
        <f>IF(Répartition!$F134="","",Répartition!$F134)</f>
        <v>Monochrome</v>
      </c>
      <c r="I138" s="149">
        <f>VLOOKUP(G138&amp;H138,code,2,0)</f>
        <v>101</v>
      </c>
      <c r="J138" s="199" t="str">
        <f>IF(Répartition!$B134="","",Répartition!$B134)</f>
        <v>FDT</v>
      </c>
      <c r="K138" s="82" t="str">
        <f>IF(Répartition!$G134="","",Répartition!$G134)</f>
        <v>Diplôme FDT</v>
      </c>
      <c r="L138" s="81" t="str">
        <f>IF(Répartition!$H134="","",Répartition!$H134)</f>
        <v>Monochrome</v>
      </c>
      <c r="M138" s="149">
        <f>VLOOKUP(K138&amp;L138,code,2,0)</f>
        <v>101</v>
      </c>
      <c r="N138" s="199" t="str">
        <f>IF(Répartition!$B134="","",Répartition!$B134)</f>
        <v>FDT</v>
      </c>
      <c r="O138" s="82" t="str">
        <f>IF(Répartition!$I134="","",Répartition!$I134)</f>
        <v>Diplôme FDT</v>
      </c>
      <c r="P138" s="81" t="str">
        <f>IF(Répartition!$J134="","",Répartition!$J134)</f>
        <v>Monochrome</v>
      </c>
      <c r="Q138" s="149">
        <f>VLOOKUP(O138&amp;P138,code,2,0)</f>
        <v>101</v>
      </c>
    </row>
    <row r="139" spans="1:24" ht="15" x14ac:dyDescent="0.25">
      <c r="A139" s="63">
        <v>20</v>
      </c>
      <c r="B139" s="199" t="str">
        <f>IF(Répartition!$B138="","",Répartition!$B138)</f>
        <v>FDT</v>
      </c>
      <c r="C139" s="82" t="str">
        <f>IF(Répartition!$C138="","",Répartition!$C138)</f>
        <v>Diplôme FDT</v>
      </c>
      <c r="D139" s="81" t="str">
        <f>IF(Répartition!$D138="","",Répartition!$D138)</f>
        <v>Monochrome</v>
      </c>
      <c r="E139" s="149">
        <f>VLOOKUP(C139&amp;D139,code,2,0)</f>
        <v>101</v>
      </c>
      <c r="F139" s="199" t="str">
        <f>IF(Répartition!$B138="","",Répartition!$B138)</f>
        <v>FDT</v>
      </c>
      <c r="G139" s="82" t="str">
        <f>IF(Répartition!$E138="","",Répartition!$E138)</f>
        <v>Diplôme FDT</v>
      </c>
      <c r="H139" s="81" t="str">
        <f>IF(Répartition!$F138="","",Répartition!$F138)</f>
        <v>Monochrome</v>
      </c>
      <c r="I139" s="149">
        <f>VLOOKUP(G139&amp;H139,code,2,0)</f>
        <v>101</v>
      </c>
      <c r="J139" s="199" t="str">
        <f>IF(Répartition!$B138="","",Répartition!$B138)</f>
        <v>FDT</v>
      </c>
      <c r="K139" s="82" t="str">
        <f>IF(Répartition!$G138="","",Répartition!$G138)</f>
        <v>Diplôme FDT</v>
      </c>
      <c r="L139" s="81" t="str">
        <f>IF(Répartition!$H138="","",Répartition!$H138)</f>
        <v>Monochrome</v>
      </c>
      <c r="M139" s="149">
        <f>VLOOKUP(K139&amp;L139,code,2,0)</f>
        <v>101</v>
      </c>
      <c r="N139" s="199" t="str">
        <f>IF(Répartition!$B138="","",Répartition!$B138)</f>
        <v>FDT</v>
      </c>
      <c r="O139" s="82" t="str">
        <f>IF(Répartition!$I138="","",Répartition!$I138)</f>
        <v>Diplôme FDT</v>
      </c>
      <c r="P139" s="81" t="str">
        <f>IF(Répartition!$J138="","",Répartition!$J138)</f>
        <v>Monochrome</v>
      </c>
      <c r="Q139" s="149">
        <f>VLOOKUP(O139&amp;P139,code,2,0)</f>
        <v>101</v>
      </c>
    </row>
    <row r="140" spans="1:24" ht="15" x14ac:dyDescent="0.25">
      <c r="A140" s="1">
        <v>21</v>
      </c>
      <c r="B140" s="199" t="str">
        <f>IF(Répartition!$B142="","",Répartition!$B142)</f>
        <v>FDT</v>
      </c>
      <c r="C140" s="82" t="str">
        <f>IF(Répartition!$C142="","",Répartition!$C142)</f>
        <v>Diplôme FDT</v>
      </c>
      <c r="D140" s="81" t="str">
        <f>IF(Répartition!$D142="","",Répartition!$D142)</f>
        <v>Monochrome</v>
      </c>
      <c r="E140" s="149">
        <f>VLOOKUP(C140&amp;D140,code,2,0)</f>
        <v>101</v>
      </c>
      <c r="F140" s="199" t="str">
        <f>IF(Répartition!$B142="","",Répartition!$B142)</f>
        <v>FDT</v>
      </c>
      <c r="G140" s="82" t="str">
        <f>IF(Répartition!$E142="","",Répartition!$E142)</f>
        <v>Diplôme FDT</v>
      </c>
      <c r="H140" s="81" t="str">
        <f>IF(Répartition!$F142="","",Répartition!$F142)</f>
        <v>Monochrome</v>
      </c>
      <c r="I140" s="149">
        <f>VLOOKUP(G140&amp;H140,code,2,0)</f>
        <v>101</v>
      </c>
      <c r="J140" s="199" t="str">
        <f>IF(Répartition!$B142="","",Répartition!$B142)</f>
        <v>FDT</v>
      </c>
      <c r="K140" s="82" t="str">
        <f>IF(Répartition!$G142="","",Répartition!$G142)</f>
        <v>Diplôme FDT</v>
      </c>
      <c r="L140" s="81" t="str">
        <f>IF(Répartition!$H142="","",Répartition!$H142)</f>
        <v>Monochrome</v>
      </c>
      <c r="M140" s="149">
        <f>VLOOKUP(K140&amp;L140,code,2,0)</f>
        <v>101</v>
      </c>
      <c r="N140" s="199" t="str">
        <f>IF(Répartition!$B142="","",Répartition!$B142)</f>
        <v>FDT</v>
      </c>
      <c r="O140" s="82" t="str">
        <f>IF(Répartition!$I142="","",Répartition!$I142)</f>
        <v>Diplôme FDT</v>
      </c>
      <c r="P140" s="81" t="str">
        <f>IF(Répartition!$J142="","",Répartition!$J142)</f>
        <v>Monochrome</v>
      </c>
      <c r="Q140" s="149">
        <f>VLOOKUP(O140&amp;P140,code,2,0)</f>
        <v>101</v>
      </c>
    </row>
    <row r="141" spans="1:24" ht="15" x14ac:dyDescent="0.25">
      <c r="A141" s="1">
        <v>22</v>
      </c>
      <c r="B141" s="199" t="str">
        <f>IF(Répartition!$B135="","",Répartition!$B135)</f>
        <v>FDT</v>
      </c>
      <c r="C141" s="82" t="str">
        <f>IF(Répartition!$C135="","",Répartition!$C135)</f>
        <v>Diplôme FDT</v>
      </c>
      <c r="D141" s="81" t="str">
        <f>IF(Répartition!$D135="","",Répartition!$D135)</f>
        <v>Thème</v>
      </c>
      <c r="E141" s="149">
        <f>VLOOKUP(C141&amp;D141,code,2,0)</f>
        <v>102</v>
      </c>
      <c r="F141" s="199" t="str">
        <f>IF(Répartition!$B135="","",Répartition!$B135)</f>
        <v>FDT</v>
      </c>
      <c r="G141" s="82" t="str">
        <f>IF(Répartition!$E135="","",Répartition!$E135)</f>
        <v>Diplôme FDT</v>
      </c>
      <c r="H141" s="81" t="str">
        <f>IF(Répartition!$F135="","",Répartition!$F135)</f>
        <v>Thème</v>
      </c>
      <c r="I141" s="149">
        <f>VLOOKUP(G141&amp;H141,code,2,0)</f>
        <v>102</v>
      </c>
      <c r="J141" s="199" t="str">
        <f>IF(Répartition!$B135="","",Répartition!$B135)</f>
        <v>FDT</v>
      </c>
      <c r="K141" s="82" t="str">
        <f>IF(Répartition!$G135="","",Répartition!$G135)</f>
        <v>Diplôme FDT</v>
      </c>
      <c r="L141" s="81" t="str">
        <f>IF(Répartition!$H135="","",Répartition!$H135)</f>
        <v>Thème</v>
      </c>
      <c r="M141" s="149">
        <f>VLOOKUP(K141&amp;L141,code,2,0)</f>
        <v>102</v>
      </c>
      <c r="N141" s="199" t="str">
        <f>IF(Répartition!$B135="","",Répartition!$B135)</f>
        <v>FDT</v>
      </c>
      <c r="O141" s="82" t="str">
        <f>IF(Répartition!$I135="","",Répartition!$I135)</f>
        <v>Diplôme FDT</v>
      </c>
      <c r="P141" s="81" t="str">
        <f>IF(Répartition!$J135="","",Répartition!$J135)</f>
        <v>Thème</v>
      </c>
      <c r="Q141" s="149">
        <f>VLOOKUP(O141&amp;P141,code,2,0)</f>
        <v>102</v>
      </c>
    </row>
    <row r="142" spans="1:24" ht="15" x14ac:dyDescent="0.25">
      <c r="A142" s="63">
        <v>23</v>
      </c>
      <c r="B142" s="199" t="str">
        <f>IF(Répartition!$B139="","",Répartition!$B139)</f>
        <v>FDT</v>
      </c>
      <c r="C142" s="82" t="str">
        <f>IF(Répartition!$C139="","",Répartition!$C139)</f>
        <v>Diplôme FDT</v>
      </c>
      <c r="D142" s="81" t="str">
        <f>IF(Répartition!$D139="","",Répartition!$D139)</f>
        <v>Thème</v>
      </c>
      <c r="E142" s="149">
        <f>VLOOKUP(C142&amp;D142,code,2,0)</f>
        <v>102</v>
      </c>
      <c r="F142" s="199" t="str">
        <f>IF(Répartition!$B139="","",Répartition!$B139)</f>
        <v>FDT</v>
      </c>
      <c r="G142" s="82" t="str">
        <f>IF(Répartition!$E139="","",Répartition!$E139)</f>
        <v>Diplôme FDT</v>
      </c>
      <c r="H142" s="81" t="str">
        <f>IF(Répartition!$F139="","",Répartition!$F139)</f>
        <v>Thème</v>
      </c>
      <c r="I142" s="149">
        <f>VLOOKUP(G142&amp;H142,code,2,0)</f>
        <v>102</v>
      </c>
      <c r="J142" s="199" t="str">
        <f>IF(Répartition!$B139="","",Répartition!$B139)</f>
        <v>FDT</v>
      </c>
      <c r="K142" s="82" t="str">
        <f>IF(Répartition!$G139="","",Répartition!$G139)</f>
        <v>Diplôme FDT</v>
      </c>
      <c r="L142" s="81" t="str">
        <f>IF(Répartition!$H139="","",Répartition!$H139)</f>
        <v>Thème</v>
      </c>
      <c r="M142" s="149">
        <f>VLOOKUP(K142&amp;L142,code,2,0)</f>
        <v>102</v>
      </c>
      <c r="N142" s="199" t="str">
        <f>IF(Répartition!$B139="","",Répartition!$B139)</f>
        <v>FDT</v>
      </c>
      <c r="O142" s="82" t="str">
        <f>IF(Répartition!$I139="","",Répartition!$I139)</f>
        <v>Diplôme FDT</v>
      </c>
      <c r="P142" s="81" t="str">
        <f>IF(Répartition!$J139="","",Répartition!$J139)</f>
        <v>Thème</v>
      </c>
      <c r="Q142" s="149">
        <f>VLOOKUP(O142&amp;P142,code,2,0)</f>
        <v>102</v>
      </c>
    </row>
    <row r="143" spans="1:24" ht="15" x14ac:dyDescent="0.25">
      <c r="A143" s="1">
        <v>24</v>
      </c>
      <c r="B143" s="199" t="str">
        <f>IF(Répartition!$B143="","",Répartition!$B143)</f>
        <v>FDT</v>
      </c>
      <c r="C143" s="82" t="str">
        <f>IF(Répartition!$C143="","",Répartition!$C143)</f>
        <v>Diplôme FDT</v>
      </c>
      <c r="D143" s="81" t="str">
        <f>IF(Répartition!$D143="","",Répartition!$D143)</f>
        <v>Thème</v>
      </c>
      <c r="E143" s="149">
        <f>VLOOKUP(C143&amp;D143,code,2,0)</f>
        <v>102</v>
      </c>
      <c r="F143" s="199" t="str">
        <f>IF(Répartition!$B143="","",Répartition!$B143)</f>
        <v>FDT</v>
      </c>
      <c r="G143" s="82" t="str">
        <f>IF(Répartition!$E143="","",Répartition!$E143)</f>
        <v>Diplôme FDT</v>
      </c>
      <c r="H143" s="81" t="str">
        <f>IF(Répartition!$F143="","",Répartition!$F143)</f>
        <v>Thème</v>
      </c>
      <c r="I143" s="149">
        <f>VLOOKUP(G143&amp;H143,code,2,0)</f>
        <v>102</v>
      </c>
      <c r="J143" s="199" t="str">
        <f>IF(Répartition!$B143="","",Répartition!$B143)</f>
        <v>FDT</v>
      </c>
      <c r="K143" s="82" t="str">
        <f>IF(Répartition!$G143="","",Répartition!$G143)</f>
        <v>Diplôme FDT</v>
      </c>
      <c r="L143" s="81" t="str">
        <f>IF(Répartition!$H143="","",Répartition!$H143)</f>
        <v>Thème</v>
      </c>
      <c r="M143" s="149">
        <f>VLOOKUP(K143&amp;L143,code,2,0)</f>
        <v>102</v>
      </c>
      <c r="N143" s="199" t="str">
        <f>IF(Répartition!$B143="","",Répartition!$B143)</f>
        <v>FDT</v>
      </c>
      <c r="O143" s="82" t="str">
        <f>IF(Répartition!$I143="","",Répartition!$I143)</f>
        <v>Diplôme FDT</v>
      </c>
      <c r="P143" s="81" t="str">
        <f>IF(Répartition!$J143="","",Répartition!$J143)</f>
        <v>Thème</v>
      </c>
      <c r="Q143" s="149">
        <f>VLOOKUP(O143&amp;P143,code,2,0)</f>
        <v>102</v>
      </c>
    </row>
    <row r="144" spans="1:24" ht="15" customHeight="1" x14ac:dyDescent="0.25">
      <c r="A144" s="1">
        <v>1</v>
      </c>
      <c r="B144" s="200" t="str">
        <f>IF(Répartition!$B147="","",Répartition!$B147)</f>
        <v>Spéciale</v>
      </c>
      <c r="C144" s="82" t="str">
        <f>IF(Répartition!$C147="","",Répartition!$C147)</f>
        <v>Diplôme U.R 06</v>
      </c>
      <c r="D144" s="81" t="str">
        <f>IF(Répartition!$D147="","",Répartition!$D147)</f>
        <v>Thème</v>
      </c>
      <c r="E144" s="149">
        <f>VLOOKUP(C144&amp;D144,code,2,0)</f>
        <v>103</v>
      </c>
      <c r="F144" s="200" t="str">
        <f>IF(Répartition!$B144="","",Répartition!$B144)</f>
        <v>Spéciale</v>
      </c>
      <c r="G144" s="82" t="str">
        <f>IF(Répartition!$E144="","",Répartition!$E144)</f>
        <v>Médaille du Conseil Régional Basse Normandie</v>
      </c>
      <c r="H144" s="81" t="str">
        <f>IF(Répartition!$F144="","",Répartition!$F144)</f>
        <v>Couleur</v>
      </c>
      <c r="I144" s="149">
        <f>VLOOKUP(G144&amp;H144,code,2,0)</f>
        <v>111</v>
      </c>
      <c r="J144" s="200" t="str">
        <f>IF(Répartition!$B144="","",Répartition!$B144)</f>
        <v>Spéciale</v>
      </c>
      <c r="K144" s="82" t="str">
        <f>IF(Répartition!$G144="","",Répartition!$G144)</f>
        <v>Médaille de La Gacily</v>
      </c>
      <c r="L144" s="81" t="str">
        <f>IF(Répartition!$H144="","",Répartition!$H144)</f>
        <v>Couleur</v>
      </c>
      <c r="M144" s="149">
        <f>VLOOKUP(K144&amp;L144,code,2,0)</f>
        <v>115</v>
      </c>
      <c r="N144" s="200" t="str">
        <f>IF(Répartition!$B147="","",Répartition!$B147)</f>
        <v>Spéciale</v>
      </c>
      <c r="O144" s="82" t="str">
        <f>IF(Répartition!$I147="","",Répartition!$I147)</f>
        <v>Médaille prix de la ville de Saint Gervais</v>
      </c>
      <c r="P144" s="81" t="str">
        <f>IF(Répartition!$J147="","",Répartition!$J147)</f>
        <v>Thème</v>
      </c>
      <c r="Q144" s="149">
        <f>VLOOKUP(O144&amp;P144,code,2,0)</f>
        <v>119</v>
      </c>
    </row>
    <row r="145" spans="1:17" ht="15" x14ac:dyDescent="0.25">
      <c r="A145" s="1">
        <v>2</v>
      </c>
      <c r="B145" s="200" t="str">
        <f>IF(Répartition!$B146="","",Répartition!$B146)</f>
        <v>Spéciale</v>
      </c>
      <c r="C145" s="82" t="str">
        <f>IF(Répartition!$C146="","",Répartition!$C146)</f>
        <v>Diplôme U.R 06</v>
      </c>
      <c r="D145" s="81" t="str">
        <f>IF(Répartition!$D146="","",Répartition!$D146)</f>
        <v>Monochrome</v>
      </c>
      <c r="E145" s="149">
        <f>VLOOKUP(C145&amp;D145,code,2,0)</f>
        <v>104</v>
      </c>
      <c r="F145" s="200" t="str">
        <f>IF(Répartition!$B145="","",Répartition!$B145)</f>
        <v>Spéciale</v>
      </c>
      <c r="G145" s="82" t="str">
        <f>IF(Répartition!$E145="","",Répartition!$E145)</f>
        <v>Médaille du Conseil Régional Basse Normandie</v>
      </c>
      <c r="H145" s="81" t="str">
        <f>IF(Répartition!$F145="","",Répartition!$F145)</f>
        <v>Nature</v>
      </c>
      <c r="I145" s="149">
        <f>VLOOKUP(G145&amp;H145,code,2,0)</f>
        <v>112</v>
      </c>
      <c r="J145" s="200" t="str">
        <f>IF(Répartition!$B145="","",Répartition!$B145)</f>
        <v>Spéciale</v>
      </c>
      <c r="K145" s="82" t="str">
        <f>IF(Répartition!$G145="","",Répartition!$G145)</f>
        <v>Médaille de La Gacily</v>
      </c>
      <c r="L145" s="81" t="str">
        <f>IF(Répartition!$H145="","",Répartition!$H145)</f>
        <v>Nature</v>
      </c>
      <c r="M145" s="149">
        <f>VLOOKUP(K145&amp;L145,code,2,0)</f>
        <v>116</v>
      </c>
      <c r="N145" s="200" t="str">
        <f>IF(Répartition!$B146="","",Répartition!$B146)</f>
        <v>Spéciale</v>
      </c>
      <c r="O145" s="82" t="str">
        <f>IF(Répartition!$I146="","",Répartition!$I146)</f>
        <v>Médaille prix du Conseil Général  du Gard</v>
      </c>
      <c r="P145" s="81" t="str">
        <f>IF(Répartition!$J146="","",Répartition!$J146)</f>
        <v>Monochrome</v>
      </c>
      <c r="Q145" s="149">
        <f>VLOOKUP(O145&amp;P145,code,2,0)</f>
        <v>120</v>
      </c>
    </row>
    <row r="146" spans="1:17" ht="15" x14ac:dyDescent="0.25">
      <c r="A146" s="1">
        <v>3</v>
      </c>
      <c r="B146" s="200" t="str">
        <f>IF(Répartition!$B144="","",Répartition!$B144)</f>
        <v>Spéciale</v>
      </c>
      <c r="C146" s="82" t="str">
        <f>IF(Répartition!$C144="","",Répartition!$C144)</f>
        <v>Diplôme U.R 06</v>
      </c>
      <c r="D146" s="81" t="str">
        <f>IF(Répartition!$D144="","",Répartition!$D144)</f>
        <v>Couleur</v>
      </c>
      <c r="E146" s="149">
        <f>VLOOKUP(C146&amp;D146,code,2,0)</f>
        <v>105</v>
      </c>
      <c r="F146" s="200" t="str">
        <f>IF(Répartition!$B146="","",Répartition!$B146)</f>
        <v>Spéciale</v>
      </c>
      <c r="G146" s="82" t="str">
        <f>IF(Répartition!$E146="","",Répartition!$E146)</f>
        <v>Médaille du Conseil Régional Basse Normandie</v>
      </c>
      <c r="H146" s="81" t="str">
        <f>IF(Répartition!$F146="","",Répartition!$F146)</f>
        <v>Monochrome</v>
      </c>
      <c r="I146" s="149">
        <f>VLOOKUP(G146&amp;H146,code,2,0)</f>
        <v>113</v>
      </c>
      <c r="J146" s="200" t="str">
        <f>IF(Répartition!$B146="","",Répartition!$B146)</f>
        <v>Spéciale</v>
      </c>
      <c r="K146" s="82" t="str">
        <f>IF(Répartition!$G146="","",Répartition!$G146)</f>
        <v>Médaille de La Gacily</v>
      </c>
      <c r="L146" s="81" t="str">
        <f>IF(Répartition!$H146="","",Répartition!$H146)</f>
        <v>Monochrome</v>
      </c>
      <c r="M146" s="149">
        <f>VLOOKUP(K146&amp;L146,code,2,0)</f>
        <v>117</v>
      </c>
      <c r="N146" s="200" t="str">
        <f>IF(Répartition!$B144="","",Répartition!$B144)</f>
        <v>Spéciale</v>
      </c>
      <c r="O146" s="82" t="str">
        <f>IF(Répartition!$I144="","",Répartition!$I144)</f>
        <v>Diplôme FDT : Prix ACBM</v>
      </c>
      <c r="P146" s="81" t="str">
        <f>IF(Répartition!$J144="","",Répartition!$J144)</f>
        <v>Couleur</v>
      </c>
      <c r="Q146" s="149">
        <f>VLOOKUP(O146&amp;P146,code,2,0)</f>
        <v>121</v>
      </c>
    </row>
    <row r="147" spans="1:17" ht="15" x14ac:dyDescent="0.25">
      <c r="A147" s="1">
        <v>4</v>
      </c>
      <c r="B147" s="200" t="str">
        <f>IF(Répartition!$B145="","",Répartition!$B145)</f>
        <v>Spéciale</v>
      </c>
      <c r="C147" s="82" t="str">
        <f>IF(Répartition!$C145="","",Répartition!$C145)</f>
        <v>Diplôme U.R 06</v>
      </c>
      <c r="D147" s="81" t="str">
        <f>IF(Répartition!$D145="","",Répartition!$D145)</f>
        <v>Nature</v>
      </c>
      <c r="E147" s="149">
        <f>VLOOKUP(C147&amp;D147,code,2,0)</f>
        <v>106</v>
      </c>
      <c r="F147" s="200" t="str">
        <f>IF(Répartition!$B147="","",Répartition!$B147)</f>
        <v>Spéciale</v>
      </c>
      <c r="G147" s="82" t="str">
        <f>IF(Répartition!$E147="","",Répartition!$E147)</f>
        <v>Médaille du Conseil Régional Basse Normandie</v>
      </c>
      <c r="H147" s="81" t="str">
        <f>IF(Répartition!$F147="","",Répartition!$F147)</f>
        <v>Thème</v>
      </c>
      <c r="I147" s="149">
        <f>VLOOKUP(G147&amp;H147,code,2,0)</f>
        <v>114</v>
      </c>
      <c r="J147" s="200" t="str">
        <f>IF(Répartition!$B147="","",Répartition!$B147)</f>
        <v>Spéciale</v>
      </c>
      <c r="K147" s="82" t="str">
        <f>IF(Répartition!$G147="","",Répartition!$G147)</f>
        <v>Médaille de La Gacily</v>
      </c>
      <c r="L147" s="81" t="str">
        <f>IF(Répartition!$H147="","",Répartition!$H147)</f>
        <v>Thème</v>
      </c>
      <c r="M147" s="149">
        <f>VLOOKUP(K147&amp;L147,code,2,0)</f>
        <v>118</v>
      </c>
      <c r="N147" s="200" t="str">
        <f>IF(Répartition!$B145="","",Répartition!$B145)</f>
        <v>Spéciale</v>
      </c>
      <c r="O147" s="82" t="str">
        <f>IF(Répartition!$I145="","",Répartition!$I145)</f>
        <v>Diplôme FDT : Prix P.C Bagnols Marcoule</v>
      </c>
      <c r="P147" s="81" t="str">
        <f>IF(Répartition!$J145="","",Répartition!$J145)</f>
        <v>Nature</v>
      </c>
      <c r="Q147" s="149">
        <f>VLOOKUP(O147&amp;P147,code,2,0)</f>
        <v>122</v>
      </c>
    </row>
    <row r="148" spans="1:17" ht="15" x14ac:dyDescent="0.25">
      <c r="B148" s="200" t="str">
        <f>IF(Répartition!$B148="","",Répartition!$B148)</f>
        <v>Spéciale</v>
      </c>
      <c r="C148" s="82" t="str">
        <f>IF(Répartition!$C148="","",Répartition!$C148)</f>
        <v>Médaille Région Pays de la Loire</v>
      </c>
      <c r="D148" s="81" t="str">
        <f>IF(Répartition!$D148="","",Répartition!$D148)</f>
        <v>Couleur</v>
      </c>
      <c r="E148" s="149">
        <f>VLOOKUP(C148&amp;D148,code,2,0)</f>
        <v>107</v>
      </c>
      <c r="F148" s="200" t="str">
        <f>IF(Répartition!$B148="","",Répartition!$B148)</f>
        <v>Spéciale</v>
      </c>
      <c r="G148" s="82" t="str">
        <f>IF(Répartition!$E148="","",Répartition!$E148)</f>
        <v/>
      </c>
      <c r="H148" s="81" t="str">
        <f>IF(Répartition!$F148="","",Répartition!$F148)</f>
        <v/>
      </c>
      <c r="I148" s="150"/>
      <c r="J148" s="200" t="str">
        <f>IF(Répartition!$B148="","",Répartition!$B148)</f>
        <v>Spéciale</v>
      </c>
      <c r="K148" s="82" t="str">
        <f>IF(Répartition!$G148="","",Répartition!$G148)</f>
        <v/>
      </c>
      <c r="L148" s="81" t="str">
        <f>IF(Répartition!$H148="","",Répartition!$H148)</f>
        <v/>
      </c>
      <c r="M148" s="150"/>
      <c r="N148" s="200" t="str">
        <f>IF(Répartition!$B148="","",Répartition!$B148)</f>
        <v>Spéciale</v>
      </c>
      <c r="O148" s="82" t="str">
        <f>IF(Répartition!$I148="","",Répartition!$I148)</f>
        <v/>
      </c>
      <c r="P148" s="81" t="str">
        <f>IF(Répartition!$J148="","",Répartition!$J148)</f>
        <v/>
      </c>
      <c r="Q148" s="150"/>
    </row>
    <row r="149" spans="1:17" ht="15" x14ac:dyDescent="0.25">
      <c r="B149" s="200" t="str">
        <f>IF(Répartition!$B149="","",Répartition!$B149)</f>
        <v>Spéciale</v>
      </c>
      <c r="C149" s="82" t="str">
        <f>IF(Répartition!$C149="","",Répartition!$C149)</f>
        <v>Médaille Crédit Mutuel Legé</v>
      </c>
      <c r="D149" s="81" t="str">
        <f>IF(Répartition!$D149="","",Répartition!$D149)</f>
        <v>Nature</v>
      </c>
      <c r="E149" s="149">
        <f>VLOOKUP(C149&amp;D149,code,2,0)</f>
        <v>108</v>
      </c>
      <c r="F149" s="200" t="str">
        <f>IF(Répartition!$B149="","",Répartition!$B149)</f>
        <v>Spéciale</v>
      </c>
      <c r="G149" s="82" t="str">
        <f>IF(Répartition!$E149="","",Répartition!$E149)</f>
        <v/>
      </c>
      <c r="H149" s="81" t="str">
        <f>IF(Répartition!$F149="","",Répartition!$F149)</f>
        <v/>
      </c>
      <c r="I149" s="150"/>
      <c r="J149" s="200" t="str">
        <f>IF(Répartition!$B149="","",Répartition!$B149)</f>
        <v>Spéciale</v>
      </c>
      <c r="K149" s="82" t="str">
        <f>IF(Répartition!$G149="","",Répartition!$G149)</f>
        <v/>
      </c>
      <c r="L149" s="81" t="str">
        <f>IF(Répartition!$H149="","",Répartition!$H149)</f>
        <v/>
      </c>
      <c r="M149" s="150"/>
      <c r="N149" s="200" t="str">
        <f>IF(Répartition!$B149="","",Répartition!$B149)</f>
        <v>Spéciale</v>
      </c>
      <c r="O149" s="82" t="str">
        <f>IF(Répartition!$I149="","",Répartition!$I149)</f>
        <v/>
      </c>
      <c r="P149" s="81" t="str">
        <f>IF(Répartition!$J149="","",Répartition!$J149)</f>
        <v/>
      </c>
      <c r="Q149" s="150"/>
    </row>
    <row r="150" spans="1:17" ht="15" x14ac:dyDescent="0.25">
      <c r="B150" s="200" t="str">
        <f>IF(Répartition!$B150="","",Répartition!$B150)</f>
        <v>Spéciale</v>
      </c>
      <c r="C150" s="82" t="str">
        <f>IF(Répartition!$C150="","",Répartition!$C150)</f>
        <v>Médaille de la Ville de Legé</v>
      </c>
      <c r="D150" s="81" t="str">
        <f>IF(Répartition!$D150="","",Répartition!$D150)</f>
        <v>Monochrome</v>
      </c>
      <c r="E150" s="149">
        <f>VLOOKUP(C150&amp;D150,code,2,0)</f>
        <v>109</v>
      </c>
      <c r="F150" s="200" t="str">
        <f>IF(Répartition!$B150="","",Répartition!$B150)</f>
        <v>Spéciale</v>
      </c>
      <c r="G150" s="82" t="str">
        <f>IF(Répartition!$E150="","",Répartition!$E150)</f>
        <v/>
      </c>
      <c r="H150" s="81" t="str">
        <f>IF(Répartition!$F150="","",Répartition!$F150)</f>
        <v/>
      </c>
      <c r="I150" s="150"/>
      <c r="J150" s="200" t="str">
        <f>IF(Répartition!$B150="","",Répartition!$B150)</f>
        <v>Spéciale</v>
      </c>
      <c r="K150" s="82" t="str">
        <f>IF(Répartition!$G150="","",Répartition!$G150)</f>
        <v/>
      </c>
      <c r="L150" s="81" t="str">
        <f>IF(Répartition!$H150="","",Répartition!$H150)</f>
        <v/>
      </c>
      <c r="M150" s="150"/>
      <c r="N150" s="200" t="str">
        <f>IF(Répartition!$B150="","",Répartition!$B150)</f>
        <v>Spéciale</v>
      </c>
      <c r="O150" s="82" t="str">
        <f>IF(Répartition!$I150="","",Répartition!$I150)</f>
        <v/>
      </c>
      <c r="P150" s="81" t="str">
        <f>IF(Répartition!$J150="","",Répartition!$J150)</f>
        <v/>
      </c>
      <c r="Q150" s="150"/>
    </row>
    <row r="151" spans="1:17" ht="15" x14ac:dyDescent="0.25">
      <c r="B151" s="200" t="str">
        <f>IF(Répartition!$B151="","",Répartition!$B151)</f>
        <v>Spéciale</v>
      </c>
      <c r="C151" s="82" t="str">
        <f>IF(Répartition!$C151="","",Répartition!$C151)</f>
        <v>Médaille de la Ville de Legé</v>
      </c>
      <c r="D151" s="81" t="str">
        <f>IF(Répartition!$D151="","",Répartition!$D151)</f>
        <v>Thème</v>
      </c>
      <c r="E151" s="149">
        <f>VLOOKUP(C151&amp;D151,code,2,0)</f>
        <v>110</v>
      </c>
      <c r="F151" s="200" t="str">
        <f>IF(Répartition!$B151="","",Répartition!$B151)</f>
        <v>Spéciale</v>
      </c>
      <c r="G151" s="82" t="str">
        <f>IF(Répartition!$E151="","",Répartition!$E151)</f>
        <v/>
      </c>
      <c r="H151" s="81" t="str">
        <f>IF(Répartition!$F151="","",Répartition!$F151)</f>
        <v/>
      </c>
      <c r="I151" s="150"/>
      <c r="J151" s="200" t="str">
        <f>IF(Répartition!$B151="","",Répartition!$B151)</f>
        <v>Spéciale</v>
      </c>
      <c r="K151" s="82" t="str">
        <f>IF(Répartition!$G151="","",Répartition!$G151)</f>
        <v/>
      </c>
      <c r="L151" s="81" t="str">
        <f>IF(Répartition!$H151="","",Répartition!$H151)</f>
        <v/>
      </c>
      <c r="M151" s="150"/>
      <c r="N151" s="200" t="str">
        <f>IF(Répartition!$B151="","",Répartition!$B151)</f>
        <v>Spéciale</v>
      </c>
      <c r="O151" s="82" t="str">
        <f>IF(Répartition!$I151="","",Répartition!$I151)</f>
        <v/>
      </c>
      <c r="P151" s="81" t="str">
        <f>IF(Répartition!$J151="","",Répartition!$J151)</f>
        <v/>
      </c>
      <c r="Q151" s="150"/>
    </row>
    <row r="152" spans="1:17" ht="15.75" customHeight="1" x14ac:dyDescent="0.25">
      <c r="B152" s="199" t="str">
        <f>IF(Répartition!$B152="","",Répartition!$B152)</f>
        <v/>
      </c>
      <c r="C152" s="82" t="str">
        <f>IF(Répartition!$C152="","",Répartition!$C152)</f>
        <v/>
      </c>
      <c r="D152" s="81" t="str">
        <f>IF(Répartition!$D152="","",Répartition!$D152)</f>
        <v/>
      </c>
      <c r="E152" s="150"/>
      <c r="F152" s="199" t="str">
        <f>IF(Répartition!$B152="","",Répartition!$B152)</f>
        <v/>
      </c>
      <c r="G152" s="82" t="str">
        <f>IF(Répartition!$E152="","",Répartition!$E152)</f>
        <v/>
      </c>
      <c r="H152" s="81" t="str">
        <f>IF(Répartition!$F152="","",Répartition!$F152)</f>
        <v/>
      </c>
      <c r="I152" s="150"/>
      <c r="J152" s="199" t="str">
        <f>IF(Répartition!$B152="","",Répartition!$B152)</f>
        <v/>
      </c>
      <c r="K152" s="82" t="str">
        <f>IF(Répartition!$G152="","",Répartition!$G152)</f>
        <v/>
      </c>
      <c r="L152" s="81" t="str">
        <f>IF(Répartition!$H152="","",Répartition!$H152)</f>
        <v/>
      </c>
      <c r="M152" s="150"/>
      <c r="N152" s="199" t="str">
        <f>IF(Répartition!$B152="","",Répartition!$B152)</f>
        <v/>
      </c>
      <c r="O152" s="82" t="str">
        <f>IF(Répartition!$I152="","",Répartition!$I152)</f>
        <v/>
      </c>
      <c r="P152" s="81" t="str">
        <f>IF(Répartition!$J152="","",Répartition!$J152)</f>
        <v/>
      </c>
      <c r="Q152" s="150"/>
    </row>
    <row r="153" spans="1:17" ht="15.75" thickBot="1" x14ac:dyDescent="0.3">
      <c r="B153" s="201" t="str">
        <f>IF(Répartition!$B153="","",Répartition!$B153)</f>
        <v/>
      </c>
      <c r="C153" s="129" t="str">
        <f>IF(Répartition!$C153="","",Répartition!$C153)</f>
        <v/>
      </c>
      <c r="D153" s="130" t="str">
        <f>IF(Répartition!$D153="","",Répartition!$D153)</f>
        <v/>
      </c>
      <c r="E153" s="150"/>
      <c r="F153" s="201" t="str">
        <f>IF(Répartition!$B153="","",Répartition!$B153)</f>
        <v/>
      </c>
      <c r="G153" s="82" t="str">
        <f>IF(Répartition!$E153="","",Répartition!$E153)</f>
        <v/>
      </c>
      <c r="H153" s="81" t="str">
        <f>IF(Répartition!$F153="","",Répartition!$F153)</f>
        <v/>
      </c>
      <c r="I153" s="150"/>
      <c r="J153" s="201" t="str">
        <f>IF(Répartition!$B153="","",Répartition!$B153)</f>
        <v/>
      </c>
      <c r="K153" s="82" t="str">
        <f>IF(Répartition!$G153="","",Répartition!$G153)</f>
        <v/>
      </c>
      <c r="L153" s="81" t="str">
        <f>IF(Répartition!$H153="","",Répartition!$H153)</f>
        <v/>
      </c>
      <c r="M153" s="150"/>
      <c r="N153" s="201" t="str">
        <f>IF(Répartition!$B153="","",Répartition!$B153)</f>
        <v/>
      </c>
      <c r="O153" s="82" t="str">
        <f>IF(Répartition!$I153="","",Répartition!$I153)</f>
        <v/>
      </c>
      <c r="P153" s="81" t="str">
        <f>IF(Répartition!$J153="","",Répartition!$J153)</f>
        <v/>
      </c>
      <c r="Q153" s="150"/>
    </row>
    <row r="154" spans="1:17" ht="15" x14ac:dyDescent="0.25">
      <c r="B154" s="69"/>
      <c r="C154" s="70"/>
      <c r="D154" s="1"/>
      <c r="E154" s="1"/>
      <c r="F154" s="1"/>
      <c r="G154" s="66"/>
      <c r="H154" s="1"/>
      <c r="I154" s="1"/>
      <c r="J154" s="1"/>
      <c r="K154" s="66"/>
      <c r="L154" s="1"/>
      <c r="M154" s="1"/>
      <c r="N154" s="1"/>
      <c r="O154" s="66"/>
      <c r="P154" s="1"/>
      <c r="Q154" s="1"/>
    </row>
  </sheetData>
  <sortState ref="N14:Q147">
    <sortCondition ref="Q14:Q147"/>
  </sortState>
  <mergeCells count="6">
    <mergeCell ref="S9:U10"/>
    <mergeCell ref="C2:P2"/>
    <mergeCell ref="C4:D5"/>
    <mergeCell ref="G4:H5"/>
    <mergeCell ref="K4:L5"/>
    <mergeCell ref="O4:P5"/>
  </mergeCells>
  <conditionalFormatting sqref="U136 Q148:Q152 U26 U118:U131 U40:U68 U84:U89">
    <cfRule type="cellIs" dxfId="124" priority="191" operator="equal">
      <formula>"*-*-*-"</formula>
    </cfRule>
  </conditionalFormatting>
  <conditionalFormatting sqref="U14">
    <cfRule type="cellIs" dxfId="104" priority="106" operator="equal">
      <formula>"*-*-*-"</formula>
    </cfRule>
  </conditionalFormatting>
  <conditionalFormatting sqref="T39:U39 U112:U115">
    <cfRule type="cellIs" dxfId="103" priority="104" operator="equal">
      <formula>"*-*-*-"</formula>
    </cfRule>
  </conditionalFormatting>
  <conditionalFormatting sqref="T137">
    <cfRule type="cellIs" dxfId="101" priority="105" operator="equal">
      <formula>"*-*-*-"</formula>
    </cfRule>
  </conditionalFormatting>
  <conditionalFormatting sqref="U15:U18">
    <cfRule type="cellIs" dxfId="100" priority="103" operator="equal">
      <formula>"*-*-*-"</formula>
    </cfRule>
  </conditionalFormatting>
  <conditionalFormatting sqref="U35:U36">
    <cfRule type="cellIs" dxfId="99" priority="102" operator="equal">
      <formula>"*-*-*-"</formula>
    </cfRule>
  </conditionalFormatting>
  <conditionalFormatting sqref="U37:U38">
    <cfRule type="cellIs" dxfId="98" priority="101" operator="equal">
      <formula>"*-*-*-"</formula>
    </cfRule>
  </conditionalFormatting>
  <conditionalFormatting sqref="U19:U22">
    <cfRule type="cellIs" dxfId="97" priority="100" operator="equal">
      <formula>"*-*-*-"</formula>
    </cfRule>
  </conditionalFormatting>
  <conditionalFormatting sqref="U69:U71">
    <cfRule type="cellIs" dxfId="96" priority="99" operator="equal">
      <formula>"*-*-*-"</formula>
    </cfRule>
  </conditionalFormatting>
  <conditionalFormatting sqref="U94:U95">
    <cfRule type="cellIs" dxfId="95" priority="97" operator="equal">
      <formula>"*-*-*-"</formula>
    </cfRule>
  </conditionalFormatting>
  <conditionalFormatting sqref="U90">
    <cfRule type="cellIs" dxfId="94" priority="95" operator="equal">
      <formula>"*-*-*-"</formula>
    </cfRule>
  </conditionalFormatting>
  <conditionalFormatting sqref="U91:U93">
    <cfRule type="cellIs" dxfId="93" priority="98" operator="equal">
      <formula>"*-*-*-"</formula>
    </cfRule>
  </conditionalFormatting>
  <conditionalFormatting sqref="U97:U99">
    <cfRule type="cellIs" dxfId="92" priority="93" operator="equal">
      <formula>"*-*-*-"</formula>
    </cfRule>
  </conditionalFormatting>
  <conditionalFormatting sqref="U96">
    <cfRule type="cellIs" dxfId="91" priority="92" operator="equal">
      <formula>"*-*-*-"</formula>
    </cfRule>
  </conditionalFormatting>
  <conditionalFormatting sqref="U100:U102">
    <cfRule type="cellIs" dxfId="90" priority="91" operator="equal">
      <formula>"*-*-*-"</formula>
    </cfRule>
  </conditionalFormatting>
  <conditionalFormatting sqref="U103">
    <cfRule type="cellIs" dxfId="89" priority="90" operator="equal">
      <formula>"*-*-*-"</formula>
    </cfRule>
  </conditionalFormatting>
  <conditionalFormatting sqref="U104:U107">
    <cfRule type="cellIs" dxfId="88" priority="89" operator="equal">
      <formula>"*-*-*-"</formula>
    </cfRule>
  </conditionalFormatting>
  <conditionalFormatting sqref="U108:U111">
    <cfRule type="cellIs" dxfId="87" priority="87" operator="equal">
      <formula>"*-*-*-"</formula>
    </cfRule>
  </conditionalFormatting>
  <conditionalFormatting sqref="U116:U117">
    <cfRule type="cellIs" dxfId="86" priority="86" operator="equal">
      <formula>"*-*-*-"</formula>
    </cfRule>
  </conditionalFormatting>
  <conditionalFormatting sqref="U134:U135">
    <cfRule type="cellIs" dxfId="85" priority="85" operator="equal">
      <formula>"*-*-*-"</formula>
    </cfRule>
  </conditionalFormatting>
  <conditionalFormatting sqref="U132:U133">
    <cfRule type="cellIs" dxfId="84" priority="84" operator="equal">
      <formula>"*-*-*-"</formula>
    </cfRule>
  </conditionalFormatting>
  <conditionalFormatting sqref="D15:D153">
    <cfRule type="cellIs" dxfId="83" priority="83" operator="equal">
      <formula>"*-*-*-"</formula>
    </cfRule>
  </conditionalFormatting>
  <conditionalFormatting sqref="Q14:Q147">
    <cfRule type="cellIs" dxfId="38" priority="38" operator="equal">
      <formula>"*-*-*-"</formula>
    </cfRule>
  </conditionalFormatting>
  <conditionalFormatting sqref="I148:I152">
    <cfRule type="cellIs" dxfId="22" priority="20" operator="equal">
      <formula>"*-*-*-"</formula>
    </cfRule>
  </conditionalFormatting>
  <conditionalFormatting sqref="I14:I147">
    <cfRule type="cellIs" dxfId="21" priority="19" operator="equal">
      <formula>"*-*-*-"</formula>
    </cfRule>
  </conditionalFormatting>
  <conditionalFormatting sqref="M148:M152">
    <cfRule type="cellIs" dxfId="20" priority="18" operator="equal">
      <formula>"*-*-*-"</formula>
    </cfRule>
  </conditionalFormatting>
  <conditionalFormatting sqref="M14:M147">
    <cfRule type="cellIs" dxfId="19" priority="17" operator="equal">
      <formula>"*-*-*-"</formula>
    </cfRule>
  </conditionalFormatting>
  <conditionalFormatting sqref="E152">
    <cfRule type="cellIs" dxfId="18" priority="16" operator="equal">
      <formula>"*-*-*-"</formula>
    </cfRule>
  </conditionalFormatting>
  <conditionalFormatting sqref="E14:E151">
    <cfRule type="cellIs" dxfId="17" priority="15" operator="equal">
      <formula>"*-*-*-"</formula>
    </cfRule>
  </conditionalFormatting>
  <conditionalFormatting sqref="U23:U25">
    <cfRule type="cellIs" dxfId="16" priority="14" operator="equal">
      <formula>"*-*-*-"</formula>
    </cfRule>
  </conditionalFormatting>
  <conditionalFormatting sqref="U72">
    <cfRule type="cellIs" dxfId="15" priority="13" operator="equal">
      <formula>"*-*-*-"</formula>
    </cfRule>
  </conditionalFormatting>
  <conditionalFormatting sqref="U73:U75">
    <cfRule type="cellIs" dxfId="14" priority="12" operator="equal">
      <formula>"*-*-*-"</formula>
    </cfRule>
  </conditionalFormatting>
  <conditionalFormatting sqref="U27:U30">
    <cfRule type="cellIs" dxfId="13" priority="11" operator="equal">
      <formula>"*-*-*-"</formula>
    </cfRule>
  </conditionalFormatting>
  <conditionalFormatting sqref="U76">
    <cfRule type="cellIs" dxfId="12" priority="10" operator="equal">
      <formula>"*-*-*-"</formula>
    </cfRule>
  </conditionalFormatting>
  <conditionalFormatting sqref="U77:U79">
    <cfRule type="cellIs" dxfId="11" priority="9" operator="equal">
      <formula>"*-*-*-"</formula>
    </cfRule>
  </conditionalFormatting>
  <conditionalFormatting sqref="U31:U34">
    <cfRule type="cellIs" dxfId="7" priority="5" operator="equal">
      <formula>"*-*-*-"</formula>
    </cfRule>
  </conditionalFormatting>
  <conditionalFormatting sqref="U80">
    <cfRule type="cellIs" dxfId="6" priority="4" operator="equal">
      <formula>"*-*-*-"</formula>
    </cfRule>
  </conditionalFormatting>
  <conditionalFormatting sqref="U81:U83">
    <cfRule type="cellIs" dxfId="5" priority="3" operator="equal">
      <formula>"*-*-*-"</formula>
    </cfRule>
  </conditionalFormatting>
  <conditionalFormatting sqref="H15:H153 L15:L153 P15:P153">
    <cfRule type="cellIs" dxfId="4" priority="1" operator="equal">
      <formula>"*-*-*-"</formula>
    </cfRule>
  </conditionalFormatting>
  <pageMargins left="0.7" right="0.7" top="0.75" bottom="0.75" header="0.3" footer="0.3"/>
  <pageSetup paperSize="9" orientation="portrait" r:id="rId1"/>
  <ignoredErrors>
    <ignoredError sqref="B152:E153 J148:Q151 B14:E151 J152:Q153 F14:I147 F148:H153 J14:M147 N14:Q1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1"/>
  <sheetViews>
    <sheetView workbookViewId="0">
      <selection activeCell="G38" sqref="G37:G38"/>
    </sheetView>
  </sheetViews>
  <sheetFormatPr baseColWidth="10" defaultColWidth="11.42578125" defaultRowHeight="15" x14ac:dyDescent="0.25"/>
  <cols>
    <col min="1" max="1" width="3.7109375" style="88" customWidth="1"/>
    <col min="2" max="2" width="22.140625" style="88" customWidth="1"/>
    <col min="3" max="3" width="13.42578125" style="88" bestFit="1" customWidth="1"/>
    <col min="4" max="9" width="12.7109375" style="88" customWidth="1"/>
    <col min="10" max="10" width="4" style="88" bestFit="1" customWidth="1"/>
    <col min="11" max="11" width="5.5703125" style="89" bestFit="1" customWidth="1"/>
    <col min="12" max="16384" width="11.42578125" style="88"/>
  </cols>
  <sheetData>
    <row r="1" spans="1:11" ht="15.75" thickBot="1" x14ac:dyDescent="0.3"/>
    <row r="2" spans="1:11" s="90" customFormat="1" ht="27" thickBot="1" x14ac:dyDescent="0.3">
      <c r="B2" s="189" t="s">
        <v>110</v>
      </c>
      <c r="C2" s="190"/>
      <c r="D2" s="190"/>
      <c r="E2" s="190"/>
      <c r="F2" s="190"/>
      <c r="G2" s="190"/>
      <c r="H2" s="190"/>
      <c r="I2" s="191"/>
      <c r="J2" s="91"/>
      <c r="K2" s="92"/>
    </row>
    <row r="3" spans="1:11" s="90" customFormat="1" ht="27" thickBot="1" x14ac:dyDescent="0.3">
      <c r="B3" s="93"/>
      <c r="C3" s="93"/>
      <c r="D3" s="93"/>
      <c r="E3" s="93"/>
      <c r="F3" s="93"/>
      <c r="G3" s="93"/>
      <c r="H3" s="93"/>
      <c r="I3" s="93"/>
      <c r="J3" s="91"/>
      <c r="K3" s="92"/>
    </row>
    <row r="4" spans="1:11" ht="15" customHeight="1" thickBot="1" x14ac:dyDescent="0.3">
      <c r="B4" s="192" t="s">
        <v>22</v>
      </c>
      <c r="C4" s="193"/>
      <c r="F4" s="94"/>
      <c r="G4" s="95"/>
    </row>
    <row r="5" spans="1:11" ht="15.75" thickBot="1" x14ac:dyDescent="0.3">
      <c r="C5" s="96" t="s">
        <v>0</v>
      </c>
      <c r="D5" s="96" t="s">
        <v>1</v>
      </c>
      <c r="E5" s="96" t="s">
        <v>2</v>
      </c>
      <c r="F5" s="96" t="s">
        <v>3</v>
      </c>
      <c r="G5" s="96" t="s">
        <v>4</v>
      </c>
      <c r="H5" s="96" t="s">
        <v>5</v>
      </c>
      <c r="I5" s="96" t="s">
        <v>6</v>
      </c>
      <c r="J5" s="97"/>
      <c r="K5" s="96" t="s">
        <v>7</v>
      </c>
    </row>
    <row r="6" spans="1:11" ht="5.0999999999999996" customHeight="1" thickBot="1" x14ac:dyDescent="0.3">
      <c r="C6" s="89"/>
      <c r="D6" s="89"/>
      <c r="E6" s="89"/>
      <c r="F6" s="89"/>
      <c r="G6" s="89"/>
      <c r="H6" s="89"/>
      <c r="I6" s="89"/>
      <c r="J6" s="89"/>
    </row>
    <row r="7" spans="1:11" x14ac:dyDescent="0.25">
      <c r="A7" s="98"/>
      <c r="B7" s="99" t="s">
        <v>8</v>
      </c>
      <c r="C7" s="119">
        <v>4</v>
      </c>
      <c r="D7" s="120"/>
      <c r="E7" s="119">
        <v>8</v>
      </c>
      <c r="F7" s="119">
        <v>8</v>
      </c>
      <c r="G7" s="119">
        <v>8</v>
      </c>
      <c r="H7" s="121" t="s">
        <v>9</v>
      </c>
      <c r="I7" s="119">
        <v>56</v>
      </c>
      <c r="J7" s="100">
        <f t="shared" ref="J7:J12" si="0">SUM(C7:I7)</f>
        <v>84</v>
      </c>
      <c r="K7" s="101" t="str">
        <f t="shared" ref="K7:K12" si="1">IF(J7=J20,"OK","KO")</f>
        <v>OK</v>
      </c>
    </row>
    <row r="8" spans="1:11" x14ac:dyDescent="0.25">
      <c r="A8" s="98"/>
      <c r="B8" s="102" t="s">
        <v>10</v>
      </c>
      <c r="C8" s="122" t="s">
        <v>9</v>
      </c>
      <c r="D8" s="123">
        <v>4</v>
      </c>
      <c r="E8" s="123">
        <v>16</v>
      </c>
      <c r="F8" s="123">
        <v>16</v>
      </c>
      <c r="G8" s="123">
        <v>16</v>
      </c>
      <c r="H8" s="123">
        <v>112</v>
      </c>
      <c r="I8" s="124" t="s">
        <v>9</v>
      </c>
      <c r="J8" s="100">
        <f t="shared" si="0"/>
        <v>164</v>
      </c>
      <c r="K8" s="101" t="str">
        <f t="shared" si="1"/>
        <v>OK</v>
      </c>
    </row>
    <row r="9" spans="1:11" x14ac:dyDescent="0.25">
      <c r="A9" s="98"/>
      <c r="B9" s="102" t="s">
        <v>11</v>
      </c>
      <c r="C9" s="122" t="s">
        <v>9</v>
      </c>
      <c r="D9" s="122"/>
      <c r="E9" s="123">
        <v>16</v>
      </c>
      <c r="F9" s="123">
        <v>16</v>
      </c>
      <c r="G9" s="123">
        <v>16</v>
      </c>
      <c r="H9" s="123">
        <v>32</v>
      </c>
      <c r="I9" s="124" t="s">
        <v>9</v>
      </c>
      <c r="J9" s="100">
        <f t="shared" si="0"/>
        <v>80</v>
      </c>
      <c r="K9" s="101" t="str">
        <f t="shared" si="1"/>
        <v>OK</v>
      </c>
    </row>
    <row r="10" spans="1:11" x14ac:dyDescent="0.25">
      <c r="A10" s="98"/>
      <c r="B10" s="102" t="s">
        <v>12</v>
      </c>
      <c r="C10" s="124" t="s">
        <v>9</v>
      </c>
      <c r="D10" s="124" t="s">
        <v>9</v>
      </c>
      <c r="E10" s="123">
        <v>4</v>
      </c>
      <c r="F10" s="123">
        <v>4</v>
      </c>
      <c r="G10" s="123">
        <v>4</v>
      </c>
      <c r="H10" s="123">
        <v>24</v>
      </c>
      <c r="I10" s="124" t="s">
        <v>9</v>
      </c>
      <c r="J10" s="100">
        <f t="shared" si="0"/>
        <v>36</v>
      </c>
      <c r="K10" s="101" t="str">
        <f t="shared" si="1"/>
        <v>OK</v>
      </c>
    </row>
    <row r="11" spans="1:11" x14ac:dyDescent="0.25">
      <c r="A11" s="98"/>
      <c r="B11" s="102" t="s">
        <v>13</v>
      </c>
      <c r="C11" s="124" t="s">
        <v>9</v>
      </c>
      <c r="D11" s="124" t="s">
        <v>9</v>
      </c>
      <c r="E11" s="123">
        <v>4</v>
      </c>
      <c r="F11" s="123">
        <v>4</v>
      </c>
      <c r="G11" s="123">
        <v>4</v>
      </c>
      <c r="H11" s="124" t="s">
        <v>9</v>
      </c>
      <c r="I11" s="124">
        <v>48</v>
      </c>
      <c r="J11" s="100">
        <f t="shared" si="0"/>
        <v>60</v>
      </c>
      <c r="K11" s="101" t="str">
        <f t="shared" si="1"/>
        <v>OK</v>
      </c>
    </row>
    <row r="12" spans="1:11" ht="15.75" thickBot="1" x14ac:dyDescent="0.3">
      <c r="A12" s="98"/>
      <c r="B12" s="102" t="s">
        <v>14</v>
      </c>
      <c r="C12" s="124" t="s">
        <v>9</v>
      </c>
      <c r="D12" s="124" t="s">
        <v>9</v>
      </c>
      <c r="E12" s="123">
        <v>16</v>
      </c>
      <c r="F12" s="123">
        <v>16</v>
      </c>
      <c r="G12" s="123">
        <v>16</v>
      </c>
      <c r="H12" s="122" t="s">
        <v>9</v>
      </c>
      <c r="I12" s="124">
        <v>48</v>
      </c>
      <c r="J12" s="100">
        <f t="shared" si="0"/>
        <v>96</v>
      </c>
      <c r="K12" s="101" t="str">
        <f t="shared" si="1"/>
        <v>OK</v>
      </c>
    </row>
    <row r="13" spans="1:11" ht="15.75" thickBot="1" x14ac:dyDescent="0.3">
      <c r="A13" s="98"/>
      <c r="B13" s="103" t="s">
        <v>15</v>
      </c>
      <c r="C13" s="104"/>
      <c r="D13" s="104"/>
      <c r="E13" s="104" t="s">
        <v>16</v>
      </c>
      <c r="F13" s="104" t="s">
        <v>17</v>
      </c>
      <c r="G13" s="104" t="s">
        <v>94</v>
      </c>
      <c r="H13" s="104" t="s">
        <v>19</v>
      </c>
      <c r="I13" s="104"/>
      <c r="J13" s="100"/>
      <c r="K13" s="101" t="str">
        <f t="shared" ref="K13:K14" si="2">IF(J13=J26,"OK","KO")</f>
        <v>OK</v>
      </c>
    </row>
    <row r="14" spans="1:11" ht="15.75" thickBot="1" x14ac:dyDescent="0.3">
      <c r="A14" s="98"/>
      <c r="B14" s="105"/>
      <c r="C14" s="106"/>
      <c r="D14" s="106"/>
      <c r="E14" s="125">
        <v>4</v>
      </c>
      <c r="F14" s="125">
        <v>4</v>
      </c>
      <c r="G14" s="125">
        <v>4</v>
      </c>
      <c r="H14" s="125">
        <v>4</v>
      </c>
      <c r="I14" s="106"/>
      <c r="J14" s="100">
        <f>SUM(C14:H14)</f>
        <v>16</v>
      </c>
      <c r="K14" s="101" t="str">
        <f t="shared" si="2"/>
        <v>OK</v>
      </c>
    </row>
    <row r="15" spans="1:11" x14ac:dyDescent="0.25">
      <c r="A15" s="98"/>
      <c r="B15" s="105"/>
      <c r="C15" s="100"/>
      <c r="D15" s="100"/>
      <c r="E15" s="100"/>
      <c r="F15" s="100"/>
      <c r="G15" s="100"/>
      <c r="H15" s="100"/>
      <c r="I15" s="100"/>
      <c r="J15" s="100">
        <f>SUM(J7:J14)</f>
        <v>536</v>
      </c>
      <c r="K15" s="100"/>
    </row>
    <row r="16" spans="1:11" ht="15.75" thickBot="1" x14ac:dyDescent="0.3">
      <c r="A16" s="98"/>
      <c r="C16" s="100"/>
      <c r="D16" s="100"/>
      <c r="E16" s="100"/>
      <c r="F16" s="100"/>
      <c r="G16" s="100"/>
      <c r="H16" s="100"/>
      <c r="I16" s="100"/>
      <c r="J16" s="107"/>
    </row>
    <row r="17" spans="1:11" ht="15.75" thickBot="1" x14ac:dyDescent="0.3">
      <c r="A17" s="98"/>
      <c r="B17" s="194" t="s">
        <v>20</v>
      </c>
      <c r="C17" s="195"/>
      <c r="D17" s="108"/>
      <c r="E17" s="98"/>
      <c r="F17" s="98"/>
      <c r="G17" s="98"/>
      <c r="H17" s="98"/>
      <c r="I17" s="98"/>
      <c r="J17" s="107"/>
      <c r="K17" s="109"/>
    </row>
    <row r="18" spans="1:11" ht="15.75" thickBot="1" x14ac:dyDescent="0.3">
      <c r="A18" s="98"/>
      <c r="B18" s="110"/>
      <c r="C18" s="104" t="s">
        <v>0</v>
      </c>
      <c r="D18" s="104" t="s">
        <v>1</v>
      </c>
      <c r="E18" s="104" t="s">
        <v>2</v>
      </c>
      <c r="F18" s="104" t="s">
        <v>3</v>
      </c>
      <c r="G18" s="104" t="s">
        <v>4</v>
      </c>
      <c r="H18" s="104" t="s">
        <v>5</v>
      </c>
      <c r="I18" s="104" t="s">
        <v>6</v>
      </c>
      <c r="J18" s="111"/>
      <c r="K18" s="111"/>
    </row>
    <row r="19" spans="1:11" ht="5.0999999999999996" customHeight="1" thickBot="1" x14ac:dyDescent="0.3">
      <c r="B19" s="110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s="98" customFormat="1" ht="12.75" x14ac:dyDescent="0.25">
      <c r="B20" s="112" t="s">
        <v>8</v>
      </c>
      <c r="C20" s="126">
        <v>4</v>
      </c>
      <c r="D20" s="127" t="s">
        <v>9</v>
      </c>
      <c r="E20" s="126">
        <v>8</v>
      </c>
      <c r="F20" s="126">
        <v>8</v>
      </c>
      <c r="G20" s="126">
        <v>8</v>
      </c>
      <c r="H20" s="127" t="s">
        <v>9</v>
      </c>
      <c r="I20" s="126">
        <v>56</v>
      </c>
      <c r="J20" s="113">
        <f>SUM(C20:I20)</f>
        <v>84</v>
      </c>
      <c r="K20" s="114">
        <v>84</v>
      </c>
    </row>
    <row r="21" spans="1:11" s="98" customFormat="1" ht="12.75" x14ac:dyDescent="0.25">
      <c r="B21" s="115" t="s">
        <v>10</v>
      </c>
      <c r="C21" s="124" t="s">
        <v>9</v>
      </c>
      <c r="D21" s="128">
        <v>4</v>
      </c>
      <c r="E21" s="128">
        <v>16</v>
      </c>
      <c r="F21" s="128">
        <v>16</v>
      </c>
      <c r="G21" s="128">
        <v>16</v>
      </c>
      <c r="H21" s="128">
        <v>112</v>
      </c>
      <c r="I21" s="124" t="s">
        <v>9</v>
      </c>
      <c r="J21" s="113">
        <f>SUM(D21:I21)</f>
        <v>164</v>
      </c>
      <c r="K21" s="114">
        <v>164</v>
      </c>
    </row>
    <row r="22" spans="1:11" s="98" customFormat="1" ht="12.75" x14ac:dyDescent="0.25">
      <c r="B22" s="115" t="s">
        <v>11</v>
      </c>
      <c r="C22" s="124" t="s">
        <v>9</v>
      </c>
      <c r="D22" s="124" t="s">
        <v>9</v>
      </c>
      <c r="E22" s="128">
        <v>16</v>
      </c>
      <c r="F22" s="128">
        <v>16</v>
      </c>
      <c r="G22" s="128">
        <v>16</v>
      </c>
      <c r="H22" s="128">
        <v>32</v>
      </c>
      <c r="I22" s="124" t="s">
        <v>9</v>
      </c>
      <c r="J22" s="113">
        <f>SUM(E22:I22)</f>
        <v>80</v>
      </c>
      <c r="K22" s="114">
        <v>176</v>
      </c>
    </row>
    <row r="23" spans="1:11" s="98" customFormat="1" ht="12.75" x14ac:dyDescent="0.25">
      <c r="B23" s="115" t="s">
        <v>23</v>
      </c>
      <c r="C23" s="124" t="s">
        <v>9</v>
      </c>
      <c r="D23" s="124" t="s">
        <v>9</v>
      </c>
      <c r="E23" s="128">
        <v>4</v>
      </c>
      <c r="F23" s="128">
        <v>4</v>
      </c>
      <c r="G23" s="128">
        <v>4</v>
      </c>
      <c r="H23" s="128">
        <v>24</v>
      </c>
      <c r="I23" s="124" t="s">
        <v>9</v>
      </c>
      <c r="J23" s="113">
        <f>SUM(E23:I23)</f>
        <v>36</v>
      </c>
      <c r="K23" s="114">
        <v>44</v>
      </c>
    </row>
    <row r="24" spans="1:11" s="98" customFormat="1" ht="12.75" x14ac:dyDescent="0.25">
      <c r="B24" s="115" t="s">
        <v>13</v>
      </c>
      <c r="C24" s="124" t="s">
        <v>9</v>
      </c>
      <c r="D24" s="124" t="s">
        <v>9</v>
      </c>
      <c r="E24" s="128">
        <v>4</v>
      </c>
      <c r="F24" s="128">
        <v>4</v>
      </c>
      <c r="G24" s="128">
        <v>4</v>
      </c>
      <c r="H24" s="124" t="s">
        <v>9</v>
      </c>
      <c r="I24" s="128">
        <v>48</v>
      </c>
      <c r="J24" s="113">
        <f>SUM(E24:I24)</f>
        <v>60</v>
      </c>
      <c r="K24" s="114">
        <v>60</v>
      </c>
    </row>
    <row r="25" spans="1:11" s="98" customFormat="1" ht="13.5" thickBot="1" x14ac:dyDescent="0.3">
      <c r="B25" s="115" t="s">
        <v>14</v>
      </c>
      <c r="C25" s="124" t="s">
        <v>9</v>
      </c>
      <c r="D25" s="124" t="s">
        <v>9</v>
      </c>
      <c r="E25" s="128">
        <v>16</v>
      </c>
      <c r="F25" s="128">
        <v>16</v>
      </c>
      <c r="G25" s="128">
        <v>16</v>
      </c>
      <c r="H25" s="124" t="s">
        <v>9</v>
      </c>
      <c r="I25" s="128">
        <v>48</v>
      </c>
      <c r="J25" s="113">
        <f>SUM(E25:I25)</f>
        <v>96</v>
      </c>
      <c r="K25" s="114">
        <v>96</v>
      </c>
    </row>
    <row r="26" spans="1:11" s="98" customFormat="1" ht="13.5" thickBot="1" x14ac:dyDescent="0.3">
      <c r="B26" s="116"/>
      <c r="C26" s="104"/>
      <c r="D26" s="104"/>
      <c r="E26" s="104" t="s">
        <v>16</v>
      </c>
      <c r="F26" s="104" t="s">
        <v>17</v>
      </c>
      <c r="G26" s="104" t="s">
        <v>94</v>
      </c>
      <c r="H26" s="87" t="s">
        <v>19</v>
      </c>
      <c r="I26" s="104"/>
      <c r="J26" s="113"/>
      <c r="K26" s="114">
        <v>0</v>
      </c>
    </row>
    <row r="27" spans="1:11" s="98" customFormat="1" ht="13.5" thickBot="1" x14ac:dyDescent="0.3">
      <c r="B27" s="117" t="s">
        <v>15</v>
      </c>
      <c r="C27" s="106"/>
      <c r="D27" s="106"/>
      <c r="E27" s="125">
        <v>4</v>
      </c>
      <c r="F27" s="125">
        <v>4</v>
      </c>
      <c r="G27" s="125">
        <v>4</v>
      </c>
      <c r="H27" s="125">
        <v>4</v>
      </c>
      <c r="I27" s="106"/>
      <c r="J27" s="113">
        <f t="shared" ref="J27" si="3">SUM(E27:I27)</f>
        <v>16</v>
      </c>
      <c r="K27" s="114">
        <v>16</v>
      </c>
    </row>
    <row r="28" spans="1:11" s="98" customFormat="1" ht="12.75" x14ac:dyDescent="0.25">
      <c r="B28" s="118"/>
      <c r="C28" s="111"/>
      <c r="D28" s="111"/>
      <c r="E28" s="111"/>
      <c r="F28" s="111"/>
      <c r="G28" s="111"/>
      <c r="H28" s="111"/>
      <c r="I28" s="100" t="s">
        <v>21</v>
      </c>
      <c r="J28" s="100">
        <f>SUM(J20:J27)</f>
        <v>536</v>
      </c>
      <c r="K28" s="100">
        <f>SUM(K20:K27)</f>
        <v>640</v>
      </c>
    </row>
    <row r="31" spans="1:11" x14ac:dyDescent="0.25">
      <c r="I31" s="86"/>
    </row>
  </sheetData>
  <mergeCells count="3">
    <mergeCell ref="B2:I2"/>
    <mergeCell ref="B4:C4"/>
    <mergeCell ref="B17:C17"/>
  </mergeCells>
  <conditionalFormatting sqref="K7:K14">
    <cfRule type="cellIs" dxfId="1" priority="3" operator="equal">
      <formula>"KO"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orientation="portrait" horizontalDpi="4294967293" r:id="rId1"/>
  <ignoredErrors>
    <ignoredError sqref="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Répartition</vt:lpstr>
      <vt:lpstr>Tableau médailles</vt:lpstr>
      <vt:lpstr>Médailles Commandées</vt:lpstr>
      <vt:lpstr>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Cordial</cp:lastModifiedBy>
  <dcterms:created xsi:type="dcterms:W3CDTF">2021-02-22T10:54:30Z</dcterms:created>
  <dcterms:modified xsi:type="dcterms:W3CDTF">2023-11-16T17:01:27Z</dcterms:modified>
</cp:coreProperties>
</file>