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C:\Users\joelb\OneDrive\Documents\GPRO\new GPRO\outils\"/>
    </mc:Choice>
  </mc:AlternateContent>
  <xr:revisionPtr revIDLastSave="0" documentId="13_ncr:1_{B9BCDB77-6C5A-412E-B3E4-BC666CA362CB}" xr6:coauthVersionLast="47" xr6:coauthVersionMax="47" xr10:uidLastSave="{00000000-0000-0000-0000-000000000000}"/>
  <bookViews>
    <workbookView xWindow="-108" yWindow="-108" windowWidth="23256" windowHeight="13176" tabRatio="278" xr2:uid="{00000000-000D-0000-FFFF-FFFF00000000}"/>
  </bookViews>
  <sheets>
    <sheet name="tableau financier" sheetId="1" r:id="rId1"/>
    <sheet name="données" sheetId="2" r:id="rId2"/>
    <sheet name="constantes gp" sheetId="6" r:id="rId3"/>
    <sheet name="Feuil2" sheetId="8" r:id="rId4"/>
    <sheet name="Feuil1" sheetId="7" r:id="rId5"/>
    <sheet name="upgrade" sheetId="3" r:id="rId6"/>
    <sheet name="level voiture" sheetId="4" r:id="rId7"/>
    <sheet name="Rapport sur la compatibilité" sheetId="5" r:id="rId8"/>
  </sheets>
  <externalReferences>
    <externalReference r:id="rId9"/>
  </externalReferences>
  <definedNames>
    <definedName name="Agr">[1]Fuel_Raw_Data!$AI$73</definedName>
    <definedName name="CirA">[1]Fuel_Raw_Data!$AI$74</definedName>
    <definedName name="Con">[1]Fuel_Raw_Data!$AI$65</definedName>
    <definedName name="CTA">[1]Fuel_Raw_Data!$AI$69</definedName>
    <definedName name="CTR">[1]Fuel_Raw_Data!$AI$64</definedName>
    <definedName name="Endu">[1]Fuel_Raw_Data!$AI$70</definedName>
    <definedName name="Exp">[1]Fuel_Raw_Data!$AI$66</definedName>
    <definedName name="Motiv">[1]Fuel_Raw_Data!$AI$72</definedName>
    <definedName name="Poids">[1]Fuel_Raw_Data!$AI$68</definedName>
    <definedName name="talent">[1]Fuel_Raw_Data!$AI$71</definedName>
    <definedName name="tech">[1]Fuel_Raw_Data!$AI$67</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69" i="1" l="1"/>
  <c r="AJ67" i="1"/>
  <c r="AJ65" i="1"/>
  <c r="AJ63" i="1"/>
  <c r="AJ61" i="1"/>
  <c r="AJ59" i="1"/>
  <c r="AJ57" i="1"/>
  <c r="AJ55" i="1"/>
  <c r="AJ53" i="1"/>
  <c r="AJ51" i="1"/>
  <c r="AJ49" i="1"/>
  <c r="AJ47" i="1"/>
  <c r="AJ45" i="1"/>
  <c r="AJ43" i="1"/>
  <c r="AJ41" i="1"/>
  <c r="AJ39" i="1"/>
  <c r="AJ37" i="1"/>
  <c r="AJ35" i="1"/>
  <c r="AJ33" i="1"/>
  <c r="AJ31" i="1"/>
  <c r="AJ29" i="1"/>
  <c r="AJ27" i="1"/>
  <c r="AH69" i="1"/>
  <c r="AH67" i="1"/>
  <c r="AH65" i="1"/>
  <c r="AH63" i="1"/>
  <c r="AH61" i="1"/>
  <c r="AH59" i="1"/>
  <c r="AH57" i="1"/>
  <c r="AH55" i="1"/>
  <c r="AH53" i="1"/>
  <c r="AH51" i="1"/>
  <c r="AH49" i="1"/>
  <c r="AH47" i="1"/>
  <c r="AH45" i="1"/>
  <c r="AH43" i="1"/>
  <c r="AH41" i="1"/>
  <c r="AH39" i="1"/>
  <c r="AH37" i="1"/>
  <c r="AH35" i="1"/>
  <c r="AH33" i="1"/>
  <c r="AH31" i="1"/>
  <c r="AH29" i="1"/>
  <c r="AH27" i="1"/>
  <c r="AF69" i="1"/>
  <c r="AF67" i="1"/>
  <c r="AF65" i="1"/>
  <c r="AF63" i="1"/>
  <c r="AF61" i="1"/>
  <c r="AF59" i="1"/>
  <c r="AF57" i="1"/>
  <c r="AF55" i="1"/>
  <c r="AF53" i="1"/>
  <c r="AF51" i="1"/>
  <c r="AF49" i="1"/>
  <c r="AF47" i="1"/>
  <c r="AF45" i="1"/>
  <c r="AF43" i="1"/>
  <c r="AF41" i="1"/>
  <c r="AF39" i="1"/>
  <c r="AF37" i="1"/>
  <c r="AF35" i="1"/>
  <c r="AF33" i="1"/>
  <c r="AF31" i="1"/>
  <c r="AF29" i="1"/>
  <c r="AF27" i="1"/>
  <c r="AD69" i="1"/>
  <c r="AD67" i="1"/>
  <c r="AD65" i="1"/>
  <c r="AD63" i="1"/>
  <c r="AD61" i="1"/>
  <c r="AD59" i="1"/>
  <c r="AD57" i="1"/>
  <c r="AD55" i="1"/>
  <c r="AD53" i="1"/>
  <c r="AD51" i="1"/>
  <c r="AD49" i="1"/>
  <c r="AD47" i="1"/>
  <c r="AD45" i="1"/>
  <c r="AD43" i="1"/>
  <c r="AD41" i="1"/>
  <c r="AD39" i="1"/>
  <c r="AD37" i="1"/>
  <c r="AD35" i="1"/>
  <c r="AD33" i="1"/>
  <c r="AD31" i="1"/>
  <c r="AD29" i="1"/>
  <c r="AD27" i="1"/>
  <c r="AB69" i="1"/>
  <c r="AB67" i="1"/>
  <c r="AB65" i="1"/>
  <c r="AB63" i="1"/>
  <c r="AB61" i="1"/>
  <c r="AB59" i="1"/>
  <c r="AB57" i="1"/>
  <c r="AB55" i="1"/>
  <c r="AB53" i="1"/>
  <c r="AB51" i="1"/>
  <c r="AB49" i="1"/>
  <c r="AB47" i="1"/>
  <c r="AB45" i="1"/>
  <c r="AB43" i="1"/>
  <c r="AB41" i="1"/>
  <c r="AB39" i="1"/>
  <c r="AB37" i="1"/>
  <c r="AB35" i="1"/>
  <c r="AB33" i="1"/>
  <c r="AB31" i="1"/>
  <c r="AB29" i="1"/>
  <c r="AB27" i="1"/>
  <c r="Z69" i="1"/>
  <c r="Z67" i="1"/>
  <c r="Z65" i="1"/>
  <c r="Z63" i="1"/>
  <c r="Z61" i="1"/>
  <c r="Z59" i="1"/>
  <c r="Z57" i="1"/>
  <c r="Z55" i="1"/>
  <c r="Z53" i="1"/>
  <c r="Z51" i="1"/>
  <c r="Z49" i="1"/>
  <c r="Z47" i="1"/>
  <c r="Z45" i="1"/>
  <c r="Z43" i="1"/>
  <c r="Z41" i="1"/>
  <c r="Z39" i="1"/>
  <c r="Z37" i="1"/>
  <c r="Z35" i="1"/>
  <c r="Z33" i="1"/>
  <c r="Z31" i="1"/>
  <c r="Z29" i="1"/>
  <c r="Z27" i="1"/>
  <c r="X69" i="1"/>
  <c r="X67" i="1"/>
  <c r="X65" i="1"/>
  <c r="X63" i="1"/>
  <c r="X61" i="1"/>
  <c r="X59" i="1"/>
  <c r="X57" i="1"/>
  <c r="X55" i="1"/>
  <c r="X53" i="1"/>
  <c r="X51" i="1"/>
  <c r="X49" i="1"/>
  <c r="X47" i="1"/>
  <c r="X45" i="1"/>
  <c r="X43" i="1"/>
  <c r="X41" i="1"/>
  <c r="X39" i="1"/>
  <c r="X37" i="1"/>
  <c r="X35" i="1"/>
  <c r="X33" i="1"/>
  <c r="X31" i="1"/>
  <c r="X29" i="1"/>
  <c r="X27" i="1"/>
  <c r="V69" i="1"/>
  <c r="V67" i="1"/>
  <c r="V65" i="1"/>
  <c r="V63" i="1"/>
  <c r="V61" i="1"/>
  <c r="V59" i="1"/>
  <c r="V57" i="1"/>
  <c r="V55" i="1"/>
  <c r="V53" i="1"/>
  <c r="V51" i="1"/>
  <c r="V49" i="1"/>
  <c r="V47" i="1"/>
  <c r="V45" i="1"/>
  <c r="V43" i="1"/>
  <c r="V41" i="1"/>
  <c r="V39" i="1"/>
  <c r="V37" i="1"/>
  <c r="V35" i="1"/>
  <c r="V33" i="1"/>
  <c r="V31" i="1"/>
  <c r="V29" i="1"/>
  <c r="V27" i="1"/>
  <c r="T69" i="1"/>
  <c r="T67" i="1"/>
  <c r="T65" i="1"/>
  <c r="T63" i="1"/>
  <c r="T61" i="1"/>
  <c r="T59" i="1"/>
  <c r="T57" i="1"/>
  <c r="T55" i="1"/>
  <c r="T53" i="1"/>
  <c r="T51" i="1"/>
  <c r="T49" i="1"/>
  <c r="T47" i="1"/>
  <c r="T45" i="1"/>
  <c r="T43" i="1"/>
  <c r="T41" i="1"/>
  <c r="T39" i="1"/>
  <c r="T37" i="1"/>
  <c r="T35" i="1"/>
  <c r="T33" i="1"/>
  <c r="T31" i="1"/>
  <c r="T29" i="1"/>
  <c r="T27" i="1"/>
  <c r="R69" i="1"/>
  <c r="R67" i="1"/>
  <c r="R65" i="1"/>
  <c r="R63" i="1"/>
  <c r="R61" i="1"/>
  <c r="R59" i="1"/>
  <c r="R57" i="1"/>
  <c r="R55" i="1"/>
  <c r="R53" i="1"/>
  <c r="R51" i="1"/>
  <c r="R49" i="1"/>
  <c r="R47" i="1"/>
  <c r="R45" i="1"/>
  <c r="R43" i="1"/>
  <c r="R41" i="1"/>
  <c r="R39" i="1"/>
  <c r="R37" i="1"/>
  <c r="R35" i="1"/>
  <c r="R33" i="1"/>
  <c r="R31" i="1"/>
  <c r="R29" i="1"/>
  <c r="R27" i="1"/>
  <c r="P69" i="1"/>
  <c r="P67" i="1"/>
  <c r="P65" i="1"/>
  <c r="P63" i="1"/>
  <c r="P61" i="1"/>
  <c r="P59" i="1"/>
  <c r="P57" i="1"/>
  <c r="P55" i="1"/>
  <c r="P53" i="1"/>
  <c r="P51" i="1"/>
  <c r="P49" i="1"/>
  <c r="P47" i="1"/>
  <c r="P45" i="1"/>
  <c r="P43" i="1"/>
  <c r="P41" i="1"/>
  <c r="P39" i="1"/>
  <c r="P37" i="1"/>
  <c r="P35" i="1"/>
  <c r="P33" i="1"/>
  <c r="P31" i="1"/>
  <c r="P29" i="1"/>
  <c r="P27" i="1"/>
  <c r="N69" i="1"/>
  <c r="N67" i="1"/>
  <c r="N65" i="1"/>
  <c r="N63" i="1"/>
  <c r="N61" i="1"/>
  <c r="N59" i="1"/>
  <c r="N57" i="1"/>
  <c r="N55" i="1"/>
  <c r="N53" i="1"/>
  <c r="N51" i="1"/>
  <c r="N49" i="1"/>
  <c r="N47" i="1"/>
  <c r="N45" i="1"/>
  <c r="N43" i="1"/>
  <c r="N41" i="1"/>
  <c r="N39" i="1"/>
  <c r="N37" i="1"/>
  <c r="N35" i="1"/>
  <c r="N33" i="1"/>
  <c r="N31" i="1"/>
  <c r="N29" i="1"/>
  <c r="N27" i="1"/>
  <c r="L69" i="1"/>
  <c r="L67" i="1"/>
  <c r="L65" i="1"/>
  <c r="L63" i="1"/>
  <c r="L61" i="1"/>
  <c r="L59" i="1"/>
  <c r="L57" i="1"/>
  <c r="L55" i="1"/>
  <c r="L53" i="1"/>
  <c r="L51" i="1"/>
  <c r="L49" i="1"/>
  <c r="L47" i="1"/>
  <c r="L45" i="1"/>
  <c r="L43" i="1"/>
  <c r="L41" i="1"/>
  <c r="L39" i="1"/>
  <c r="L37" i="1"/>
  <c r="L35" i="1"/>
  <c r="L33" i="1"/>
  <c r="L31" i="1"/>
  <c r="L29" i="1"/>
  <c r="L27" i="1"/>
  <c r="J69" i="1"/>
  <c r="J67" i="1"/>
  <c r="J65" i="1"/>
  <c r="J63" i="1"/>
  <c r="J61" i="1"/>
  <c r="J59" i="1"/>
  <c r="J57" i="1"/>
  <c r="J55" i="1"/>
  <c r="J53" i="1"/>
  <c r="J51" i="1"/>
  <c r="J49" i="1"/>
  <c r="J47" i="1"/>
  <c r="J45" i="1"/>
  <c r="J43" i="1"/>
  <c r="J41" i="1"/>
  <c r="J39" i="1"/>
  <c r="J37" i="1"/>
  <c r="J35" i="1"/>
  <c r="J33" i="1"/>
  <c r="J31" i="1"/>
  <c r="J29" i="1"/>
  <c r="J27" i="1"/>
  <c r="H69" i="1"/>
  <c r="H67" i="1"/>
  <c r="H65" i="1"/>
  <c r="H63" i="1"/>
  <c r="H61" i="1"/>
  <c r="H59" i="1"/>
  <c r="H57" i="1"/>
  <c r="H55" i="1"/>
  <c r="H53" i="1"/>
  <c r="H51" i="1"/>
  <c r="H49" i="1"/>
  <c r="H47" i="1"/>
  <c r="H45" i="1"/>
  <c r="H43" i="1"/>
  <c r="H41" i="1"/>
  <c r="H39" i="1"/>
  <c r="H37" i="1"/>
  <c r="H35" i="1"/>
  <c r="H33" i="1"/>
  <c r="H31" i="1"/>
  <c r="H29" i="1"/>
  <c r="H27" i="1"/>
  <c r="L2" i="1" l="1"/>
  <c r="N2" i="1" l="1"/>
  <c r="F2" i="1"/>
  <c r="H2" i="1" s="1"/>
  <c r="R2" i="1" l="1"/>
  <c r="T2" i="1" s="1"/>
  <c r="V2" i="1" s="1"/>
  <c r="X2" i="1" s="1"/>
  <c r="Z2" i="1" s="1"/>
  <c r="AB2" i="1" s="1"/>
  <c r="AD2" i="1" s="1"/>
  <c r="O10" i="2"/>
  <c r="Q8" i="2"/>
  <c r="BH105" i="2"/>
  <c r="D96" i="1" l="1"/>
  <c r="F20" i="1"/>
  <c r="H20" i="1" s="1"/>
  <c r="F19" i="1"/>
  <c r="H19" i="1" s="1"/>
  <c r="F18" i="1"/>
  <c r="H18" i="1" s="1"/>
  <c r="AL21" i="1"/>
  <c r="AL13" i="1"/>
  <c r="AL14" i="1"/>
  <c r="AL15" i="1"/>
  <c r="AL16" i="1"/>
  <c r="AL18" i="1"/>
  <c r="AL19" i="1"/>
  <c r="AL12" i="1"/>
  <c r="AL2" i="1"/>
  <c r="AL3" i="1"/>
  <c r="AL4" i="1"/>
  <c r="AL5" i="1"/>
  <c r="AL6" i="1"/>
  <c r="AL7" i="1"/>
  <c r="AL8" i="1"/>
  <c r="AL9" i="1"/>
  <c r="AL10" i="1"/>
  <c r="AL1" i="1"/>
  <c r="F96" i="1" l="1"/>
  <c r="H96" i="1" s="1"/>
  <c r="J96" i="1" s="1"/>
  <c r="L96" i="1" s="1"/>
  <c r="N96" i="1" s="1"/>
  <c r="P96" i="1" s="1"/>
  <c r="R96" i="1" s="1"/>
  <c r="T96" i="1" s="1"/>
  <c r="V96" i="1" s="1"/>
  <c r="X96" i="1" s="1"/>
  <c r="Z96" i="1" s="1"/>
  <c r="AB96" i="1" s="1"/>
  <c r="AD96" i="1" s="1"/>
  <c r="AF96" i="1" s="1"/>
  <c r="AH96" i="1" s="1"/>
  <c r="AJ96" i="1" s="1"/>
  <c r="AF2" i="1"/>
  <c r="AH2" i="1" s="1"/>
  <c r="Q5" i="2"/>
  <c r="S3" i="2"/>
  <c r="EE14" i="2" l="1"/>
  <c r="AM2" i="1" l="1"/>
  <c r="A18" i="1"/>
  <c r="C13" i="2" l="1"/>
  <c r="AL100" i="1" l="1"/>
  <c r="CU44" i="2" l="1"/>
  <c r="CV44" i="2" s="1"/>
  <c r="CT45" i="2" s="1"/>
  <c r="CT44" i="2" s="1"/>
  <c r="CT43" i="2" s="1"/>
  <c r="CT42" i="2" s="1"/>
  <c r="CT41" i="2" s="1"/>
  <c r="CT40" i="2" s="1"/>
  <c r="CT39" i="2" s="1"/>
  <c r="CT38" i="2" s="1"/>
  <c r="CT37" i="2" s="1"/>
  <c r="CT36" i="2" s="1"/>
  <c r="CT35" i="2" s="1"/>
  <c r="CT34" i="2" s="1"/>
  <c r="CT33" i="2" s="1"/>
  <c r="CT32" i="2" s="1"/>
  <c r="CT31" i="2" s="1"/>
  <c r="CT30" i="2" s="1"/>
  <c r="CT29" i="2" s="1"/>
  <c r="CT28" i="2" s="1"/>
  <c r="CT27" i="2" s="1"/>
  <c r="CT26" i="2" s="1"/>
  <c r="CT25" i="2" s="1"/>
  <c r="CT24" i="2" s="1"/>
  <c r="CT23" i="2" s="1"/>
  <c r="CT22" i="2" s="1"/>
  <c r="CT21" i="2" s="1"/>
  <c r="CT20" i="2" s="1"/>
  <c r="CT19" i="2" s="1"/>
  <c r="CT18" i="2" s="1"/>
  <c r="CT17" i="2" s="1"/>
  <c r="CT16" i="2" s="1"/>
  <c r="CT15" i="2" s="1"/>
  <c r="CT14" i="2" s="1"/>
  <c r="CT13" i="2" s="1"/>
  <c r="CT12" i="2" s="1"/>
  <c r="CT11" i="2" s="1"/>
  <c r="CT10" i="2" s="1"/>
  <c r="CT9" i="2" s="1"/>
  <c r="CT8" i="2" s="1"/>
  <c r="CT7" i="2" s="1"/>
  <c r="CU45" i="2" l="1"/>
  <c r="AL93" i="1"/>
  <c r="AL94" i="1"/>
  <c r="AL95" i="1"/>
  <c r="AL96" i="1"/>
  <c r="AL97" i="1"/>
  <c r="AL98" i="1"/>
  <c r="AL99" i="1"/>
  <c r="AL92" i="1"/>
  <c r="D99" i="1"/>
  <c r="F99" i="1" s="1"/>
  <c r="H99" i="1" s="1"/>
  <c r="J99" i="1" s="1"/>
  <c r="L99" i="1" s="1"/>
  <c r="D97" i="1"/>
  <c r="D95" i="1"/>
  <c r="F95" i="1" s="1"/>
  <c r="H95" i="1" s="1"/>
  <c r="J95" i="1" s="1"/>
  <c r="L95" i="1" s="1"/>
  <c r="D92" i="1"/>
  <c r="F92" i="1" s="1"/>
  <c r="H92" i="1" s="1"/>
  <c r="J92" i="1" s="1"/>
  <c r="L92" i="1" s="1"/>
  <c r="N92" i="1" s="1"/>
  <c r="P92" i="1" l="1"/>
  <c r="R92" i="1" s="1"/>
  <c r="T92" i="1" s="1"/>
  <c r="V92" i="1" s="1"/>
  <c r="X92" i="1" s="1"/>
  <c r="Z92" i="1" s="1"/>
  <c r="AB92" i="1" s="1"/>
  <c r="AD92" i="1" s="1"/>
  <c r="AF92" i="1" s="1"/>
  <c r="AH92" i="1" s="1"/>
  <c r="AJ92" i="1" s="1"/>
  <c r="N95" i="1"/>
  <c r="P95" i="1" s="1"/>
  <c r="R95" i="1" s="1"/>
  <c r="T95" i="1" s="1"/>
  <c r="V95" i="1" s="1"/>
  <c r="X95" i="1" s="1"/>
  <c r="Z95" i="1" s="1"/>
  <c r="AB95" i="1" s="1"/>
  <c r="AD95" i="1" s="1"/>
  <c r="AF95" i="1" s="1"/>
  <c r="AH95" i="1" s="1"/>
  <c r="AJ95" i="1" s="1"/>
  <c r="N99" i="1"/>
  <c r="P99" i="1" s="1"/>
  <c r="R99" i="1" s="1"/>
  <c r="T99" i="1" s="1"/>
  <c r="V99" i="1" s="1"/>
  <c r="X99" i="1" s="1"/>
  <c r="Z99" i="1" s="1"/>
  <c r="AB99" i="1" s="1"/>
  <c r="AD99" i="1" s="1"/>
  <c r="AF99" i="1" s="1"/>
  <c r="AH99" i="1" s="1"/>
  <c r="AJ99" i="1" s="1"/>
  <c r="F97" i="1"/>
  <c r="H97" i="1" s="1"/>
  <c r="J97" i="1" s="1"/>
  <c r="L97" i="1" s="1"/>
  <c r="AR5" i="6"/>
  <c r="N97" i="1" l="1"/>
  <c r="P97" i="1" s="1"/>
  <c r="R97" i="1" s="1"/>
  <c r="T97" i="1" s="1"/>
  <c r="V97" i="1" s="1"/>
  <c r="X97" i="1" s="1"/>
  <c r="Z97" i="1" s="1"/>
  <c r="AB97" i="1" s="1"/>
  <c r="AD97" i="1" s="1"/>
  <c r="AF97" i="1" s="1"/>
  <c r="AH97" i="1" s="1"/>
  <c r="AJ97" i="1" s="1"/>
  <c r="D94" i="1"/>
  <c r="F94" i="1" s="1"/>
  <c r="H94" i="1" s="1"/>
  <c r="J94" i="1" s="1"/>
  <c r="L94" i="1" s="1"/>
  <c r="D98" i="1"/>
  <c r="F98" i="1" s="1"/>
  <c r="H98" i="1" s="1"/>
  <c r="J98" i="1" s="1"/>
  <c r="L98" i="1" s="1"/>
  <c r="N94" i="1" l="1"/>
  <c r="P94" i="1" s="1"/>
  <c r="R94" i="1" s="1"/>
  <c r="T94" i="1" s="1"/>
  <c r="V94" i="1" s="1"/>
  <c r="X94" i="1" s="1"/>
  <c r="Z94" i="1" s="1"/>
  <c r="AB94" i="1" s="1"/>
  <c r="AD94" i="1" s="1"/>
  <c r="AF94" i="1" s="1"/>
  <c r="AH94" i="1" s="1"/>
  <c r="AJ94" i="1" s="1"/>
  <c r="N98" i="1"/>
  <c r="P98" i="1" s="1"/>
  <c r="R98" i="1" s="1"/>
  <c r="T98" i="1" s="1"/>
  <c r="V98" i="1" s="1"/>
  <c r="X98" i="1" s="1"/>
  <c r="Z98" i="1" s="1"/>
  <c r="AB98" i="1" s="1"/>
  <c r="AD98" i="1" s="1"/>
  <c r="AF98" i="1" s="1"/>
  <c r="AH98" i="1" s="1"/>
  <c r="AJ98" i="1" s="1"/>
  <c r="D93" i="1"/>
  <c r="D63" i="2"/>
  <c r="D62" i="2"/>
  <c r="D61" i="2"/>
  <c r="D60" i="2"/>
  <c r="D59" i="2"/>
  <c r="D58" i="2"/>
  <c r="D57" i="2"/>
  <c r="D56" i="2"/>
  <c r="D55" i="2"/>
  <c r="D54" i="2"/>
  <c r="D53" i="2"/>
  <c r="F93" i="1" l="1"/>
  <c r="H93" i="1" s="1"/>
  <c r="J93" i="1" s="1"/>
  <c r="L93" i="1" s="1"/>
  <c r="N93" i="1" s="1"/>
  <c r="P93" i="1" s="1"/>
  <c r="R93" i="1" s="1"/>
  <c r="T93" i="1" s="1"/>
  <c r="V93" i="1" s="1"/>
  <c r="X93" i="1" s="1"/>
  <c r="Z93" i="1" s="1"/>
  <c r="AB93" i="1" s="1"/>
  <c r="AD93" i="1" s="1"/>
  <c r="AF93" i="1" s="1"/>
  <c r="AH93" i="1" s="1"/>
  <c r="AJ93" i="1" s="1"/>
  <c r="D29" i="1"/>
  <c r="F29" i="1" s="1"/>
  <c r="A19" i="1" l="1"/>
  <c r="A20" i="1"/>
  <c r="A16" i="1"/>
  <c r="DE5" i="2" l="1"/>
  <c r="J20" i="1" s="1"/>
  <c r="DC5" i="2" l="1"/>
  <c r="DC8" i="2"/>
  <c r="J18" i="1" s="1"/>
  <c r="L18" i="1" s="1"/>
  <c r="DD11" i="2"/>
  <c r="DD9" i="2"/>
  <c r="DD7" i="2"/>
  <c r="DD5" i="2"/>
  <c r="DC11" i="2"/>
  <c r="DC7" i="2"/>
  <c r="DE10" i="2"/>
  <c r="DE8" i="2"/>
  <c r="L20" i="1" s="1"/>
  <c r="N20" i="1" s="1"/>
  <c r="P20" i="1" s="1"/>
  <c r="R20" i="1" s="1"/>
  <c r="DE6" i="2"/>
  <c r="DC10" i="2"/>
  <c r="DC6" i="2"/>
  <c r="DD10" i="2"/>
  <c r="DD8" i="2"/>
  <c r="J19" i="1" s="1"/>
  <c r="L19" i="1" s="1"/>
  <c r="N19" i="1" s="1"/>
  <c r="P19" i="1" s="1"/>
  <c r="R19" i="1" s="1"/>
  <c r="DD6" i="2"/>
  <c r="DC9" i="2"/>
  <c r="DE11" i="2"/>
  <c r="DE9" i="2"/>
  <c r="DE7" i="2"/>
  <c r="N18" i="1" l="1"/>
  <c r="P18" i="1" s="1"/>
  <c r="R18" i="1" s="1"/>
  <c r="T18" i="1" s="1"/>
  <c r="V18" i="1" s="1"/>
  <c r="X18" i="1" s="1"/>
  <c r="Z18" i="1" s="1"/>
  <c r="AB18" i="1" s="1"/>
  <c r="AD18" i="1" s="1"/>
  <c r="AF18" i="1" s="1"/>
  <c r="AH18" i="1" s="1"/>
  <c r="AJ18" i="1" s="1"/>
  <c r="T19" i="1"/>
  <c r="V19" i="1" s="1"/>
  <c r="T20" i="1"/>
  <c r="V20" i="1" s="1"/>
  <c r="X20" i="1" s="1"/>
  <c r="Z20" i="1" s="1"/>
  <c r="AB20" i="1" s="1"/>
  <c r="AD20" i="1" s="1"/>
  <c r="AF20" i="1" s="1"/>
  <c r="AH20" i="1" s="1"/>
  <c r="AJ20" i="1" s="1"/>
  <c r="F21" i="1"/>
  <c r="X19" i="1" l="1"/>
  <c r="Z19" i="1" s="1"/>
  <c r="AB19" i="1" s="1"/>
  <c r="AD19" i="1" s="1"/>
  <c r="AF19" i="1" s="1"/>
  <c r="AH19" i="1" s="1"/>
  <c r="AJ19" i="1" s="1"/>
  <c r="AN19" i="1"/>
  <c r="AN17" i="1"/>
  <c r="B137" i="1" l="1"/>
  <c r="D83" i="1" s="1"/>
  <c r="E13" i="2" l="1"/>
  <c r="J163" i="1" l="1"/>
  <c r="J164" i="1"/>
  <c r="J165" i="1"/>
  <c r="L165" i="1" l="1"/>
  <c r="I160" i="1"/>
  <c r="E161" i="1"/>
  <c r="E162" i="1"/>
  <c r="G161" i="1"/>
  <c r="G162" i="1"/>
  <c r="I161" i="1"/>
  <c r="I162" i="1"/>
  <c r="K161" i="1"/>
  <c r="K162" i="1"/>
  <c r="M161" i="1"/>
  <c r="M162" i="1"/>
  <c r="O161" i="1"/>
  <c r="O162" i="1"/>
  <c r="Q161" i="1"/>
  <c r="Q162" i="1"/>
  <c r="S161" i="1"/>
  <c r="S162" i="1"/>
  <c r="U161" i="1"/>
  <c r="U162" i="1"/>
  <c r="W161" i="1"/>
  <c r="W162" i="1"/>
  <c r="Y161" i="1"/>
  <c r="Y162" i="1"/>
  <c r="AA161" i="1"/>
  <c r="AA162" i="1"/>
  <c r="AC161" i="1"/>
  <c r="AC162" i="1"/>
  <c r="AE161" i="1"/>
  <c r="AE162" i="1"/>
  <c r="AG161" i="1"/>
  <c r="AG162" i="1"/>
  <c r="AI161" i="1"/>
  <c r="AI162" i="1"/>
  <c r="AK161" i="1"/>
  <c r="AK162" i="1"/>
  <c r="AK160" i="1"/>
  <c r="AI160" i="1"/>
  <c r="AG160" i="1"/>
  <c r="AE160" i="1"/>
  <c r="AC160" i="1"/>
  <c r="AA160" i="1"/>
  <c r="Y160" i="1"/>
  <c r="W160" i="1"/>
  <c r="U160" i="1"/>
  <c r="S160" i="1"/>
  <c r="Q160" i="1"/>
  <c r="O160" i="1"/>
  <c r="M160" i="1"/>
  <c r="K160" i="1"/>
  <c r="G160" i="1"/>
  <c r="E160" i="1"/>
  <c r="D161" i="1"/>
  <c r="D162" i="1"/>
  <c r="D160" i="1"/>
  <c r="N165" i="1" l="1"/>
  <c r="P165" i="1" s="1"/>
  <c r="R165" i="1" s="1"/>
  <c r="BH124" i="2"/>
  <c r="F161" i="1" l="1"/>
  <c r="F162" i="1"/>
  <c r="F160" i="1"/>
  <c r="H162" i="1" l="1"/>
  <c r="H160" i="1"/>
  <c r="H161" i="1"/>
  <c r="AN89" i="1" l="1"/>
  <c r="DS10" i="2" l="1"/>
  <c r="DT9" i="2"/>
  <c r="D21" i="1"/>
  <c r="H21" i="1"/>
  <c r="J21" i="1"/>
  <c r="L21" i="1"/>
  <c r="N21" i="1"/>
  <c r="P21" i="1"/>
  <c r="R21" i="1"/>
  <c r="T21" i="1"/>
  <c r="V21" i="1"/>
  <c r="X21" i="1"/>
  <c r="Z21" i="1"/>
  <c r="AB21" i="1"/>
  <c r="AD21" i="1"/>
  <c r="AF21" i="1"/>
  <c r="AH21" i="1"/>
  <c r="AJ21" i="1"/>
  <c r="AL27" i="1"/>
  <c r="AO28" i="1"/>
  <c r="AO27" i="1" s="1"/>
  <c r="AP27" i="1" s="1"/>
  <c r="E14" i="2"/>
  <c r="D28" i="1" s="1"/>
  <c r="F27" i="1" s="1"/>
  <c r="AL31" i="1"/>
  <c r="D33" i="1"/>
  <c r="AL35" i="1"/>
  <c r="D37" i="1"/>
  <c r="AL39" i="1"/>
  <c r="D41" i="1"/>
  <c r="AL43" i="1"/>
  <c r="D45" i="1"/>
  <c r="AL47" i="1"/>
  <c r="D49" i="1"/>
  <c r="AL51" i="1"/>
  <c r="D53" i="1"/>
  <c r="AL55" i="1"/>
  <c r="D57" i="1"/>
  <c r="AL59" i="1"/>
  <c r="D61" i="1"/>
  <c r="AL63" i="1"/>
  <c r="D65" i="1"/>
  <c r="AL67" i="1"/>
  <c r="D69" i="1"/>
  <c r="D71" i="1"/>
  <c r="D91" i="1" s="1"/>
  <c r="F71" i="1"/>
  <c r="F91" i="1" s="1"/>
  <c r="F3" i="1" s="1"/>
  <c r="H71" i="1"/>
  <c r="H91" i="1" s="1"/>
  <c r="H3" i="1" s="1"/>
  <c r="J71" i="1"/>
  <c r="J91" i="1" s="1"/>
  <c r="J3" i="1" s="1"/>
  <c r="L71" i="1"/>
  <c r="L91" i="1" s="1"/>
  <c r="L3" i="1" s="1"/>
  <c r="N71" i="1"/>
  <c r="N91" i="1" s="1"/>
  <c r="N3" i="1" s="1"/>
  <c r="P71" i="1"/>
  <c r="P91" i="1" s="1"/>
  <c r="P3" i="1" s="1"/>
  <c r="R71" i="1"/>
  <c r="R91" i="1" s="1"/>
  <c r="R3" i="1" s="1"/>
  <c r="T71" i="1"/>
  <c r="T91" i="1" s="1"/>
  <c r="T3" i="1" s="1"/>
  <c r="V71" i="1"/>
  <c r="V91" i="1" s="1"/>
  <c r="V3" i="1" s="1"/>
  <c r="X71" i="1"/>
  <c r="X91" i="1" s="1"/>
  <c r="X3" i="1" s="1"/>
  <c r="Z71" i="1"/>
  <c r="Z91" i="1" s="1"/>
  <c r="Z3" i="1" s="1"/>
  <c r="AB71" i="1"/>
  <c r="AB91" i="1" s="1"/>
  <c r="AB3" i="1" s="1"/>
  <c r="AD71" i="1"/>
  <c r="AD91" i="1" s="1"/>
  <c r="AD3" i="1" s="1"/>
  <c r="AF71" i="1"/>
  <c r="AF91" i="1" s="1"/>
  <c r="AF3" i="1" s="1"/>
  <c r="AH71" i="1"/>
  <c r="AH91" i="1" s="1"/>
  <c r="AH3" i="1" s="1"/>
  <c r="AJ71" i="1"/>
  <c r="AJ91" i="1" s="1"/>
  <c r="AJ3" i="1" s="1"/>
  <c r="D72" i="1"/>
  <c r="H72" i="1"/>
  <c r="J72" i="1"/>
  <c r="L72" i="1"/>
  <c r="N72" i="1"/>
  <c r="P72" i="1"/>
  <c r="R72" i="1"/>
  <c r="T72" i="1"/>
  <c r="V72" i="1"/>
  <c r="X72" i="1"/>
  <c r="Z72" i="1"/>
  <c r="AB72" i="1"/>
  <c r="AD72" i="1"/>
  <c r="AF72" i="1"/>
  <c r="AH72" i="1"/>
  <c r="AJ72" i="1"/>
  <c r="D73" i="1"/>
  <c r="H73" i="1"/>
  <c r="J73" i="1"/>
  <c r="L73" i="1"/>
  <c r="N73" i="1"/>
  <c r="P73" i="1"/>
  <c r="R73" i="1"/>
  <c r="T73" i="1"/>
  <c r="V73" i="1"/>
  <c r="X73" i="1"/>
  <c r="Z73" i="1"/>
  <c r="AB73" i="1"/>
  <c r="AD73" i="1"/>
  <c r="AF73" i="1"/>
  <c r="AH73" i="1"/>
  <c r="AJ73" i="1"/>
  <c r="D75" i="1"/>
  <c r="H75" i="1"/>
  <c r="J75" i="1"/>
  <c r="L75" i="1"/>
  <c r="N75" i="1"/>
  <c r="P75" i="1"/>
  <c r="R75" i="1"/>
  <c r="T75" i="1"/>
  <c r="V75" i="1"/>
  <c r="X75" i="1"/>
  <c r="Z75" i="1"/>
  <c r="AB75" i="1"/>
  <c r="AD75" i="1"/>
  <c r="AF75" i="1"/>
  <c r="AH75" i="1"/>
  <c r="AJ75" i="1"/>
  <c r="D76" i="1"/>
  <c r="H76" i="1"/>
  <c r="J76" i="1"/>
  <c r="L76" i="1"/>
  <c r="N76" i="1"/>
  <c r="P76" i="1"/>
  <c r="R76" i="1"/>
  <c r="T76" i="1"/>
  <c r="V76" i="1"/>
  <c r="X76" i="1"/>
  <c r="Z76" i="1"/>
  <c r="AB76" i="1"/>
  <c r="AD76" i="1"/>
  <c r="AF76" i="1"/>
  <c r="AH76" i="1"/>
  <c r="AJ76" i="1"/>
  <c r="D77" i="1"/>
  <c r="H77" i="1"/>
  <c r="J77" i="1"/>
  <c r="L77" i="1"/>
  <c r="N77" i="1"/>
  <c r="P77" i="1"/>
  <c r="R77" i="1"/>
  <c r="T77" i="1"/>
  <c r="V77" i="1"/>
  <c r="X77" i="1"/>
  <c r="Z77" i="1"/>
  <c r="AB77" i="1"/>
  <c r="AD77" i="1"/>
  <c r="AF77" i="1"/>
  <c r="AH77" i="1"/>
  <c r="AJ77" i="1"/>
  <c r="D78" i="1"/>
  <c r="H78" i="1"/>
  <c r="J78" i="1"/>
  <c r="L78" i="1"/>
  <c r="N78" i="1"/>
  <c r="P78" i="1"/>
  <c r="R78" i="1"/>
  <c r="T78" i="1"/>
  <c r="V78" i="1"/>
  <c r="X78" i="1"/>
  <c r="Z78" i="1"/>
  <c r="AB78" i="1"/>
  <c r="AD78" i="1"/>
  <c r="AF78" i="1"/>
  <c r="AH78" i="1"/>
  <c r="AJ78" i="1"/>
  <c r="D79" i="1"/>
  <c r="H79" i="1"/>
  <c r="J79" i="1"/>
  <c r="L79" i="1"/>
  <c r="N79" i="1"/>
  <c r="P79" i="1"/>
  <c r="R79" i="1"/>
  <c r="T79" i="1"/>
  <c r="V79" i="1"/>
  <c r="X79" i="1"/>
  <c r="Z79" i="1"/>
  <c r="AB79" i="1"/>
  <c r="AD79" i="1"/>
  <c r="AF79" i="1"/>
  <c r="AH79" i="1"/>
  <c r="AJ79" i="1"/>
  <c r="D80" i="1"/>
  <c r="H80" i="1"/>
  <c r="J80" i="1"/>
  <c r="L80" i="1"/>
  <c r="N80" i="1"/>
  <c r="P80" i="1"/>
  <c r="R80" i="1"/>
  <c r="T80" i="1"/>
  <c r="V80" i="1"/>
  <c r="X80" i="1"/>
  <c r="Z80" i="1"/>
  <c r="AB80" i="1"/>
  <c r="AD80" i="1"/>
  <c r="AF80" i="1"/>
  <c r="AH80" i="1"/>
  <c r="AJ80" i="1"/>
  <c r="D82" i="1"/>
  <c r="H82" i="1"/>
  <c r="J82" i="1"/>
  <c r="L82" i="1"/>
  <c r="N82" i="1"/>
  <c r="P82" i="1"/>
  <c r="R82" i="1"/>
  <c r="T82" i="1"/>
  <c r="V82" i="1"/>
  <c r="X82" i="1"/>
  <c r="Z82" i="1"/>
  <c r="AB82" i="1"/>
  <c r="AD82" i="1"/>
  <c r="AF82" i="1"/>
  <c r="AH82" i="1"/>
  <c r="AJ82" i="1"/>
  <c r="F83" i="1"/>
  <c r="H83" i="1"/>
  <c r="J83" i="1"/>
  <c r="L83" i="1"/>
  <c r="N83" i="1"/>
  <c r="P83" i="1"/>
  <c r="R83" i="1"/>
  <c r="T83" i="1"/>
  <c r="V83" i="1"/>
  <c r="X83" i="1"/>
  <c r="Z83" i="1"/>
  <c r="AB83" i="1"/>
  <c r="AD83" i="1"/>
  <c r="AF83" i="1"/>
  <c r="AH83" i="1"/>
  <c r="AJ83" i="1"/>
  <c r="D84" i="1"/>
  <c r="H84" i="1"/>
  <c r="J84" i="1"/>
  <c r="L84" i="1"/>
  <c r="N84" i="1"/>
  <c r="P84" i="1"/>
  <c r="R84" i="1"/>
  <c r="T84" i="1"/>
  <c r="V84" i="1"/>
  <c r="X84" i="1"/>
  <c r="Z84" i="1"/>
  <c r="AB84" i="1"/>
  <c r="AD84" i="1"/>
  <c r="AF84" i="1"/>
  <c r="AH84" i="1"/>
  <c r="AJ84" i="1"/>
  <c r="AN88" i="1"/>
  <c r="CW7" i="2"/>
  <c r="DY6" i="2"/>
  <c r="EA6" i="2"/>
  <c r="EB6" i="2"/>
  <c r="EC6" i="2"/>
  <c r="ED6" i="2"/>
  <c r="EE6" i="2"/>
  <c r="EF6" i="2"/>
  <c r="EG6" i="2"/>
  <c r="EH6" i="2"/>
  <c r="EI6" i="2"/>
  <c r="EJ6" i="2"/>
  <c r="EK6" i="2"/>
  <c r="EL6" i="2"/>
  <c r="EM6" i="2"/>
  <c r="EN6" i="2"/>
  <c r="EO6" i="2"/>
  <c r="BN7" i="2"/>
  <c r="BO7" i="2"/>
  <c r="BP7" i="2"/>
  <c r="BQ7" i="2"/>
  <c r="BR7" i="2"/>
  <c r="BS7" i="2"/>
  <c r="BT7" i="2"/>
  <c r="AP30" i="1" s="1"/>
  <c r="BU7" i="2"/>
  <c r="BV7" i="2"/>
  <c r="CW8" i="2"/>
  <c r="BN8" i="2"/>
  <c r="BO8" i="2"/>
  <c r="BP8" i="2"/>
  <c r="BQ8" i="2"/>
  <c r="BR8" i="2"/>
  <c r="BS8" i="2"/>
  <c r="BT8" i="2"/>
  <c r="AP34" i="1" s="1"/>
  <c r="BU8" i="2"/>
  <c r="BV8" i="2"/>
  <c r="CW9" i="2"/>
  <c r="DY9" i="2"/>
  <c r="DY10" i="2" s="1"/>
  <c r="D81" i="1" s="1"/>
  <c r="EA9" i="2"/>
  <c r="EA10" i="2" s="1"/>
  <c r="H81" i="1" s="1"/>
  <c r="EB9" i="2"/>
  <c r="EB10" i="2" s="1"/>
  <c r="J81" i="1" s="1"/>
  <c r="EC9" i="2"/>
  <c r="EC10" i="2" s="1"/>
  <c r="L81" i="1" s="1"/>
  <c r="ED9" i="2"/>
  <c r="ED10" i="2" s="1"/>
  <c r="N81" i="1" s="1"/>
  <c r="EE9" i="2"/>
  <c r="EE10" i="2" s="1"/>
  <c r="P81" i="1" s="1"/>
  <c r="EF9" i="2"/>
  <c r="EF10" i="2" s="1"/>
  <c r="R81" i="1" s="1"/>
  <c r="EG9" i="2"/>
  <c r="EG10" i="2" s="1"/>
  <c r="T81" i="1" s="1"/>
  <c r="EH9" i="2"/>
  <c r="EH10" i="2" s="1"/>
  <c r="V81" i="1" s="1"/>
  <c r="EI9" i="2"/>
  <c r="EI10" i="2" s="1"/>
  <c r="X81" i="1" s="1"/>
  <c r="EJ9" i="2"/>
  <c r="EJ10" i="2" s="1"/>
  <c r="Z81" i="1" s="1"/>
  <c r="EK9" i="2"/>
  <c r="EK10" i="2" s="1"/>
  <c r="AB81" i="1" s="1"/>
  <c r="EL9" i="2"/>
  <c r="EL10" i="2" s="1"/>
  <c r="AD81" i="1" s="1"/>
  <c r="EM9" i="2"/>
  <c r="EM10" i="2" s="1"/>
  <c r="AF81" i="1" s="1"/>
  <c r="EN9" i="2"/>
  <c r="EN10" i="2" s="1"/>
  <c r="AH81" i="1" s="1"/>
  <c r="EO9" i="2"/>
  <c r="EO10" i="2" s="1"/>
  <c r="AJ81" i="1" s="1"/>
  <c r="BN9" i="2"/>
  <c r="BO9" i="2"/>
  <c r="BP9" i="2"/>
  <c r="BQ9" i="2"/>
  <c r="BR9" i="2"/>
  <c r="BS9" i="2"/>
  <c r="BT9" i="2"/>
  <c r="AP38" i="1" s="1"/>
  <c r="BU9" i="2"/>
  <c r="BV9" i="2"/>
  <c r="BW9" i="2"/>
  <c r="CW10" i="2"/>
  <c r="BN10" i="2"/>
  <c r="BO10" i="2"/>
  <c r="BP10" i="2"/>
  <c r="BQ10" i="2"/>
  <c r="BR10" i="2"/>
  <c r="BS10" i="2"/>
  <c r="BT10" i="2"/>
  <c r="AP42" i="1" s="1"/>
  <c r="BU10" i="2"/>
  <c r="BV10" i="2"/>
  <c r="BW10" i="2"/>
  <c r="BX10" i="2"/>
  <c r="CW11" i="2"/>
  <c r="BN11" i="2"/>
  <c r="BO11" i="2"/>
  <c r="BP11" i="2"/>
  <c r="BQ11" i="2"/>
  <c r="BR11" i="2"/>
  <c r="BS11" i="2"/>
  <c r="BT11" i="2"/>
  <c r="AP46" i="1" s="1"/>
  <c r="BU11" i="2"/>
  <c r="BV11" i="2"/>
  <c r="CW12" i="2"/>
  <c r="G13" i="2"/>
  <c r="I13" i="2"/>
  <c r="K13" i="2"/>
  <c r="M13" i="2"/>
  <c r="O13" i="2"/>
  <c r="Q13" i="2"/>
  <c r="S13" i="2"/>
  <c r="U13" i="2"/>
  <c r="W13" i="2"/>
  <c r="Y13" i="2"/>
  <c r="AA13" i="2"/>
  <c r="AC13" i="2"/>
  <c r="AE13" i="2"/>
  <c r="AG13" i="2"/>
  <c r="AI13" i="2"/>
  <c r="AK13" i="2"/>
  <c r="BN12" i="2"/>
  <c r="BO12" i="2"/>
  <c r="BP12" i="2"/>
  <c r="BQ12" i="2"/>
  <c r="BR12" i="2"/>
  <c r="BS12" i="2"/>
  <c r="BT12" i="2"/>
  <c r="AP50" i="1" s="1"/>
  <c r="BU12" i="2"/>
  <c r="BV12" i="2"/>
  <c r="CW13" i="2"/>
  <c r="AS14" i="2"/>
  <c r="BN13" i="2"/>
  <c r="BO13" i="2"/>
  <c r="BP13" i="2"/>
  <c r="BQ13" i="2"/>
  <c r="BR13" i="2"/>
  <c r="BS13" i="2"/>
  <c r="BT13" i="2"/>
  <c r="AP54" i="1" s="1"/>
  <c r="BU13" i="2"/>
  <c r="BV13" i="2"/>
  <c r="CW14" i="2"/>
  <c r="AS15" i="2"/>
  <c r="BN14" i="2"/>
  <c r="BO14" i="2"/>
  <c r="BP14" i="2"/>
  <c r="BQ14" i="2"/>
  <c r="BR14" i="2"/>
  <c r="BS14" i="2"/>
  <c r="BT14" i="2"/>
  <c r="AP58" i="1" s="1"/>
  <c r="BU14" i="2"/>
  <c r="BV14" i="2"/>
  <c r="CW15" i="2"/>
  <c r="AS16" i="2"/>
  <c r="BN15" i="2"/>
  <c r="BO15" i="2"/>
  <c r="BP15" i="2"/>
  <c r="BQ15" i="2"/>
  <c r="BR15" i="2"/>
  <c r="BS15" i="2"/>
  <c r="BT15" i="2"/>
  <c r="AP62" i="1" s="1"/>
  <c r="BU15" i="2"/>
  <c r="BV15" i="2"/>
  <c r="CW16" i="2"/>
  <c r="AS17" i="2"/>
  <c r="BN16" i="2"/>
  <c r="BO16" i="2"/>
  <c r="BP16" i="2"/>
  <c r="BQ16" i="2"/>
  <c r="BR16" i="2"/>
  <c r="BS16" i="2"/>
  <c r="BT16" i="2"/>
  <c r="AP66" i="1" s="1"/>
  <c r="BU16" i="2"/>
  <c r="BV16" i="2"/>
  <c r="CW17" i="2"/>
  <c r="AS18" i="2"/>
  <c r="BN17" i="2"/>
  <c r="BO17" i="2"/>
  <c r="BP17" i="2"/>
  <c r="BQ17" i="2"/>
  <c r="BR17" i="2"/>
  <c r="BS17" i="2"/>
  <c r="BT17" i="2"/>
  <c r="AP70" i="1" s="1"/>
  <c r="BU17" i="2"/>
  <c r="BV17" i="2"/>
  <c r="CW18" i="2"/>
  <c r="AS19" i="2"/>
  <c r="CW19" i="2"/>
  <c r="AS20" i="2"/>
  <c r="CW20" i="2"/>
  <c r="CZ20" i="2"/>
  <c r="DD25" i="2" s="1"/>
  <c r="AS21" i="2"/>
  <c r="CW21" i="2"/>
  <c r="AS22" i="2"/>
  <c r="CW22" i="2"/>
  <c r="CZ22" i="2"/>
  <c r="AS23" i="2"/>
  <c r="CW23" i="2"/>
  <c r="CZ23" i="2"/>
  <c r="AS24" i="2"/>
  <c r="CW24" i="2"/>
  <c r="CZ24" i="2"/>
  <c r="AU25" i="2"/>
  <c r="AV25" i="2"/>
  <c r="AW25" i="2"/>
  <c r="CW25" i="2"/>
  <c r="CZ25" i="2"/>
  <c r="CW26" i="2"/>
  <c r="CZ26" i="2"/>
  <c r="C27" i="2"/>
  <c r="AP27" i="2"/>
  <c r="CW27" i="2"/>
  <c r="CZ27" i="2"/>
  <c r="CW28" i="2"/>
  <c r="CZ28" i="2"/>
  <c r="CW29" i="2"/>
  <c r="CZ29" i="2"/>
  <c r="AP30" i="2"/>
  <c r="CW30" i="2"/>
  <c r="CZ30" i="2"/>
  <c r="CW31" i="2"/>
  <c r="CZ31" i="2"/>
  <c r="CW32" i="2"/>
  <c r="CZ32" i="2"/>
  <c r="AP33" i="2"/>
  <c r="CW33" i="2"/>
  <c r="CZ33" i="2"/>
  <c r="CW34" i="2"/>
  <c r="CZ34" i="2"/>
  <c r="CW35" i="2"/>
  <c r="CZ35" i="2"/>
  <c r="AP36" i="2"/>
  <c r="CW36" i="2"/>
  <c r="CZ36" i="2"/>
  <c r="CW39" i="2"/>
  <c r="CZ37" i="2"/>
  <c r="CW40" i="2"/>
  <c r="CZ38" i="2"/>
  <c r="CW41" i="2"/>
  <c r="CW43" i="2"/>
  <c r="CW44" i="2"/>
  <c r="CW45" i="2"/>
  <c r="CW46" i="2"/>
  <c r="CW47" i="2"/>
  <c r="CW48" i="2"/>
  <c r="CW49" i="2"/>
  <c r="CW50" i="2"/>
  <c r="CW51" i="2"/>
  <c r="CW52" i="2"/>
  <c r="CW53" i="2"/>
  <c r="CW54" i="2"/>
  <c r="BH72" i="2"/>
  <c r="BH73" i="2"/>
  <c r="BH74" i="2"/>
  <c r="BH75" i="2"/>
  <c r="BH76" i="2"/>
  <c r="BH79" i="2"/>
  <c r="BH80" i="2"/>
  <c r="BH81" i="2"/>
  <c r="BH83" i="2"/>
  <c r="BH84" i="2"/>
  <c r="BH85" i="2"/>
  <c r="BH86" i="2"/>
  <c r="BH87" i="2"/>
  <c r="BH88" i="2"/>
  <c r="BH89" i="2"/>
  <c r="BH90" i="2"/>
  <c r="BH91" i="2"/>
  <c r="BH92" i="2"/>
  <c r="BH93" i="2"/>
  <c r="BH94" i="2"/>
  <c r="BH95" i="2"/>
  <c r="BH96" i="2"/>
  <c r="BH97" i="2"/>
  <c r="BH99" i="2"/>
  <c r="BH100" i="2"/>
  <c r="BH101" i="2"/>
  <c r="BH102" i="2"/>
  <c r="BH103" i="2"/>
  <c r="BH104" i="2"/>
  <c r="BH106" i="2"/>
  <c r="BH107" i="2"/>
  <c r="BH108" i="2"/>
  <c r="BH109" i="2"/>
  <c r="BH110" i="2"/>
  <c r="BH111" i="2"/>
  <c r="BH112" i="2"/>
  <c r="BH113" i="2"/>
  <c r="BH114" i="2"/>
  <c r="BH115" i="2"/>
  <c r="BH116" i="2"/>
  <c r="BH117" i="2"/>
  <c r="BH118" i="2"/>
  <c r="BH119" i="2"/>
  <c r="BH120" i="2"/>
  <c r="BH121" i="2"/>
  <c r="BH122" i="2"/>
  <c r="BH123" i="2"/>
  <c r="BH125" i="2"/>
  <c r="BH126" i="2"/>
  <c r="BH127" i="2"/>
  <c r="BH128" i="2"/>
  <c r="BH129" i="2"/>
  <c r="BH130" i="2"/>
  <c r="BH131" i="2"/>
  <c r="J3" i="3"/>
  <c r="K3" i="3" s="1"/>
  <c r="P3" i="3"/>
  <c r="V3" i="3"/>
  <c r="B32" i="3" s="1"/>
  <c r="J4" i="3"/>
  <c r="B101" i="3" s="1"/>
  <c r="P4" i="3"/>
  <c r="Q4" i="3" s="1"/>
  <c r="V4" i="3"/>
  <c r="W4" i="3" s="1"/>
  <c r="J5" i="3"/>
  <c r="B100" i="3" s="1"/>
  <c r="P5" i="3"/>
  <c r="Q5" i="3" s="1"/>
  <c r="V5" i="3"/>
  <c r="J6" i="3"/>
  <c r="K6" i="3" s="1"/>
  <c r="P6" i="3"/>
  <c r="B64" i="3" s="1"/>
  <c r="V6" i="3"/>
  <c r="W6" i="3" s="1"/>
  <c r="J7" i="3"/>
  <c r="K7" i="3" s="1"/>
  <c r="P7" i="3"/>
  <c r="B63" i="3" s="1"/>
  <c r="V7" i="3"/>
  <c r="W7" i="3" s="1"/>
  <c r="J8" i="3"/>
  <c r="P8" i="3"/>
  <c r="Q8" i="3" s="1"/>
  <c r="V8" i="3"/>
  <c r="W8" i="3" s="1"/>
  <c r="J9" i="3"/>
  <c r="B96" i="3" s="1"/>
  <c r="P9" i="3"/>
  <c r="Q9" i="3" s="1"/>
  <c r="V9" i="3"/>
  <c r="B26" i="3" s="1"/>
  <c r="J10" i="3"/>
  <c r="K10" i="3" s="1"/>
  <c r="P10" i="3"/>
  <c r="Q10" i="3" s="1"/>
  <c r="V10" i="3"/>
  <c r="W10" i="3" s="1"/>
  <c r="J11" i="3"/>
  <c r="K11" i="3" s="1"/>
  <c r="P11" i="3"/>
  <c r="Q11" i="3" s="1"/>
  <c r="V11" i="3"/>
  <c r="B24" i="3" s="1"/>
  <c r="J12" i="3"/>
  <c r="K12" i="3" s="1"/>
  <c r="P12" i="3"/>
  <c r="Q12" i="3" s="1"/>
  <c r="V12" i="3"/>
  <c r="W12" i="3" s="1"/>
  <c r="J13" i="3"/>
  <c r="P13" i="3"/>
  <c r="Q13" i="3" s="1"/>
  <c r="V13" i="3"/>
  <c r="W13" i="3" s="1"/>
  <c r="J14" i="3"/>
  <c r="B91" i="3" s="1"/>
  <c r="P14" i="3"/>
  <c r="B56" i="3" s="1"/>
  <c r="V14" i="3"/>
  <c r="B21" i="3" s="1"/>
  <c r="J15" i="3"/>
  <c r="K15" i="3" s="1"/>
  <c r="P15" i="3"/>
  <c r="V15" i="3"/>
  <c r="B20" i="3" s="1"/>
  <c r="J16" i="3"/>
  <c r="P16" i="3"/>
  <c r="Q16" i="3" s="1"/>
  <c r="V16" i="3"/>
  <c r="W16" i="3" s="1"/>
  <c r="J17" i="3"/>
  <c r="K17" i="3" s="1"/>
  <c r="P17" i="3"/>
  <c r="Q17" i="3" s="1"/>
  <c r="V17" i="3"/>
  <c r="B18" i="3" s="1"/>
  <c r="J18" i="3"/>
  <c r="K18" i="3" s="1"/>
  <c r="P18" i="3"/>
  <c r="V18" i="3"/>
  <c r="W18" i="3" s="1"/>
  <c r="J19" i="3"/>
  <c r="K19" i="3" s="1"/>
  <c r="P19" i="3"/>
  <c r="Q19" i="3" s="1"/>
  <c r="V19" i="3"/>
  <c r="B16" i="3" s="1"/>
  <c r="J20" i="3"/>
  <c r="B85" i="3" s="1"/>
  <c r="P20" i="3"/>
  <c r="Q20" i="3" s="1"/>
  <c r="V20" i="3"/>
  <c r="B15" i="3" s="1"/>
  <c r="J21" i="3"/>
  <c r="K21" i="3" s="1"/>
  <c r="P21" i="3"/>
  <c r="V21" i="3"/>
  <c r="W21" i="3" s="1"/>
  <c r="J22" i="3"/>
  <c r="K22" i="3" s="1"/>
  <c r="P22" i="3"/>
  <c r="B48" i="3" s="1"/>
  <c r="V22" i="3"/>
  <c r="W22" i="3" s="1"/>
  <c r="J23" i="3"/>
  <c r="P23" i="3"/>
  <c r="Q23" i="3" s="1"/>
  <c r="V23" i="3"/>
  <c r="W23" i="3" s="1"/>
  <c r="J24" i="3"/>
  <c r="K24" i="3" s="1"/>
  <c r="P24" i="3"/>
  <c r="V24" i="3"/>
  <c r="W24" i="3" s="1"/>
  <c r="J25" i="3"/>
  <c r="K25" i="3" s="1"/>
  <c r="P25" i="3"/>
  <c r="Q25" i="3" s="1"/>
  <c r="V25" i="3"/>
  <c r="W25" i="3" s="1"/>
  <c r="J26" i="3"/>
  <c r="B79" i="3" s="1"/>
  <c r="P26" i="3"/>
  <c r="B44" i="3" s="1"/>
  <c r="V26" i="3"/>
  <c r="W26" i="3" s="1"/>
  <c r="J27" i="3"/>
  <c r="B78" i="3" s="1"/>
  <c r="P27" i="3"/>
  <c r="Q27" i="3" s="1"/>
  <c r="V27" i="3"/>
  <c r="W27" i="3" s="1"/>
  <c r="J28" i="3"/>
  <c r="K28" i="3" s="1"/>
  <c r="P28" i="3"/>
  <c r="Q28" i="3" s="1"/>
  <c r="V28" i="3"/>
  <c r="W28" i="3" s="1"/>
  <c r="J29" i="3"/>
  <c r="K29" i="3" s="1"/>
  <c r="P29" i="3"/>
  <c r="V29" i="3"/>
  <c r="W29" i="3" s="1"/>
  <c r="J30" i="3"/>
  <c r="P30" i="3"/>
  <c r="B40" i="3" s="1"/>
  <c r="V30" i="3"/>
  <c r="W30" i="3" s="1"/>
  <c r="J31" i="3"/>
  <c r="K31" i="3" s="1"/>
  <c r="P31" i="3"/>
  <c r="V31" i="3"/>
  <c r="W31" i="3" s="1"/>
  <c r="J32" i="3"/>
  <c r="P32" i="3"/>
  <c r="Q32" i="3" s="1"/>
  <c r="J33" i="3"/>
  <c r="K33" i="3" s="1"/>
  <c r="P33" i="3"/>
  <c r="J34" i="3"/>
  <c r="K34" i="3" s="1"/>
  <c r="P34" i="3"/>
  <c r="B36" i="3" s="1"/>
  <c r="J35" i="3"/>
  <c r="K35" i="3" s="1"/>
  <c r="P35" i="3"/>
  <c r="J36" i="3"/>
  <c r="B69" i="3" s="1"/>
  <c r="P36" i="3"/>
  <c r="Q36" i="3" s="1"/>
  <c r="J37" i="3"/>
  <c r="P37" i="3"/>
  <c r="Q37" i="3" s="1"/>
  <c r="AM13" i="4"/>
  <c r="AN13" i="4"/>
  <c r="AO13" i="4"/>
  <c r="B20" i="4"/>
  <c r="C20" i="4"/>
  <c r="D20" i="4"/>
  <c r="E20" i="4"/>
  <c r="F20" i="4"/>
  <c r="G20" i="4"/>
  <c r="H20" i="4"/>
  <c r="I20" i="4"/>
  <c r="J20" i="4"/>
  <c r="K20" i="4"/>
  <c r="L20" i="4"/>
  <c r="M20" i="4"/>
  <c r="N20" i="4"/>
  <c r="O20" i="4"/>
  <c r="P20" i="4"/>
  <c r="Q20" i="4"/>
  <c r="R20" i="4"/>
  <c r="S20" i="4"/>
  <c r="T20" i="4"/>
  <c r="U20" i="4"/>
  <c r="W20" i="4"/>
  <c r="X20" i="4"/>
  <c r="Y20" i="4"/>
  <c r="Z20" i="4"/>
  <c r="AA20" i="4"/>
  <c r="AB20" i="4"/>
  <c r="AC20" i="4"/>
  <c r="AD20" i="4"/>
  <c r="AE20" i="4"/>
  <c r="AF20" i="4"/>
  <c r="AG20" i="4"/>
  <c r="AH20" i="4"/>
  <c r="AI20" i="4"/>
  <c r="AJ20" i="4"/>
  <c r="AK20" i="4"/>
  <c r="AL20" i="4"/>
  <c r="AM20" i="4"/>
  <c r="AN20" i="4"/>
  <c r="AO20" i="4"/>
  <c r="AP20" i="4"/>
  <c r="AQ20" i="4"/>
  <c r="AR20" i="4"/>
  <c r="AS20" i="4"/>
  <c r="B21" i="4"/>
  <c r="C21" i="4"/>
  <c r="D21" i="4"/>
  <c r="E21" i="4"/>
  <c r="F21" i="4"/>
  <c r="G21" i="4"/>
  <c r="H21" i="4"/>
  <c r="I21" i="4"/>
  <c r="J21" i="4"/>
  <c r="K21" i="4"/>
  <c r="L21" i="4"/>
  <c r="M21" i="4"/>
  <c r="N21" i="4"/>
  <c r="O21" i="4"/>
  <c r="P21" i="4"/>
  <c r="Q21" i="4"/>
  <c r="R21" i="4"/>
  <c r="S21" i="4"/>
  <c r="T21" i="4"/>
  <c r="U21" i="4"/>
  <c r="W21" i="4"/>
  <c r="X21" i="4"/>
  <c r="Y21" i="4"/>
  <c r="Z21" i="4"/>
  <c r="AA21" i="4"/>
  <c r="AB21" i="4"/>
  <c r="AC21" i="4"/>
  <c r="AD21" i="4"/>
  <c r="AE21" i="4"/>
  <c r="AF21" i="4"/>
  <c r="AG21" i="4"/>
  <c r="AH21" i="4"/>
  <c r="AI21" i="4"/>
  <c r="AJ21" i="4"/>
  <c r="AK21" i="4"/>
  <c r="AL21" i="4"/>
  <c r="AM21" i="4"/>
  <c r="AN21" i="4"/>
  <c r="AO21" i="4"/>
  <c r="AP21" i="4"/>
  <c r="AQ21" i="4"/>
  <c r="AR21" i="4"/>
  <c r="AS21" i="4"/>
  <c r="B22" i="4"/>
  <c r="C22" i="4"/>
  <c r="D22" i="4"/>
  <c r="E22" i="4"/>
  <c r="F22" i="4"/>
  <c r="G22" i="4"/>
  <c r="H22" i="4"/>
  <c r="I22" i="4"/>
  <c r="J22" i="4"/>
  <c r="K22" i="4"/>
  <c r="L22" i="4"/>
  <c r="M22" i="4"/>
  <c r="N22" i="4"/>
  <c r="O22" i="4"/>
  <c r="P22" i="4"/>
  <c r="Q22" i="4"/>
  <c r="R22" i="4"/>
  <c r="S22" i="4"/>
  <c r="T22" i="4"/>
  <c r="U22" i="4"/>
  <c r="W22" i="4"/>
  <c r="X22" i="4"/>
  <c r="Y22" i="4"/>
  <c r="Z22" i="4"/>
  <c r="AA22" i="4"/>
  <c r="AB22" i="4"/>
  <c r="AC22" i="4"/>
  <c r="AD22" i="4"/>
  <c r="AE22" i="4"/>
  <c r="AF22" i="4"/>
  <c r="AG22" i="4"/>
  <c r="AH22" i="4"/>
  <c r="AI22" i="4"/>
  <c r="AJ22" i="4"/>
  <c r="AK22" i="4"/>
  <c r="AL22" i="4"/>
  <c r="AM22" i="4"/>
  <c r="AN22" i="4"/>
  <c r="AO22" i="4"/>
  <c r="AP22" i="4"/>
  <c r="AQ22" i="4"/>
  <c r="AR22" i="4"/>
  <c r="AS22" i="4"/>
  <c r="B23" i="4"/>
  <c r="C23" i="4"/>
  <c r="D23" i="4"/>
  <c r="E23" i="4"/>
  <c r="F23" i="4"/>
  <c r="G23" i="4"/>
  <c r="H23" i="4"/>
  <c r="I23" i="4"/>
  <c r="J23" i="4"/>
  <c r="K23" i="4"/>
  <c r="L23" i="4"/>
  <c r="M23" i="4"/>
  <c r="N23" i="4"/>
  <c r="O23" i="4"/>
  <c r="P23" i="4"/>
  <c r="Q23" i="4"/>
  <c r="R23" i="4"/>
  <c r="S23" i="4"/>
  <c r="T23" i="4"/>
  <c r="U23" i="4"/>
  <c r="V23" i="4"/>
  <c r="W23" i="4"/>
  <c r="X23" i="4"/>
  <c r="Y23" i="4"/>
  <c r="Z23" i="4"/>
  <c r="AA23" i="4"/>
  <c r="AB23" i="4"/>
  <c r="AC23" i="4"/>
  <c r="AD23" i="4"/>
  <c r="AE23" i="4"/>
  <c r="AF23" i="4"/>
  <c r="AG23" i="4"/>
  <c r="AH23" i="4"/>
  <c r="AI23" i="4"/>
  <c r="AJ23" i="4"/>
  <c r="B24" i="4"/>
  <c r="C24" i="4"/>
  <c r="D24" i="4"/>
  <c r="E24" i="4"/>
  <c r="F24" i="4"/>
  <c r="G24" i="4"/>
  <c r="H24" i="4"/>
  <c r="I24" i="4"/>
  <c r="J24" i="4"/>
  <c r="K24" i="4"/>
  <c r="L24" i="4"/>
  <c r="M24" i="4"/>
  <c r="N24" i="4"/>
  <c r="O24" i="4"/>
  <c r="P24" i="4"/>
  <c r="Q24" i="4"/>
  <c r="R24" i="4"/>
  <c r="S24" i="4"/>
  <c r="T24" i="4"/>
  <c r="U24" i="4"/>
  <c r="V24" i="4"/>
  <c r="W24" i="4"/>
  <c r="X24" i="4"/>
  <c r="Y24" i="4"/>
  <c r="Z24" i="4"/>
  <c r="AA24" i="4"/>
  <c r="AB24" i="4"/>
  <c r="AC24" i="4"/>
  <c r="AD24" i="4"/>
  <c r="AE24" i="4"/>
  <c r="AF24" i="4"/>
  <c r="AG24" i="4"/>
  <c r="AH24" i="4"/>
  <c r="AI24" i="4"/>
  <c r="AJ24" i="4"/>
  <c r="B25" i="4"/>
  <c r="C25" i="4"/>
  <c r="D25" i="4"/>
  <c r="E25" i="4"/>
  <c r="F25" i="4"/>
  <c r="G25" i="4"/>
  <c r="H25" i="4"/>
  <c r="I25" i="4"/>
  <c r="J25" i="4"/>
  <c r="K25" i="4"/>
  <c r="L25" i="4"/>
  <c r="M25" i="4"/>
  <c r="N25" i="4"/>
  <c r="O25" i="4"/>
  <c r="P25" i="4"/>
  <c r="Q25" i="4"/>
  <c r="R25" i="4"/>
  <c r="S25" i="4"/>
  <c r="T25" i="4"/>
  <c r="U25" i="4"/>
  <c r="V25" i="4"/>
  <c r="W25" i="4"/>
  <c r="X25" i="4"/>
  <c r="Y25" i="4"/>
  <c r="Z25" i="4"/>
  <c r="AA25" i="4"/>
  <c r="AB25" i="4"/>
  <c r="AC25" i="4"/>
  <c r="AD25" i="4"/>
  <c r="AE25" i="4"/>
  <c r="AF25" i="4"/>
  <c r="AG25" i="4"/>
  <c r="AH25" i="4"/>
  <c r="AI25" i="4"/>
  <c r="AJ25" i="4"/>
  <c r="B38" i="4"/>
  <c r="C38" i="4"/>
  <c r="D38" i="4"/>
  <c r="B39" i="4"/>
  <c r="C39" i="4"/>
  <c r="D39" i="4"/>
  <c r="B40" i="4"/>
  <c r="C40" i="4"/>
  <c r="D40" i="4"/>
  <c r="AM54" i="4"/>
  <c r="AN54" i="4"/>
  <c r="AO54" i="4"/>
  <c r="B61" i="4"/>
  <c r="C61" i="4"/>
  <c r="D61" i="4"/>
  <c r="E61" i="4"/>
  <c r="F61" i="4"/>
  <c r="G61" i="4"/>
  <c r="H61" i="4"/>
  <c r="I61" i="4"/>
  <c r="J61" i="4"/>
  <c r="K61" i="4"/>
  <c r="L61" i="4"/>
  <c r="M61" i="4"/>
  <c r="N61" i="4"/>
  <c r="O61" i="4"/>
  <c r="P61" i="4"/>
  <c r="Q61" i="4"/>
  <c r="R61" i="4"/>
  <c r="S61" i="4"/>
  <c r="T61" i="4"/>
  <c r="U61" i="4"/>
  <c r="V61" i="4"/>
  <c r="W61" i="4"/>
  <c r="X61" i="4"/>
  <c r="Y61" i="4"/>
  <c r="Z61" i="4"/>
  <c r="AA61" i="4"/>
  <c r="AB61" i="4"/>
  <c r="AC61" i="4"/>
  <c r="AD61" i="4"/>
  <c r="AE61" i="4"/>
  <c r="AF61" i="4"/>
  <c r="AG61" i="4"/>
  <c r="AH61" i="4"/>
  <c r="AI61" i="4"/>
  <c r="AK61" i="4"/>
  <c r="AL61" i="4"/>
  <c r="AM61" i="4"/>
  <c r="AN61" i="4"/>
  <c r="AO61" i="4"/>
  <c r="AP61" i="4"/>
  <c r="AQ61" i="4"/>
  <c r="AR61" i="4"/>
  <c r="AS61" i="4"/>
  <c r="B62" i="4"/>
  <c r="C62" i="4"/>
  <c r="D62" i="4"/>
  <c r="E62" i="4"/>
  <c r="F62" i="4"/>
  <c r="G62" i="4"/>
  <c r="H62" i="4"/>
  <c r="I62" i="4"/>
  <c r="J62" i="4"/>
  <c r="K62" i="4"/>
  <c r="L62" i="4"/>
  <c r="M62" i="4"/>
  <c r="N62" i="4"/>
  <c r="O62" i="4"/>
  <c r="P62" i="4"/>
  <c r="Q62" i="4"/>
  <c r="R62" i="4"/>
  <c r="S62" i="4"/>
  <c r="T62" i="4"/>
  <c r="U62" i="4"/>
  <c r="V62" i="4"/>
  <c r="W62" i="4"/>
  <c r="X62" i="4"/>
  <c r="Y62" i="4"/>
  <c r="Z62" i="4"/>
  <c r="AA62" i="4"/>
  <c r="AB62" i="4"/>
  <c r="AC62" i="4"/>
  <c r="AD62" i="4"/>
  <c r="AE62" i="4"/>
  <c r="AF62" i="4"/>
  <c r="AG62" i="4"/>
  <c r="AH62" i="4"/>
  <c r="AI62" i="4"/>
  <c r="AK62" i="4"/>
  <c r="AL62" i="4"/>
  <c r="AM62" i="4"/>
  <c r="AN62" i="4"/>
  <c r="AO62" i="4"/>
  <c r="AP62" i="4"/>
  <c r="AQ62" i="4"/>
  <c r="AR62" i="4"/>
  <c r="AS62" i="4"/>
  <c r="B63" i="4"/>
  <c r="C63" i="4"/>
  <c r="D63" i="4"/>
  <c r="E63" i="4"/>
  <c r="F63" i="4"/>
  <c r="G63" i="4"/>
  <c r="H63" i="4"/>
  <c r="I63" i="4"/>
  <c r="J63" i="4"/>
  <c r="K63" i="4"/>
  <c r="L63" i="4"/>
  <c r="M63" i="4"/>
  <c r="N63" i="4"/>
  <c r="O63" i="4"/>
  <c r="P63" i="4"/>
  <c r="Q63" i="4"/>
  <c r="R63" i="4"/>
  <c r="S63" i="4"/>
  <c r="T63" i="4"/>
  <c r="U63" i="4"/>
  <c r="V63" i="4"/>
  <c r="W63" i="4"/>
  <c r="X63" i="4"/>
  <c r="Y63" i="4"/>
  <c r="Z63" i="4"/>
  <c r="AA63" i="4"/>
  <c r="AB63" i="4"/>
  <c r="AC63" i="4"/>
  <c r="AD63" i="4"/>
  <c r="AE63" i="4"/>
  <c r="AF63" i="4"/>
  <c r="AG63" i="4"/>
  <c r="AH63" i="4"/>
  <c r="AI63" i="4"/>
  <c r="AK63" i="4"/>
  <c r="AL63" i="4"/>
  <c r="AM63" i="4"/>
  <c r="AN63" i="4"/>
  <c r="AO63" i="4"/>
  <c r="AP63" i="4"/>
  <c r="AQ63" i="4"/>
  <c r="AR63" i="4"/>
  <c r="AS63" i="4"/>
  <c r="B64" i="4"/>
  <c r="C64" i="4"/>
  <c r="D64" i="4"/>
  <c r="E64" i="4"/>
  <c r="F64" i="4"/>
  <c r="G64" i="4"/>
  <c r="H64" i="4"/>
  <c r="I64" i="4"/>
  <c r="J64" i="4"/>
  <c r="K64" i="4"/>
  <c r="L64" i="4"/>
  <c r="M64" i="4"/>
  <c r="N64" i="4"/>
  <c r="O64" i="4"/>
  <c r="P64" i="4"/>
  <c r="Q64" i="4"/>
  <c r="R64" i="4"/>
  <c r="S64" i="4"/>
  <c r="T64" i="4"/>
  <c r="U64" i="4"/>
  <c r="V64" i="4"/>
  <c r="W64" i="4"/>
  <c r="X64" i="4"/>
  <c r="Y64" i="4"/>
  <c r="Z64" i="4"/>
  <c r="AA64" i="4"/>
  <c r="AB64" i="4"/>
  <c r="AC64" i="4"/>
  <c r="AD64" i="4"/>
  <c r="AE64" i="4"/>
  <c r="AF64" i="4"/>
  <c r="AG64" i="4"/>
  <c r="AH64" i="4"/>
  <c r="AI64" i="4"/>
  <c r="B65" i="4"/>
  <c r="C65" i="4"/>
  <c r="D65" i="4"/>
  <c r="E65" i="4"/>
  <c r="F65" i="4"/>
  <c r="G65" i="4"/>
  <c r="H65" i="4"/>
  <c r="I65" i="4"/>
  <c r="J65" i="4"/>
  <c r="K65" i="4"/>
  <c r="L65" i="4"/>
  <c r="M65" i="4"/>
  <c r="N65" i="4"/>
  <c r="O65" i="4"/>
  <c r="P65" i="4"/>
  <c r="Q65" i="4"/>
  <c r="R65" i="4"/>
  <c r="S65" i="4"/>
  <c r="T65" i="4"/>
  <c r="U65" i="4"/>
  <c r="V65" i="4"/>
  <c r="W65" i="4"/>
  <c r="X65" i="4"/>
  <c r="Y65" i="4"/>
  <c r="Z65" i="4"/>
  <c r="AA65" i="4"/>
  <c r="AB65" i="4"/>
  <c r="AC65" i="4"/>
  <c r="AD65" i="4"/>
  <c r="AE65" i="4"/>
  <c r="AF65" i="4"/>
  <c r="AG65" i="4"/>
  <c r="AH65" i="4"/>
  <c r="AI65" i="4"/>
  <c r="B66" i="4"/>
  <c r="C66" i="4"/>
  <c r="D66" i="4"/>
  <c r="E66" i="4"/>
  <c r="F66" i="4"/>
  <c r="G66" i="4"/>
  <c r="H66" i="4"/>
  <c r="I66" i="4"/>
  <c r="J66" i="4"/>
  <c r="K66" i="4"/>
  <c r="L66" i="4"/>
  <c r="M66" i="4"/>
  <c r="N66" i="4"/>
  <c r="O66" i="4"/>
  <c r="P66" i="4"/>
  <c r="Q66" i="4"/>
  <c r="R66" i="4"/>
  <c r="S66" i="4"/>
  <c r="T66" i="4"/>
  <c r="U66" i="4"/>
  <c r="V66" i="4"/>
  <c r="W66" i="4"/>
  <c r="X66" i="4"/>
  <c r="Y66" i="4"/>
  <c r="Z66" i="4"/>
  <c r="AA66" i="4"/>
  <c r="AB66" i="4"/>
  <c r="AC66" i="4"/>
  <c r="AD66" i="4"/>
  <c r="AE66" i="4"/>
  <c r="AF66" i="4"/>
  <c r="AG66" i="4"/>
  <c r="AH66" i="4"/>
  <c r="AI66" i="4"/>
  <c r="AM80" i="4"/>
  <c r="AN80" i="4"/>
  <c r="AO80" i="4"/>
  <c r="AP81" i="4"/>
  <c r="AQ81" i="4"/>
  <c r="AR81" i="4"/>
  <c r="B87" i="4"/>
  <c r="C87" i="4"/>
  <c r="D87" i="4"/>
  <c r="E87" i="4"/>
  <c r="F87" i="4"/>
  <c r="G87" i="4"/>
  <c r="H87" i="4"/>
  <c r="I87" i="4"/>
  <c r="J87" i="4"/>
  <c r="K87" i="4"/>
  <c r="L87" i="4"/>
  <c r="M87" i="4"/>
  <c r="N87" i="4"/>
  <c r="O87" i="4"/>
  <c r="P87" i="4"/>
  <c r="Q87" i="4"/>
  <c r="R87" i="4"/>
  <c r="S87" i="4"/>
  <c r="T87" i="4"/>
  <c r="U87" i="4"/>
  <c r="V87" i="4"/>
  <c r="W87" i="4"/>
  <c r="X87" i="4"/>
  <c r="Y87" i="4"/>
  <c r="Z87" i="4"/>
  <c r="AA87" i="4"/>
  <c r="AB87" i="4"/>
  <c r="AC87" i="4"/>
  <c r="AD87" i="4"/>
  <c r="AE87" i="4"/>
  <c r="AF87" i="4"/>
  <c r="B88" i="4"/>
  <c r="C88" i="4"/>
  <c r="D88" i="4"/>
  <c r="E88" i="4"/>
  <c r="F88" i="4"/>
  <c r="G88" i="4"/>
  <c r="H88" i="4"/>
  <c r="I88" i="4"/>
  <c r="J88" i="4"/>
  <c r="K88" i="4"/>
  <c r="L88" i="4"/>
  <c r="M88" i="4"/>
  <c r="N88" i="4"/>
  <c r="O88" i="4"/>
  <c r="P88" i="4"/>
  <c r="Q88" i="4"/>
  <c r="R88" i="4"/>
  <c r="S88" i="4"/>
  <c r="T88" i="4"/>
  <c r="U88" i="4"/>
  <c r="V88" i="4"/>
  <c r="W88" i="4"/>
  <c r="X88" i="4"/>
  <c r="Y88" i="4"/>
  <c r="Z88" i="4"/>
  <c r="AA88" i="4"/>
  <c r="AB88" i="4"/>
  <c r="AC88" i="4"/>
  <c r="AD88" i="4"/>
  <c r="AE88" i="4"/>
  <c r="AF88" i="4"/>
  <c r="B89" i="4"/>
  <c r="C89" i="4"/>
  <c r="D89" i="4"/>
  <c r="E89" i="4"/>
  <c r="F89" i="4"/>
  <c r="G89" i="4"/>
  <c r="H89" i="4"/>
  <c r="I89" i="4"/>
  <c r="J89" i="4"/>
  <c r="K89" i="4"/>
  <c r="L89" i="4"/>
  <c r="M89" i="4"/>
  <c r="N89" i="4"/>
  <c r="O89" i="4"/>
  <c r="P89" i="4"/>
  <c r="Q89" i="4"/>
  <c r="R89" i="4"/>
  <c r="S89" i="4"/>
  <c r="T89" i="4"/>
  <c r="U89" i="4"/>
  <c r="V89" i="4"/>
  <c r="W89" i="4"/>
  <c r="X89" i="4"/>
  <c r="Y89" i="4"/>
  <c r="Z89" i="4"/>
  <c r="AA89" i="4"/>
  <c r="AB89" i="4"/>
  <c r="AC89" i="4"/>
  <c r="AD89" i="4"/>
  <c r="AE89" i="4"/>
  <c r="AF89" i="4"/>
  <c r="B90" i="4"/>
  <c r="C90" i="4"/>
  <c r="D90" i="4"/>
  <c r="E90" i="4"/>
  <c r="F90" i="4"/>
  <c r="G90" i="4"/>
  <c r="H90" i="4"/>
  <c r="I90" i="4"/>
  <c r="J90" i="4"/>
  <c r="K90" i="4"/>
  <c r="L90" i="4"/>
  <c r="M90" i="4"/>
  <c r="N90" i="4"/>
  <c r="O90" i="4"/>
  <c r="P90" i="4"/>
  <c r="Q90" i="4"/>
  <c r="R90" i="4"/>
  <c r="S90" i="4"/>
  <c r="T90" i="4"/>
  <c r="U90" i="4"/>
  <c r="V90" i="4"/>
  <c r="W90" i="4"/>
  <c r="X90" i="4"/>
  <c r="Y90" i="4"/>
  <c r="Z90" i="4"/>
  <c r="AA90" i="4"/>
  <c r="AB90" i="4"/>
  <c r="AC90" i="4"/>
  <c r="AD90" i="4"/>
  <c r="AE90" i="4"/>
  <c r="AF90" i="4"/>
  <c r="B91" i="4"/>
  <c r="C91" i="4"/>
  <c r="D91" i="4"/>
  <c r="E91" i="4"/>
  <c r="F91" i="4"/>
  <c r="G91" i="4"/>
  <c r="H91" i="4"/>
  <c r="I91" i="4"/>
  <c r="J91" i="4"/>
  <c r="K91" i="4"/>
  <c r="L91" i="4"/>
  <c r="M91" i="4"/>
  <c r="N91" i="4"/>
  <c r="O91" i="4"/>
  <c r="P91" i="4"/>
  <c r="Q91" i="4"/>
  <c r="R91" i="4"/>
  <c r="S91" i="4"/>
  <c r="T91" i="4"/>
  <c r="U91" i="4"/>
  <c r="V91" i="4"/>
  <c r="W91" i="4"/>
  <c r="X91" i="4"/>
  <c r="Y91" i="4"/>
  <c r="Z91" i="4"/>
  <c r="AA91" i="4"/>
  <c r="AB91" i="4"/>
  <c r="AC91" i="4"/>
  <c r="AD91" i="4"/>
  <c r="AE91" i="4"/>
  <c r="AF91" i="4"/>
  <c r="B92" i="4"/>
  <c r="C92" i="4"/>
  <c r="D92" i="4"/>
  <c r="E92" i="4"/>
  <c r="F92" i="4"/>
  <c r="G92" i="4"/>
  <c r="H92" i="4"/>
  <c r="I92" i="4"/>
  <c r="J92" i="4"/>
  <c r="K92" i="4"/>
  <c r="L92" i="4"/>
  <c r="M92" i="4"/>
  <c r="N92" i="4"/>
  <c r="O92" i="4"/>
  <c r="P92" i="4"/>
  <c r="Q92" i="4"/>
  <c r="R92" i="4"/>
  <c r="S92" i="4"/>
  <c r="T92" i="4"/>
  <c r="U92" i="4"/>
  <c r="V92" i="4"/>
  <c r="W92" i="4"/>
  <c r="X92" i="4"/>
  <c r="Y92" i="4"/>
  <c r="Z92" i="4"/>
  <c r="AA92" i="4"/>
  <c r="AB92" i="4"/>
  <c r="AC92" i="4"/>
  <c r="AD92" i="4"/>
  <c r="AE92" i="4"/>
  <c r="AF92" i="4"/>
  <c r="AJ93" i="4"/>
  <c r="AK93" i="4"/>
  <c r="AL93" i="4"/>
  <c r="AM94" i="4"/>
  <c r="AN94" i="4"/>
  <c r="AO94" i="4"/>
  <c r="E23" i="2" l="1"/>
  <c r="F65" i="1"/>
  <c r="E19" i="2"/>
  <c r="F49" i="1"/>
  <c r="E15" i="2"/>
  <c r="D32" i="1" s="1"/>
  <c r="F31" i="1" s="1"/>
  <c r="F33" i="1"/>
  <c r="E22" i="2"/>
  <c r="F61" i="1"/>
  <c r="E18" i="2"/>
  <c r="D44" i="1" s="1"/>
  <c r="F43" i="1" s="1"/>
  <c r="F45" i="1"/>
  <c r="E21" i="2"/>
  <c r="F57" i="1"/>
  <c r="E17" i="2"/>
  <c r="F41" i="1"/>
  <c r="E24" i="2"/>
  <c r="Q38" i="2" s="1"/>
  <c r="F69" i="1"/>
  <c r="E20" i="2"/>
  <c r="F53" i="1"/>
  <c r="E16" i="2"/>
  <c r="F37" i="1"/>
  <c r="B93" i="3"/>
  <c r="AD14" i="1"/>
  <c r="AD13" i="1"/>
  <c r="AD12" i="1"/>
  <c r="BP21" i="2"/>
  <c r="B62" i="3"/>
  <c r="B94" i="3"/>
  <c r="Q6" i="3"/>
  <c r="Q26" i="3"/>
  <c r="B31" i="3"/>
  <c r="W3" i="3"/>
  <c r="B59" i="3"/>
  <c r="D3" i="1"/>
  <c r="EF16" i="2"/>
  <c r="EF15" i="2"/>
  <c r="B80" i="3"/>
  <c r="B51" i="3"/>
  <c r="K20" i="3"/>
  <c r="W9" i="3"/>
  <c r="Q7" i="3"/>
  <c r="W11" i="3"/>
  <c r="EL7" i="2"/>
  <c r="AD74" i="1" s="1"/>
  <c r="DY7" i="2"/>
  <c r="D74" i="1" s="1"/>
  <c r="D89" i="1" s="1"/>
  <c r="EK7" i="2"/>
  <c r="AB74" i="1" s="1"/>
  <c r="EC7" i="2"/>
  <c r="L74" i="1" s="1"/>
  <c r="ED7" i="2"/>
  <c r="N74" i="1" s="1"/>
  <c r="EO7" i="2"/>
  <c r="AJ74" i="1" s="1"/>
  <c r="EG7" i="2"/>
  <c r="T74" i="1" s="1"/>
  <c r="EN7" i="2"/>
  <c r="AH74" i="1" s="1"/>
  <c r="EJ7" i="2"/>
  <c r="Z74" i="1" s="1"/>
  <c r="EF7" i="2"/>
  <c r="R74" i="1" s="1"/>
  <c r="EB7" i="2"/>
  <c r="J74" i="1" s="1"/>
  <c r="EH7" i="2"/>
  <c r="V74" i="1" s="1"/>
  <c r="EM7" i="2"/>
  <c r="AF74" i="1" s="1"/>
  <c r="EI7" i="2"/>
  <c r="X74" i="1" s="1"/>
  <c r="EE7" i="2"/>
  <c r="P74" i="1" s="1"/>
  <c r="EA7" i="2"/>
  <c r="H74" i="1" s="1"/>
  <c r="K36" i="3"/>
  <c r="K27" i="3"/>
  <c r="AL62" i="1"/>
  <c r="AN62" i="1"/>
  <c r="AL34" i="1"/>
  <c r="AN34" i="1"/>
  <c r="AN66" i="1"/>
  <c r="AL66" i="1"/>
  <c r="AN50" i="1"/>
  <c r="AL50" i="1"/>
  <c r="K4" i="3"/>
  <c r="AL70" i="1"/>
  <c r="AN70" i="1"/>
  <c r="AL54" i="1"/>
  <c r="AN54" i="1"/>
  <c r="AN38" i="1"/>
  <c r="AL38" i="1"/>
  <c r="AL30" i="1"/>
  <c r="AN30" i="1"/>
  <c r="AN58" i="1"/>
  <c r="AL58" i="1"/>
  <c r="AL46" i="1"/>
  <c r="AN46" i="1"/>
  <c r="AN42" i="1"/>
  <c r="AL42" i="1"/>
  <c r="E26" i="2"/>
  <c r="C30" i="2" s="1"/>
  <c r="AJ14" i="1"/>
  <c r="AJ13" i="1"/>
  <c r="AJ12" i="1"/>
  <c r="AH13" i="1"/>
  <c r="AH12" i="1"/>
  <c r="AH14" i="1"/>
  <c r="AF12" i="1"/>
  <c r="AF14" i="1"/>
  <c r="AF13" i="1"/>
  <c r="AB14" i="1"/>
  <c r="AB13" i="1"/>
  <c r="AB12" i="1"/>
  <c r="Z13" i="1"/>
  <c r="Z12" i="1"/>
  <c r="Z14" i="1"/>
  <c r="X12" i="1"/>
  <c r="X14" i="1"/>
  <c r="X13" i="1"/>
  <c r="V12" i="1"/>
  <c r="V14" i="1"/>
  <c r="V13" i="1"/>
  <c r="T14" i="1"/>
  <c r="T13" i="1"/>
  <c r="T12" i="1"/>
  <c r="R13" i="1"/>
  <c r="R12" i="1"/>
  <c r="R14" i="1"/>
  <c r="P12" i="1"/>
  <c r="P13" i="1"/>
  <c r="P14" i="1"/>
  <c r="N14" i="1"/>
  <c r="N13" i="1"/>
  <c r="N12" i="1"/>
  <c r="J14" i="1"/>
  <c r="J13" i="1"/>
  <c r="J12" i="1"/>
  <c r="H12" i="1"/>
  <c r="H14" i="1"/>
  <c r="H13" i="1"/>
  <c r="F14" i="1"/>
  <c r="F13" i="1"/>
  <c r="F12" i="1"/>
  <c r="D14" i="1"/>
  <c r="D13" i="1"/>
  <c r="D12" i="1"/>
  <c r="B42" i="3"/>
  <c r="B38" i="3"/>
  <c r="K5" i="3"/>
  <c r="W15" i="3"/>
  <c r="B83" i="3"/>
  <c r="K14" i="3"/>
  <c r="B95" i="3"/>
  <c r="K9" i="3"/>
  <c r="J162" i="1"/>
  <c r="J161" i="1"/>
  <c r="L162" i="1"/>
  <c r="L168" i="1" s="1"/>
  <c r="B60" i="3"/>
  <c r="B61" i="3"/>
  <c r="B72" i="3"/>
  <c r="L161" i="1"/>
  <c r="L167" i="1" s="1"/>
  <c r="BV5" i="2"/>
  <c r="BQ18" i="2"/>
  <c r="B27" i="3"/>
  <c r="B29" i="3"/>
  <c r="B88" i="3"/>
  <c r="B66" i="3"/>
  <c r="B22" i="3"/>
  <c r="W20" i="3"/>
  <c r="W14" i="3"/>
  <c r="Q14" i="3"/>
  <c r="B58" i="3"/>
  <c r="B50" i="3"/>
  <c r="Q22" i="3"/>
  <c r="B34" i="3"/>
  <c r="B19" i="3"/>
  <c r="W17" i="3"/>
  <c r="BN5" i="2"/>
  <c r="B86" i="3"/>
  <c r="BU18" i="2"/>
  <c r="BQ5" i="2"/>
  <c r="BT5" i="2"/>
  <c r="BP5" i="2"/>
  <c r="BS18" i="2"/>
  <c r="BO5" i="2"/>
  <c r="B45" i="3"/>
  <c r="B28" i="3"/>
  <c r="W19" i="3"/>
  <c r="B98" i="3"/>
  <c r="B77" i="3"/>
  <c r="B53" i="3"/>
  <c r="B43" i="3"/>
  <c r="B33" i="3"/>
  <c r="B23" i="3"/>
  <c r="B13" i="3"/>
  <c r="AN24" i="1"/>
  <c r="BN18" i="2"/>
  <c r="B99" i="3"/>
  <c r="B71" i="3"/>
  <c r="K26" i="3"/>
  <c r="B25" i="3"/>
  <c r="BW5" i="2"/>
  <c r="BR5" i="2"/>
  <c r="BU5" i="2"/>
  <c r="L164" i="1"/>
  <c r="D17" i="1"/>
  <c r="D16" i="1"/>
  <c r="D15" i="1"/>
  <c r="DD23" i="2"/>
  <c r="B35" i="3"/>
  <c r="Q35" i="3"/>
  <c r="B37" i="3"/>
  <c r="Q33" i="3"/>
  <c r="K30" i="3"/>
  <c r="B75" i="3"/>
  <c r="Q34" i="3"/>
  <c r="Q21" i="3"/>
  <c r="B49" i="3"/>
  <c r="B52" i="3"/>
  <c r="Q18" i="3"/>
  <c r="Q15" i="3"/>
  <c r="B55" i="3"/>
  <c r="K8" i="3"/>
  <c r="B97" i="3"/>
  <c r="Q3" i="3"/>
  <c r="B67" i="3"/>
  <c r="K32" i="3"/>
  <c r="B73" i="3"/>
  <c r="Q29" i="3"/>
  <c r="B41" i="3"/>
  <c r="Q31" i="3"/>
  <c r="B39" i="3"/>
  <c r="B68" i="3"/>
  <c r="K37" i="3"/>
  <c r="B46" i="3"/>
  <c r="Q24" i="3"/>
  <c r="B82" i="3"/>
  <c r="K23" i="3"/>
  <c r="K16" i="3"/>
  <c r="B89" i="3"/>
  <c r="B92" i="3"/>
  <c r="K13" i="3"/>
  <c r="B30" i="3"/>
  <c r="W5" i="3"/>
  <c r="BP18" i="2"/>
  <c r="BS5" i="2"/>
  <c r="B17" i="3"/>
  <c r="B14" i="3"/>
  <c r="BT18" i="2"/>
  <c r="BO18" i="2"/>
  <c r="B54" i="3"/>
  <c r="Q30" i="3"/>
  <c r="B74" i="3"/>
  <c r="B90" i="3"/>
  <c r="B84" i="3"/>
  <c r="B65" i="3"/>
  <c r="B47" i="3"/>
  <c r="AP71" i="1"/>
  <c r="B102" i="3"/>
  <c r="B87" i="3"/>
  <c r="B81" i="3"/>
  <c r="B76" i="3"/>
  <c r="B70" i="3"/>
  <c r="B57" i="3"/>
  <c r="BR18" i="2"/>
  <c r="BV18" i="2"/>
  <c r="AN83" i="1"/>
  <c r="D85" i="1"/>
  <c r="AH86" i="1"/>
  <c r="X86" i="1"/>
  <c r="AF86" i="1"/>
  <c r="AF85" i="1"/>
  <c r="AB85" i="1"/>
  <c r="AH85" i="1"/>
  <c r="Z86" i="1"/>
  <c r="P86" i="1"/>
  <c r="T85" i="1"/>
  <c r="Z85" i="1"/>
  <c r="L86" i="1"/>
  <c r="P85" i="1"/>
  <c r="R86" i="1"/>
  <c r="N85" i="1"/>
  <c r="AJ86" i="1"/>
  <c r="AJ85" i="1"/>
  <c r="J85" i="1"/>
  <c r="AD85" i="1"/>
  <c r="AB86" i="1"/>
  <c r="AD86" i="1"/>
  <c r="T86" i="1"/>
  <c r="X85" i="1"/>
  <c r="V85" i="1"/>
  <c r="V86" i="1"/>
  <c r="H86" i="1"/>
  <c r="L85" i="1"/>
  <c r="N86" i="1"/>
  <c r="R85" i="1"/>
  <c r="D86" i="1"/>
  <c r="H85" i="1"/>
  <c r="J86" i="1"/>
  <c r="AO32" i="1"/>
  <c r="R17" i="1" l="1"/>
  <c r="R16" i="1"/>
  <c r="D5" i="1"/>
  <c r="D6" i="1"/>
  <c r="D11" i="1"/>
  <c r="D8" i="1"/>
  <c r="D10" i="1"/>
  <c r="D9" i="1"/>
  <c r="D7" i="1"/>
  <c r="AL71" i="1"/>
  <c r="C35" i="2"/>
  <c r="G35" i="2" s="1"/>
  <c r="C31" i="2"/>
  <c r="G31" i="2" s="1"/>
  <c r="C32" i="2"/>
  <c r="G32" i="2" s="1"/>
  <c r="C33" i="2"/>
  <c r="G33" i="2" s="1"/>
  <c r="C38" i="2"/>
  <c r="G38" i="2" s="1"/>
  <c r="C36" i="2"/>
  <c r="G36" i="2" s="1"/>
  <c r="C37" i="2"/>
  <c r="G37" i="2" s="1"/>
  <c r="C34" i="2"/>
  <c r="G34" i="2" s="1"/>
  <c r="C28" i="2"/>
  <c r="G28" i="2" s="1"/>
  <c r="C29" i="2"/>
  <c r="G29" i="2" s="1"/>
  <c r="H16" i="1"/>
  <c r="H15" i="1"/>
  <c r="H17" i="1"/>
  <c r="N162" i="1"/>
  <c r="N168" i="1" s="1"/>
  <c r="D68" i="1"/>
  <c r="F67" i="1" s="1"/>
  <c r="AN71" i="1"/>
  <c r="N164" i="1"/>
  <c r="P164" i="1" s="1"/>
  <c r="D40" i="1"/>
  <c r="F39" i="1" s="1"/>
  <c r="D64" i="1"/>
  <c r="F63" i="1" s="1"/>
  <c r="D56" i="1"/>
  <c r="F55" i="1" s="1"/>
  <c r="D48" i="1"/>
  <c r="F47" i="1" s="1"/>
  <c r="D36" i="1"/>
  <c r="F35" i="1" s="1"/>
  <c r="Q34" i="2"/>
  <c r="D52" i="1"/>
  <c r="F51" i="1" s="1"/>
  <c r="Q36" i="2"/>
  <c r="D60" i="1"/>
  <c r="F59" i="1" s="1"/>
  <c r="Q35" i="2"/>
  <c r="Q29" i="2"/>
  <c r="G30" i="2"/>
  <c r="D90" i="1"/>
  <c r="Q28" i="2"/>
  <c r="Q33" i="2"/>
  <c r="Q37" i="2"/>
  <c r="Q32" i="2"/>
  <c r="Q31" i="2"/>
  <c r="Q30" i="2"/>
  <c r="AO36" i="1"/>
  <c r="AO31" i="1"/>
  <c r="AP31" i="1" s="1"/>
  <c r="H10" i="1" l="1"/>
  <c r="H9" i="1"/>
  <c r="H8" i="1"/>
  <c r="H5" i="1"/>
  <c r="H7" i="1"/>
  <c r="H6" i="1"/>
  <c r="F87" i="1"/>
  <c r="J15" i="1"/>
  <c r="H11" i="1"/>
  <c r="I13" i="1"/>
  <c r="I14" i="1"/>
  <c r="I12" i="1"/>
  <c r="J17" i="1"/>
  <c r="J16" i="1"/>
  <c r="P162" i="1"/>
  <c r="P168" i="1" s="1"/>
  <c r="N161" i="1"/>
  <c r="N167" i="1" s="1"/>
  <c r="R164" i="1"/>
  <c r="AO35" i="1"/>
  <c r="AP35" i="1" s="1"/>
  <c r="AO40" i="1"/>
  <c r="J6" i="1" l="1"/>
  <c r="J8" i="1"/>
  <c r="J5" i="1"/>
  <c r="J7" i="1"/>
  <c r="J10" i="1"/>
  <c r="J9" i="1"/>
  <c r="J11" i="1"/>
  <c r="K14" i="1"/>
  <c r="K13" i="1"/>
  <c r="K12" i="1"/>
  <c r="L15" i="1"/>
  <c r="L16" i="1"/>
  <c r="L17" i="1"/>
  <c r="P161" i="1"/>
  <c r="P167" i="1" s="1"/>
  <c r="AO44" i="1"/>
  <c r="AO39" i="1"/>
  <c r="AP39" i="1" s="1"/>
  <c r="L9" i="1" l="1"/>
  <c r="L8" i="1"/>
  <c r="L7" i="1"/>
  <c r="L6" i="1"/>
  <c r="L5" i="1"/>
  <c r="L10" i="1"/>
  <c r="L11" i="1"/>
  <c r="M14" i="1"/>
  <c r="M12" i="1"/>
  <c r="M13" i="1"/>
  <c r="N16" i="1"/>
  <c r="N17" i="1"/>
  <c r="N15" i="1"/>
  <c r="T165" i="1"/>
  <c r="V165" i="1" s="1"/>
  <c r="X165" i="1" s="1"/>
  <c r="Z165" i="1" s="1"/>
  <c r="AB165" i="1" s="1"/>
  <c r="AD165" i="1" s="1"/>
  <c r="AF165" i="1" s="1"/>
  <c r="AH165" i="1" s="1"/>
  <c r="AJ165" i="1" s="1"/>
  <c r="T164" i="1"/>
  <c r="V164" i="1" s="1"/>
  <c r="X164" i="1" s="1"/>
  <c r="Z164" i="1" s="1"/>
  <c r="AB164" i="1" s="1"/>
  <c r="AD164" i="1" s="1"/>
  <c r="AF164" i="1" s="1"/>
  <c r="AH164" i="1" s="1"/>
  <c r="AJ164" i="1" s="1"/>
  <c r="AO48" i="1"/>
  <c r="AO43" i="1"/>
  <c r="AP43" i="1" s="1"/>
  <c r="N10" i="1" l="1"/>
  <c r="N5" i="1"/>
  <c r="N9" i="1"/>
  <c r="N8" i="1"/>
  <c r="N7" i="1"/>
  <c r="N6" i="1"/>
  <c r="N11" i="1"/>
  <c r="O14" i="1"/>
  <c r="O12" i="1"/>
  <c r="O13" i="1"/>
  <c r="AO47" i="1"/>
  <c r="AP47" i="1" s="1"/>
  <c r="AO52" i="1"/>
  <c r="AO51" i="1" l="1"/>
  <c r="AP51" i="1" s="1"/>
  <c r="AO56" i="1"/>
  <c r="AO55" i="1" l="1"/>
  <c r="AP55" i="1" s="1"/>
  <c r="AO60" i="1"/>
  <c r="AO64" i="1" l="1"/>
  <c r="AO59" i="1"/>
  <c r="AP59" i="1" s="1"/>
  <c r="AO63" i="1" l="1"/>
  <c r="AP63" i="1" s="1"/>
  <c r="AO68" i="1"/>
  <c r="AO67" i="1" s="1"/>
  <c r="AP67" i="1" s="1"/>
  <c r="J160" i="1" l="1"/>
  <c r="L160" i="1" l="1"/>
  <c r="L166" i="1" s="1"/>
  <c r="N160" i="1" l="1"/>
  <c r="L163" i="1"/>
  <c r="N166" i="1" l="1"/>
  <c r="P160" i="1" s="1"/>
  <c r="N163" i="1"/>
  <c r="P166" i="1" l="1"/>
  <c r="P163" i="1"/>
  <c r="R163" i="1" l="1"/>
  <c r="T163" i="1" l="1"/>
  <c r="V163" i="1" s="1"/>
  <c r="X163" i="1" s="1"/>
  <c r="Z163" i="1" l="1"/>
  <c r="AB163" i="1" l="1"/>
  <c r="AD163" i="1" l="1"/>
  <c r="AF163" i="1" l="1"/>
  <c r="AH163" i="1" l="1"/>
  <c r="AJ163" i="1" l="1"/>
  <c r="F75" i="1" l="1"/>
  <c r="AN75" i="1" s="1"/>
  <c r="F82" i="1"/>
  <c r="AN82" i="1" s="1"/>
  <c r="F77" i="1"/>
  <c r="AN77" i="1" s="1"/>
  <c r="F79" i="1"/>
  <c r="AN79" i="1" s="1"/>
  <c r="F85" i="1"/>
  <c r="AN85" i="1" s="1"/>
  <c r="F84" i="1"/>
  <c r="AN84" i="1" s="1"/>
  <c r="F73" i="1"/>
  <c r="AN73" i="1" s="1"/>
  <c r="DZ9" i="2"/>
  <c r="DZ10" i="2" s="1"/>
  <c r="F81" i="1" s="1"/>
  <c r="AN81" i="1" s="1"/>
  <c r="DZ6" i="2"/>
  <c r="F80" i="1"/>
  <c r="AN80" i="1" s="1"/>
  <c r="F78" i="1"/>
  <c r="AN78" i="1" s="1"/>
  <c r="F76" i="1"/>
  <c r="AN76" i="1" s="1"/>
  <c r="F86" i="1"/>
  <c r="AN86" i="1" s="1"/>
  <c r="F72" i="1"/>
  <c r="G14" i="2"/>
  <c r="F28" i="1" s="1"/>
  <c r="DZ7" i="2" l="1"/>
  <c r="F74" i="1" s="1"/>
  <c r="F89" i="1" s="1"/>
  <c r="AO88" i="1"/>
  <c r="G19" i="2"/>
  <c r="F48" i="1" s="1"/>
  <c r="G23" i="2"/>
  <c r="F64" i="1" s="1"/>
  <c r="G15" i="2"/>
  <c r="F32" i="1" s="1"/>
  <c r="G21" i="2"/>
  <c r="F56" i="1" s="1"/>
  <c r="G16" i="2"/>
  <c r="F36" i="1" s="1"/>
  <c r="G17" i="2"/>
  <c r="F40" i="1" s="1"/>
  <c r="G22" i="2"/>
  <c r="F60" i="1" s="1"/>
  <c r="G20" i="2"/>
  <c r="F52" i="1" s="1"/>
  <c r="G24" i="2"/>
  <c r="F68" i="1" s="1"/>
  <c r="G18" i="2"/>
  <c r="F44" i="1" s="1"/>
  <c r="AN72" i="1"/>
  <c r="AN74" i="1" l="1"/>
  <c r="F90" i="1"/>
  <c r="S34" i="2"/>
  <c r="S32" i="2"/>
  <c r="S31" i="2"/>
  <c r="S29" i="2"/>
  <c r="S38" i="2"/>
  <c r="S28" i="2"/>
  <c r="S37" i="2"/>
  <c r="S30" i="2"/>
  <c r="S33" i="2"/>
  <c r="I22" i="2"/>
  <c r="H60" i="1" s="1"/>
  <c r="I20" i="2"/>
  <c r="H52" i="1" s="1"/>
  <c r="I24" i="2"/>
  <c r="H68" i="1" s="1"/>
  <c r="I18" i="2"/>
  <c r="H44" i="1" s="1"/>
  <c r="I19" i="2"/>
  <c r="H48" i="1" s="1"/>
  <c r="I23" i="2"/>
  <c r="H64" i="1" s="1"/>
  <c r="I15" i="2"/>
  <c r="H32" i="1" s="1"/>
  <c r="I21" i="2"/>
  <c r="H56" i="1" s="1"/>
  <c r="I14" i="2"/>
  <c r="H28" i="1" s="1"/>
  <c r="I16" i="2"/>
  <c r="H36" i="1" s="1"/>
  <c r="I17" i="2"/>
  <c r="H40" i="1" s="1"/>
  <c r="S36" i="2"/>
  <c r="S35" i="2"/>
  <c r="K21" i="2" l="1"/>
  <c r="J56" i="1" s="1"/>
  <c r="K15" i="2"/>
  <c r="J32" i="1" s="1"/>
  <c r="K17" i="2"/>
  <c r="J40" i="1" s="1"/>
  <c r="K24" i="2"/>
  <c r="J68" i="1" s="1"/>
  <c r="K23" i="2"/>
  <c r="J64" i="1" s="1"/>
  <c r="K14" i="2"/>
  <c r="J28" i="1" s="1"/>
  <c r="K20" i="2"/>
  <c r="J52" i="1" s="1"/>
  <c r="K22" i="2"/>
  <c r="J60" i="1" s="1"/>
  <c r="K19" i="2"/>
  <c r="J48" i="1" s="1"/>
  <c r="K16" i="2"/>
  <c r="J36" i="1" s="1"/>
  <c r="K18" i="2"/>
  <c r="J44" i="1" s="1"/>
  <c r="M15" i="2"/>
  <c r="L32" i="1" s="1"/>
  <c r="J87" i="1" l="1"/>
  <c r="H87" i="1"/>
  <c r="M23" i="2"/>
  <c r="L64" i="1" s="1"/>
  <c r="M24" i="2"/>
  <c r="L68" i="1" s="1"/>
  <c r="M18" i="2"/>
  <c r="L44" i="1" s="1"/>
  <c r="M22" i="2"/>
  <c r="L60" i="1" s="1"/>
  <c r="M16" i="2"/>
  <c r="L36" i="1" s="1"/>
  <c r="M17" i="2"/>
  <c r="L40" i="1" s="1"/>
  <c r="M19" i="2"/>
  <c r="L48" i="1" s="1"/>
  <c r="M21" i="2"/>
  <c r="L56" i="1" s="1"/>
  <c r="M20" i="2"/>
  <c r="L52" i="1" s="1"/>
  <c r="M14" i="2"/>
  <c r="L28" i="1" s="1"/>
  <c r="H89" i="1" l="1"/>
  <c r="H90" i="1" s="1"/>
  <c r="L87" i="1"/>
  <c r="O17" i="2"/>
  <c r="N40" i="1" s="1"/>
  <c r="O14" i="2"/>
  <c r="N28" i="1" s="1"/>
  <c r="O21" i="2"/>
  <c r="N56" i="1" s="1"/>
  <c r="O15" i="2"/>
  <c r="O22" i="2"/>
  <c r="N60" i="1" s="1"/>
  <c r="O16" i="2"/>
  <c r="N36" i="1" s="1"/>
  <c r="O18" i="2"/>
  <c r="N44" i="1" s="1"/>
  <c r="O19" i="2"/>
  <c r="N48" i="1" s="1"/>
  <c r="O20" i="2"/>
  <c r="N52" i="1" s="1"/>
  <c r="O24" i="2"/>
  <c r="N68" i="1" s="1"/>
  <c r="O23" i="2"/>
  <c r="N64" i="1" s="1"/>
  <c r="N32" i="1" l="1"/>
  <c r="J89" i="1"/>
  <c r="J90" i="1" s="1"/>
  <c r="Q19" i="2"/>
  <c r="P48" i="1" s="1"/>
  <c r="Q18" i="2"/>
  <c r="P44" i="1" s="1"/>
  <c r="Q20" i="2"/>
  <c r="P52" i="1" s="1"/>
  <c r="Q21" i="2"/>
  <c r="P56" i="1" s="1"/>
  <c r="Q15" i="2"/>
  <c r="P32" i="1" s="1"/>
  <c r="Q22" i="2"/>
  <c r="P60" i="1" s="1"/>
  <c r="Q23" i="2"/>
  <c r="P64" i="1" s="1"/>
  <c r="Q24" i="2"/>
  <c r="P68" i="1" s="1"/>
  <c r="Q17" i="2"/>
  <c r="P40" i="1" s="1"/>
  <c r="Q16" i="2"/>
  <c r="P36" i="1" s="1"/>
  <c r="Q14" i="2"/>
  <c r="P28" i="1" s="1"/>
  <c r="L89" i="1" l="1"/>
  <c r="L90" i="1" s="1"/>
  <c r="N87" i="1"/>
  <c r="P87" i="1"/>
  <c r="S15" i="2"/>
  <c r="S24" i="2"/>
  <c r="R68" i="1" s="1"/>
  <c r="S18" i="2"/>
  <c r="R44" i="1" s="1"/>
  <c r="S14" i="2"/>
  <c r="R28" i="1" s="1"/>
  <c r="S23" i="2"/>
  <c r="R64" i="1" s="1"/>
  <c r="S17" i="2"/>
  <c r="R40" i="1" s="1"/>
  <c r="S21" i="2"/>
  <c r="R56" i="1" s="1"/>
  <c r="S22" i="2"/>
  <c r="R60" i="1" s="1"/>
  <c r="S16" i="2"/>
  <c r="R36" i="1" s="1"/>
  <c r="S20" i="2"/>
  <c r="R52" i="1" s="1"/>
  <c r="S19" i="2"/>
  <c r="R48" i="1" s="1"/>
  <c r="R32" i="1" l="1"/>
  <c r="N89" i="1"/>
  <c r="N90" i="1" s="1"/>
  <c r="R87" i="1"/>
  <c r="U19" i="2"/>
  <c r="T48" i="1" s="1"/>
  <c r="U17" i="2"/>
  <c r="T40" i="1" s="1"/>
  <c r="U14" i="2"/>
  <c r="T28" i="1" s="1"/>
  <c r="U22" i="2"/>
  <c r="T60" i="1" s="1"/>
  <c r="U15" i="2"/>
  <c r="U16" i="2"/>
  <c r="T36" i="1" s="1"/>
  <c r="U18" i="2"/>
  <c r="T44" i="1" s="1"/>
  <c r="U20" i="2"/>
  <c r="T52" i="1" s="1"/>
  <c r="U21" i="2"/>
  <c r="T56" i="1" s="1"/>
  <c r="U24" i="2"/>
  <c r="T68" i="1" s="1"/>
  <c r="U23" i="2"/>
  <c r="T64" i="1" s="1"/>
  <c r="T32" i="1" l="1"/>
  <c r="P89" i="1"/>
  <c r="P90" i="1" s="1"/>
  <c r="W18" i="2"/>
  <c r="V44" i="1" s="1"/>
  <c r="W23" i="2"/>
  <c r="V64" i="1" s="1"/>
  <c r="W14" i="2"/>
  <c r="V28" i="1" s="1"/>
  <c r="W19" i="2"/>
  <c r="V48" i="1" s="1"/>
  <c r="W15" i="2"/>
  <c r="V32" i="1" s="1"/>
  <c r="W16" i="2"/>
  <c r="V36" i="1" s="1"/>
  <c r="W24" i="2"/>
  <c r="V68" i="1" s="1"/>
  <c r="W20" i="2"/>
  <c r="V52" i="1" s="1"/>
  <c r="W21" i="2"/>
  <c r="V56" i="1" s="1"/>
  <c r="W17" i="2"/>
  <c r="V40" i="1" s="1"/>
  <c r="W22" i="2"/>
  <c r="V60" i="1" s="1"/>
  <c r="R89" i="1" l="1"/>
  <c r="R90" i="1" s="1"/>
  <c r="T87" i="1"/>
  <c r="Y14" i="2"/>
  <c r="X28" i="1" s="1"/>
  <c r="Y19" i="2"/>
  <c r="X48" i="1" s="1"/>
  <c r="Y15" i="2"/>
  <c r="Y17" i="2"/>
  <c r="X40" i="1" s="1"/>
  <c r="Y23" i="2"/>
  <c r="X64" i="1" s="1"/>
  <c r="Y22" i="2"/>
  <c r="X60" i="1" s="1"/>
  <c r="Y21" i="2"/>
  <c r="X56" i="1" s="1"/>
  <c r="Y24" i="2"/>
  <c r="X68" i="1" s="1"/>
  <c r="Y20" i="2"/>
  <c r="X52" i="1" s="1"/>
  <c r="Y16" i="2"/>
  <c r="X36" i="1" s="1"/>
  <c r="Y18" i="2"/>
  <c r="X44" i="1" s="1"/>
  <c r="X32" i="1" l="1"/>
  <c r="T89" i="1"/>
  <c r="T90" i="1" s="1"/>
  <c r="AA18" i="2"/>
  <c r="Z44" i="1" s="1"/>
  <c r="AA21" i="2"/>
  <c r="Z56" i="1" s="1"/>
  <c r="AA24" i="2"/>
  <c r="Z68" i="1" s="1"/>
  <c r="AA22" i="2"/>
  <c r="Z60" i="1" s="1"/>
  <c r="AA17" i="2"/>
  <c r="Z40" i="1" s="1"/>
  <c r="AA19" i="2"/>
  <c r="Z48" i="1" s="1"/>
  <c r="AA14" i="2"/>
  <c r="Z28" i="1" s="1"/>
  <c r="AA20" i="2"/>
  <c r="Z52" i="1" s="1"/>
  <c r="AA16" i="2"/>
  <c r="Z36" i="1" s="1"/>
  <c r="AA15" i="2"/>
  <c r="AA23" i="2"/>
  <c r="Z64" i="1" s="1"/>
  <c r="Z32" i="1" l="1"/>
  <c r="V87" i="1"/>
  <c r="X87" i="1"/>
  <c r="AC14" i="2"/>
  <c r="AB28" i="1" s="1"/>
  <c r="AC21" i="2"/>
  <c r="AB56" i="1" s="1"/>
  <c r="AC20" i="2"/>
  <c r="AB52" i="1" s="1"/>
  <c r="AC15" i="2"/>
  <c r="AC24" i="2"/>
  <c r="AB68" i="1" s="1"/>
  <c r="AC19" i="2"/>
  <c r="AB48" i="1" s="1"/>
  <c r="AC23" i="2"/>
  <c r="AB64" i="1" s="1"/>
  <c r="AC16" i="2"/>
  <c r="AB36" i="1" s="1"/>
  <c r="AC18" i="2"/>
  <c r="AB44" i="1" s="1"/>
  <c r="AC17" i="2"/>
  <c r="AB40" i="1" s="1"/>
  <c r="AC22" i="2"/>
  <c r="AB60" i="1" s="1"/>
  <c r="AB32" i="1" l="1"/>
  <c r="V89" i="1"/>
  <c r="V90" i="1" s="1"/>
  <c r="Z87" i="1"/>
  <c r="AS32" i="1"/>
  <c r="AS60" i="1"/>
  <c r="AS68" i="1"/>
  <c r="AS52" i="1"/>
  <c r="AS40" i="1"/>
  <c r="AS44" i="1"/>
  <c r="AS56" i="1"/>
  <c r="AT56" i="1" s="1"/>
  <c r="AS64" i="1"/>
  <c r="AT64" i="1" s="1"/>
  <c r="AS36" i="1"/>
  <c r="AS28" i="1"/>
  <c r="AS48" i="1"/>
  <c r="AE19" i="2"/>
  <c r="AD48" i="1" s="1"/>
  <c r="AE16" i="2"/>
  <c r="AD36" i="1" s="1"/>
  <c r="AE15" i="2"/>
  <c r="AD32" i="1" s="1"/>
  <c r="AE20" i="2"/>
  <c r="AD52" i="1" s="1"/>
  <c r="AE24" i="2"/>
  <c r="AD68" i="1" s="1"/>
  <c r="AE23" i="2"/>
  <c r="AD64" i="1" s="1"/>
  <c r="AE14" i="2"/>
  <c r="AD28" i="1" s="1"/>
  <c r="AE21" i="2"/>
  <c r="AD56" i="1" s="1"/>
  <c r="AE17" i="2"/>
  <c r="AD40" i="1" s="1"/>
  <c r="AE18" i="2"/>
  <c r="AD44" i="1" s="1"/>
  <c r="AE22" i="2"/>
  <c r="AD60" i="1" s="1"/>
  <c r="X89" i="1" l="1"/>
  <c r="X90" i="1" s="1"/>
  <c r="AB87" i="1"/>
  <c r="AD87" i="1"/>
  <c r="AG22" i="2"/>
  <c r="AF60" i="1" s="1"/>
  <c r="AG19" i="2"/>
  <c r="AF48" i="1" s="1"/>
  <c r="AG16" i="2"/>
  <c r="AF36" i="1" s="1"/>
  <c r="AG15" i="2"/>
  <c r="AG23" i="2"/>
  <c r="AF64" i="1" s="1"/>
  <c r="AG21" i="2"/>
  <c r="AF56" i="1" s="1"/>
  <c r="AG24" i="2"/>
  <c r="AF68" i="1" s="1"/>
  <c r="AG17" i="2"/>
  <c r="AF40" i="1" s="1"/>
  <c r="AG14" i="2"/>
  <c r="AF28" i="1" s="1"/>
  <c r="AG18" i="2"/>
  <c r="AF44" i="1" s="1"/>
  <c r="AG20" i="2"/>
  <c r="AF52" i="1" s="1"/>
  <c r="AF32" i="1" l="1"/>
  <c r="Z89" i="1"/>
  <c r="Z90" i="1" s="1"/>
  <c r="AF87" i="1"/>
  <c r="AI15" i="2"/>
  <c r="AI24" i="2"/>
  <c r="AH68" i="1" s="1"/>
  <c r="AI22" i="2"/>
  <c r="AH60" i="1" s="1"/>
  <c r="AI14" i="2"/>
  <c r="AH28" i="1" s="1"/>
  <c r="AI16" i="2"/>
  <c r="AH36" i="1" s="1"/>
  <c r="AI21" i="2"/>
  <c r="AH56" i="1" s="1"/>
  <c r="AI20" i="2"/>
  <c r="AH52" i="1" s="1"/>
  <c r="AI19" i="2"/>
  <c r="AH48" i="1" s="1"/>
  <c r="AI17" i="2"/>
  <c r="AH40" i="1" s="1"/>
  <c r="AI18" i="2"/>
  <c r="AH44" i="1" s="1"/>
  <c r="AI23" i="2"/>
  <c r="AH64" i="1" s="1"/>
  <c r="AH32" i="1" l="1"/>
  <c r="AB89" i="1"/>
  <c r="AB90" i="1" s="1"/>
  <c r="AH87" i="1"/>
  <c r="AK16" i="2"/>
  <c r="AJ36" i="1" s="1"/>
  <c r="AK23" i="2"/>
  <c r="AJ64" i="1" s="1"/>
  <c r="AK17" i="2"/>
  <c r="AJ40" i="1" s="1"/>
  <c r="AK22" i="2"/>
  <c r="AJ60" i="1" s="1"/>
  <c r="AK21" i="2"/>
  <c r="AJ56" i="1" s="1"/>
  <c r="AK20" i="2"/>
  <c r="AJ52" i="1" s="1"/>
  <c r="AK19" i="2"/>
  <c r="AJ48" i="1" s="1"/>
  <c r="AK15" i="2"/>
  <c r="AJ32" i="1" s="1"/>
  <c r="AK14" i="2"/>
  <c r="AJ28" i="1" s="1"/>
  <c r="AK24" i="2"/>
  <c r="AJ68" i="1" s="1"/>
  <c r="AK18" i="2"/>
  <c r="AJ44" i="1" s="1"/>
  <c r="AD89" i="1" l="1"/>
  <c r="AD90" i="1" s="1"/>
  <c r="AJ87" i="1"/>
  <c r="AN87" i="1" l="1"/>
  <c r="AO87" i="1" s="1"/>
  <c r="AO90" i="1" s="1"/>
  <c r="AF89" i="1"/>
  <c r="AF90" i="1" s="1"/>
  <c r="AH89" i="1" l="1"/>
  <c r="AH90" i="1" s="1"/>
  <c r="D25" i="1"/>
  <c r="E25" i="1" s="1"/>
  <c r="F25" i="1" s="1"/>
  <c r="G25" i="1" s="1"/>
  <c r="H25" i="1" s="1"/>
  <c r="I25" i="1" s="1"/>
  <c r="J25" i="1" s="1"/>
  <c r="K25" i="1" s="1"/>
  <c r="L25" i="1" s="1"/>
  <c r="M25" i="1" s="1"/>
  <c r="N25" i="1" s="1"/>
  <c r="O25" i="1" s="1"/>
  <c r="P25" i="1" s="1"/>
  <c r="Q25" i="1" s="1"/>
  <c r="R25" i="1" s="1"/>
  <c r="S25" i="1" s="1"/>
  <c r="T25" i="1" s="1"/>
  <c r="U25" i="1" s="1"/>
  <c r="V25" i="1" s="1"/>
  <c r="W25" i="1" s="1"/>
  <c r="X25" i="1" s="1"/>
  <c r="Y25" i="1" s="1"/>
  <c r="Z25" i="1" s="1"/>
  <c r="AA25" i="1" s="1"/>
  <c r="AB25" i="1" s="1"/>
  <c r="AC25" i="1" s="1"/>
  <c r="AD25" i="1" s="1"/>
  <c r="AE25" i="1" s="1"/>
  <c r="AF25" i="1" s="1"/>
  <c r="AG25" i="1" s="1"/>
  <c r="AH25" i="1" s="1"/>
  <c r="AI25" i="1" s="1"/>
  <c r="AJ25" i="1" s="1"/>
  <c r="AK25" i="1" s="1"/>
  <c r="F17" i="1"/>
  <c r="F15" i="1"/>
  <c r="F16" i="1"/>
  <c r="AJ89" i="1" l="1"/>
  <c r="AJ90" i="1" s="1"/>
  <c r="AN90" i="1" s="1"/>
  <c r="F8" i="1"/>
  <c r="F7" i="1"/>
  <c r="F6" i="1"/>
  <c r="F5" i="1"/>
  <c r="F10" i="1"/>
  <c r="F9" i="1"/>
  <c r="G13" i="1"/>
  <c r="G14" i="1"/>
  <c r="G12" i="1"/>
  <c r="F11" i="1"/>
  <c r="R161" i="1" l="1"/>
  <c r="R167" i="1" s="1"/>
  <c r="T161" i="1" s="1"/>
  <c r="T167" i="1" s="1"/>
  <c r="P16" i="1"/>
  <c r="P15" i="1"/>
  <c r="R160" i="1"/>
  <c r="R166" i="1" s="1"/>
  <c r="R162" i="1"/>
  <c r="R168" i="1" s="1"/>
  <c r="T162" i="1" s="1"/>
  <c r="T168" i="1" s="1"/>
  <c r="P17" i="1"/>
  <c r="T160" i="1" l="1"/>
  <c r="T166" i="1" s="1"/>
  <c r="Q14" i="1"/>
  <c r="P11" i="1"/>
  <c r="P6" i="1"/>
  <c r="Q12" i="1"/>
  <c r="P5" i="1"/>
  <c r="P10" i="1"/>
  <c r="P8" i="1"/>
  <c r="P9" i="1"/>
  <c r="P7" i="1"/>
  <c r="R15" i="1"/>
  <c r="Q13" i="1"/>
  <c r="S13" i="1" l="1"/>
  <c r="V161" i="1"/>
  <c r="V167" i="1" s="1"/>
  <c r="T16" i="1"/>
  <c r="R8" i="1"/>
  <c r="R10" i="1"/>
  <c r="R7" i="1"/>
  <c r="R11" i="1"/>
  <c r="S12" i="1"/>
  <c r="R5" i="1"/>
  <c r="R6" i="1"/>
  <c r="R9" i="1"/>
  <c r="T15" i="1"/>
  <c r="V160" i="1"/>
  <c r="V166" i="1" s="1"/>
  <c r="S14" i="1"/>
  <c r="V162" i="1"/>
  <c r="V168" i="1" s="1"/>
  <c r="T17" i="1"/>
  <c r="X160" i="1" l="1"/>
  <c r="X166" i="1" s="1"/>
  <c r="X161" i="1"/>
  <c r="X167" i="1" s="1"/>
  <c r="X162" i="1"/>
  <c r="X168" i="1" s="1"/>
  <c r="T7" i="1"/>
  <c r="T6" i="1"/>
  <c r="T5" i="1"/>
  <c r="U12" i="1"/>
  <c r="T11" i="1"/>
  <c r="T8" i="1"/>
  <c r="T10" i="1"/>
  <c r="T9" i="1"/>
  <c r="V15" i="1"/>
  <c r="U13" i="1"/>
  <c r="U14" i="1"/>
  <c r="V16" i="1"/>
  <c r="V17" i="1"/>
  <c r="W14" i="1" l="1"/>
  <c r="Z162" i="1"/>
  <c r="Z168" i="1" s="1"/>
  <c r="X17" i="1"/>
  <c r="Z161" i="1"/>
  <c r="Z167" i="1" s="1"/>
  <c r="X16" i="1"/>
  <c r="W13" i="1"/>
  <c r="V5" i="1"/>
  <c r="V11" i="1"/>
  <c r="V10" i="1"/>
  <c r="W12" i="1"/>
  <c r="V7" i="1"/>
  <c r="V9" i="1"/>
  <c r="V8" i="1"/>
  <c r="V6" i="1"/>
  <c r="X15" i="1"/>
  <c r="Z160" i="1"/>
  <c r="Z166" i="1" s="1"/>
  <c r="AB160" i="1" s="1"/>
  <c r="AB166" i="1" s="1"/>
  <c r="Y13" i="1" l="1"/>
  <c r="AD160" i="1"/>
  <c r="AD166" i="1" s="1"/>
  <c r="Z15" i="1"/>
  <c r="AB161" i="1"/>
  <c r="AB167" i="1" s="1"/>
  <c r="Z16" i="1"/>
  <c r="Y14" i="1"/>
  <c r="X6" i="1"/>
  <c r="X8" i="1"/>
  <c r="X5" i="1"/>
  <c r="X11" i="1"/>
  <c r="X10" i="1"/>
  <c r="X9" i="1"/>
  <c r="Y12" i="1"/>
  <c r="X7" i="1"/>
  <c r="AB162" i="1"/>
  <c r="AB168" i="1" s="1"/>
  <c r="Z17" i="1"/>
  <c r="AA14" i="1" l="1"/>
  <c r="AA13" i="1"/>
  <c r="AD162" i="1"/>
  <c r="AD168" i="1" s="1"/>
  <c r="AB17" i="1"/>
  <c r="AD161" i="1"/>
  <c r="AD167" i="1" s="1"/>
  <c r="AB16" i="1"/>
  <c r="Z7" i="1"/>
  <c r="Z10" i="1"/>
  <c r="Z9" i="1"/>
  <c r="Z11" i="1"/>
  <c r="Z6" i="1"/>
  <c r="Z8" i="1"/>
  <c r="AA12" i="1"/>
  <c r="Z5" i="1"/>
  <c r="AB15" i="1"/>
  <c r="AC13" i="1" l="1"/>
  <c r="AD16" i="1"/>
  <c r="AF161" i="1"/>
  <c r="AF167" i="1" s="1"/>
  <c r="AC14" i="1"/>
  <c r="AD17" i="1"/>
  <c r="AF162" i="1"/>
  <c r="AF168" i="1" s="1"/>
  <c r="AB5" i="1"/>
  <c r="AB10" i="1"/>
  <c r="AB9" i="1"/>
  <c r="AB11" i="1"/>
  <c r="AB6" i="1"/>
  <c r="AC12" i="1"/>
  <c r="AB8" i="1"/>
  <c r="AB7" i="1"/>
  <c r="AD15" i="1"/>
  <c r="AF160" i="1"/>
  <c r="AF166" i="1" s="1"/>
  <c r="AF15" i="1" l="1"/>
  <c r="AH162" i="1"/>
  <c r="AH168" i="1" s="1"/>
  <c r="AF17" i="1"/>
  <c r="AE14" i="1"/>
  <c r="AH160" i="1"/>
  <c r="AH166" i="1" s="1"/>
  <c r="AF16" i="1"/>
  <c r="AH161" i="1"/>
  <c r="AH167" i="1" s="1"/>
  <c r="AD5" i="1"/>
  <c r="AD8" i="1"/>
  <c r="AD6" i="1"/>
  <c r="AD7" i="1"/>
  <c r="AD10" i="1"/>
  <c r="AD9" i="1"/>
  <c r="AD11" i="1"/>
  <c r="AE12" i="1"/>
  <c r="AE13" i="1"/>
  <c r="AJ160" i="1" l="1"/>
  <c r="AJ166" i="1" s="1"/>
  <c r="AG13" i="1"/>
  <c r="AG14" i="1"/>
  <c r="AJ162" i="1"/>
  <c r="AJ168" i="1" s="1"/>
  <c r="AJ17" i="1"/>
  <c r="AH17" i="1"/>
  <c r="AF9" i="1"/>
  <c r="AF7" i="1"/>
  <c r="AF8" i="1"/>
  <c r="AF5" i="1"/>
  <c r="AF10" i="1"/>
  <c r="AF6" i="1"/>
  <c r="AF11" i="1"/>
  <c r="AG12" i="1"/>
  <c r="AH16" i="1"/>
  <c r="AJ161" i="1"/>
  <c r="AJ167" i="1" s="1"/>
  <c r="AJ16" i="1"/>
  <c r="AH15" i="1"/>
  <c r="AJ15" i="1"/>
  <c r="AK13" i="1" l="1"/>
  <c r="AH5" i="1"/>
  <c r="AH10" i="1"/>
  <c r="AH9" i="1"/>
  <c r="AH7" i="1"/>
  <c r="AH8" i="1"/>
  <c r="AH6" i="1"/>
  <c r="AH11" i="1"/>
  <c r="AI12" i="1"/>
  <c r="AI13" i="1"/>
  <c r="AI14" i="1"/>
  <c r="AK14" i="1"/>
  <c r="AJ8" i="1"/>
  <c r="AJ10" i="1"/>
  <c r="AJ5" i="1"/>
  <c r="AJ7" i="1"/>
  <c r="AJ6" i="1"/>
  <c r="AJ9" i="1"/>
  <c r="AJ11" i="1"/>
  <c r="AK12" i="1"/>
</calcChain>
</file>

<file path=xl/sharedStrings.xml><?xml version="1.0" encoding="utf-8"?>
<sst xmlns="http://schemas.openxmlformats.org/spreadsheetml/2006/main" count="4257" uniqueCount="1013">
  <si>
    <t>AMATEUR</t>
  </si>
  <si>
    <t xml:space="preserve"> </t>
  </si>
  <si>
    <t>GP N° :</t>
  </si>
  <si>
    <t>01</t>
  </si>
  <si>
    <t>02</t>
  </si>
  <si>
    <t>03</t>
  </si>
  <si>
    <t>04</t>
  </si>
  <si>
    <t>05</t>
  </si>
  <si>
    <t>06</t>
  </si>
  <si>
    <t>07</t>
  </si>
  <si>
    <t>08</t>
  </si>
  <si>
    <t>09</t>
  </si>
  <si>
    <t>10</t>
  </si>
  <si>
    <t>11</t>
  </si>
  <si>
    <t>12</t>
  </si>
  <si>
    <t>13</t>
  </si>
  <si>
    <t>14</t>
  </si>
  <si>
    <t>15</t>
  </si>
  <si>
    <t>16</t>
  </si>
  <si>
    <t>17</t>
  </si>
  <si>
    <t>risques</t>
  </si>
  <si>
    <t xml:space="preserve">  </t>
  </si>
  <si>
    <t>courses</t>
  </si>
  <si>
    <t>Sepang</t>
  </si>
  <si>
    <t>Sakhir</t>
  </si>
  <si>
    <t>Suzuka</t>
  </si>
  <si>
    <t>Mugello</t>
  </si>
  <si>
    <t>Avus</t>
  </si>
  <si>
    <t>Portimao</t>
  </si>
  <si>
    <t>Austin</t>
  </si>
  <si>
    <t>Montreal</t>
  </si>
  <si>
    <t>Mexico City</t>
  </si>
  <si>
    <t>Jerez</t>
  </si>
  <si>
    <t>Istanbul</t>
  </si>
  <si>
    <t>Monte Carlo</t>
  </si>
  <si>
    <t>Interlagos</t>
  </si>
  <si>
    <t>Adelaide</t>
  </si>
  <si>
    <t>Yeongam</t>
  </si>
  <si>
    <t>Sochi</t>
  </si>
  <si>
    <t>Yas Marina</t>
  </si>
  <si>
    <t>PMA</t>
  </si>
  <si>
    <t>circuit</t>
  </si>
  <si>
    <t>testing</t>
  </si>
  <si>
    <t>Zolder</t>
  </si>
  <si>
    <t>essais privés : type</t>
  </si>
  <si>
    <t>Aucun</t>
  </si>
  <si>
    <t>Vitesse de pointe</t>
  </si>
  <si>
    <t>Freinage</t>
  </si>
  <si>
    <t>Chicanes</t>
  </si>
  <si>
    <t>essais</t>
  </si>
  <si>
    <t>Essais : nb de tours</t>
  </si>
  <si>
    <t>Testing</t>
  </si>
  <si>
    <t>somme</t>
  </si>
  <si>
    <t>boost</t>
  </si>
  <si>
    <t>chassis</t>
  </si>
  <si>
    <t xml:space="preserve">usure avant </t>
  </si>
  <si>
    <t xml:space="preserve">usure après </t>
  </si>
  <si>
    <t>nb</t>
  </si>
  <si>
    <t>niv pièce</t>
  </si>
  <si>
    <t>level</t>
  </si>
  <si>
    <t>up/downgrade</t>
  </si>
  <si>
    <t>Inchangé</t>
  </si>
  <si>
    <t>Level 6</t>
  </si>
  <si>
    <t>moteur</t>
  </si>
  <si>
    <t>Level 5</t>
  </si>
  <si>
    <t>Down 1</t>
  </si>
  <si>
    <t>ailerons avant</t>
  </si>
  <si>
    <t>Upgrade</t>
  </si>
  <si>
    <t>ailerons arrière</t>
  </si>
  <si>
    <t>fond plat</t>
  </si>
  <si>
    <t>pontons</t>
  </si>
  <si>
    <t>refroidissement</t>
  </si>
  <si>
    <t>boite de vitesse</t>
  </si>
  <si>
    <t xml:space="preserve">freins </t>
  </si>
  <si>
    <t>suspensions</t>
  </si>
  <si>
    <t>électronique</t>
  </si>
  <si>
    <t>départ</t>
  </si>
  <si>
    <t>essais libres</t>
  </si>
  <si>
    <t>essaIs qualif</t>
  </si>
  <si>
    <t>entrainement pilote</t>
  </si>
  <si>
    <t>salaire pilote</t>
  </si>
  <si>
    <t>renouvellement pilote</t>
  </si>
  <si>
    <t>salaire DT</t>
  </si>
  <si>
    <t>renouvellement DT</t>
  </si>
  <si>
    <t>personnel</t>
  </si>
  <si>
    <t>entretien installation</t>
  </si>
  <si>
    <t>entrainement staff</t>
  </si>
  <si>
    <t>amélioration installation</t>
  </si>
  <si>
    <t>contrat pneus</t>
  </si>
  <si>
    <t>sponsors</t>
  </si>
  <si>
    <t>gain qualifs</t>
  </si>
  <si>
    <t>gain course</t>
  </si>
  <si>
    <t>coût amélioration voiture</t>
  </si>
  <si>
    <t>Total avant course</t>
  </si>
  <si>
    <t>Total après course</t>
  </si>
  <si>
    <t>Pilote :</t>
  </si>
  <si>
    <t xml:space="preserve">concentration </t>
  </si>
  <si>
    <t xml:space="preserve">talent </t>
  </si>
  <si>
    <t>expérience</t>
  </si>
  <si>
    <t>recrutement</t>
  </si>
  <si>
    <t>le :</t>
  </si>
  <si>
    <t>GP N°01</t>
  </si>
  <si>
    <t>AUCUN</t>
  </si>
  <si>
    <t>salaire</t>
  </si>
  <si>
    <t>du :</t>
  </si>
  <si>
    <t>salaire :</t>
  </si>
  <si>
    <t>au :</t>
  </si>
  <si>
    <t>GP N°17</t>
  </si>
  <si>
    <t>testing :</t>
  </si>
  <si>
    <t>Fitness</t>
  </si>
  <si>
    <t xml:space="preserve">du : </t>
  </si>
  <si>
    <t xml:space="preserve">DT : </t>
  </si>
  <si>
    <t>GP N°10</t>
  </si>
  <si>
    <t>staff :</t>
  </si>
  <si>
    <t>m salariale :</t>
  </si>
  <si>
    <t>GP N°15</t>
  </si>
  <si>
    <t>GP N°14</t>
  </si>
  <si>
    <t>entretien :</t>
  </si>
  <si>
    <t>entrainement :</t>
  </si>
  <si>
    <t xml:space="preserve">installation : </t>
  </si>
  <si>
    <t>niv20</t>
  </si>
  <si>
    <t>GP N°08</t>
  </si>
  <si>
    <t>à</t>
  </si>
  <si>
    <t>niv40</t>
  </si>
  <si>
    <t>x2</t>
  </si>
  <si>
    <t>x1</t>
  </si>
  <si>
    <t>sponsors :</t>
  </si>
  <si>
    <t>montant :</t>
  </si>
  <si>
    <t>GP N°03</t>
  </si>
  <si>
    <t>GP N°04</t>
  </si>
  <si>
    <t xml:space="preserve">au : </t>
  </si>
  <si>
    <t xml:space="preserve">qualif : </t>
  </si>
  <si>
    <t xml:space="preserve">place : </t>
  </si>
  <si>
    <t>GP N°07</t>
  </si>
  <si>
    <t xml:space="preserve">course : </t>
  </si>
  <si>
    <t>PNEUS :</t>
  </si>
  <si>
    <t>Pipirelli</t>
  </si>
  <si>
    <t>usures</t>
  </si>
  <si>
    <t>gain par course :</t>
  </si>
  <si>
    <t>Calcul</t>
  </si>
  <si>
    <t>P</t>
  </si>
  <si>
    <t>M</t>
  </si>
  <si>
    <t>A</t>
  </si>
  <si>
    <t>Sans DT</t>
  </si>
  <si>
    <t>Chassis</t>
  </si>
  <si>
    <t>Moteur</t>
  </si>
  <si>
    <t>Aile AV</t>
  </si>
  <si>
    <t>Aile AR</t>
  </si>
  <si>
    <t>Fond plat</t>
  </si>
  <si>
    <t>Pontons</t>
  </si>
  <si>
    <t>Refroisissement</t>
  </si>
  <si>
    <t>Boite</t>
  </si>
  <si>
    <t>Freins</t>
  </si>
  <si>
    <t>Suspension</t>
  </si>
  <si>
    <t>Electronique</t>
  </si>
  <si>
    <t>coût/niveau</t>
  </si>
  <si>
    <t>rookie :</t>
  </si>
  <si>
    <t>amateur :</t>
  </si>
  <si>
    <t>pro :</t>
  </si>
  <si>
    <t>master :</t>
  </si>
  <si>
    <t xml:space="preserve">elite : </t>
  </si>
  <si>
    <t>GP N°02</t>
  </si>
  <si>
    <t>GP N°05</t>
  </si>
  <si>
    <t>GP N°06</t>
  </si>
  <si>
    <t>GP N°09</t>
  </si>
  <si>
    <t>GP N°11</t>
  </si>
  <si>
    <t>GP N°12</t>
  </si>
  <si>
    <t>GP N°13</t>
  </si>
  <si>
    <t>GP N°16</t>
  </si>
  <si>
    <t>A1-Ring</t>
  </si>
  <si>
    <t>qualif</t>
  </si>
  <si>
    <t>course</t>
  </si>
  <si>
    <t>qualif :</t>
  </si>
  <si>
    <t>Avonn</t>
  </si>
  <si>
    <t>downgrade</t>
  </si>
  <si>
    <t>« =RECHERCHEV($'Feuille2'.p$27;$'Feuille2'.$v$29:$ag$83;2;0)*RECHERCHEV($'Feuille1'.q11;$'Feuille2'.$y$15:$z$23;2;0)^$'Feuille1'.q$6*(0,998789138^$'Feuille1'.$g$84)*(0,998751839^$'Feuille1'.$h$84)*(0,998707677^$'Feuille1'.$i$84)</t>
  </si>
  <si>
    <t>châssis</t>
  </si>
  <si>
    <t>Badyear</t>
  </si>
  <si>
    <t>Epingles à cheveux</t>
  </si>
  <si>
    <t>mise à 0</t>
  </si>
  <si>
    <t>« =RECHERCHEV($'Feuille2'.p$27;$'Feuille2'.$v$29:$ag$83;3;0)*RECHERCHEV($'Feuille1'.q15;$'Feuille2'.$y$15:$z$23;2;0)^$'Feuille1'.q$6*(0,998789138^$'Feuille1'.$g$84)*(0,998751839^$'Feuille1'.$h$84)*(0,998707677^$'Feuille1'.$i$84)</t>
  </si>
  <si>
    <t>Ahvenisto</t>
  </si>
  <si>
    <t>Bridgerock</t>
  </si>
  <si>
    <t>Down 2</t>
  </si>
  <si>
    <t>upgrade</t>
  </si>
  <si>
    <t>DIVISION :</t>
  </si>
  <si>
    <t>« (0,998789138^$'Feuille1'.$g$84)*(0,998751839^$'Feuille1'.$h$84)*(0,998707677^$'Feuille1'.$i$84)</t>
  </si>
  <si>
    <t>Anderstorp</t>
  </si>
  <si>
    <t>ail avant</t>
  </si>
  <si>
    <t>Continental</t>
  </si>
  <si>
    <t>Virages</t>
  </si>
  <si>
    <t>Lvl</t>
  </si>
  <si>
    <t>Coef</t>
  </si>
  <si>
    <t>ail arriere</t>
  </si>
  <si>
    <t>Dunnolop</t>
  </si>
  <si>
    <t>Level 1</t>
  </si>
  <si>
    <t>Dépassements</t>
  </si>
  <si>
    <t>niv01 à</t>
  </si>
  <si>
    <t>niv01</t>
  </si>
  <si>
    <t>ROOKIE</t>
  </si>
  <si>
    <t>Usures en fonction des levels</t>
  </si>
  <si>
    <t>calcul</t>
  </si>
  <si>
    <t>Hancock</t>
  </si>
  <si>
    <t>Level 2</t>
  </si>
  <si>
    <t>stress</t>
  </si>
  <si>
    <t>niv02 à</t>
  </si>
  <si>
    <t>niv02</t>
  </si>
  <si>
    <t>usure pièce</t>
  </si>
  <si>
    <t>Baku</t>
  </si>
  <si>
    <t>ponton</t>
  </si>
  <si>
    <t>Michelini</t>
  </si>
  <si>
    <t>Level 3</t>
  </si>
  <si>
    <t>Avec DT</t>
  </si>
  <si>
    <t>Yoga</t>
  </si>
  <si>
    <t>concent</t>
  </si>
  <si>
    <t>niv03 à</t>
  </si>
  <si>
    <t>niv03</t>
  </si>
  <si>
    <t>x3</t>
  </si>
  <si>
    <t>PRO</t>
  </si>
  <si>
    <t>Barcelona</t>
  </si>
  <si>
    <t>refroid</t>
  </si>
  <si>
    <t>Level 4</t>
  </si>
  <si>
    <t>RP</t>
  </si>
  <si>
    <t>efficacité</t>
  </si>
  <si>
    <t>niv04 à</t>
  </si>
  <si>
    <t>niv04</t>
  </si>
  <si>
    <t>x4</t>
  </si>
  <si>
    <t>MASTER</t>
  </si>
  <si>
    <t>Brands Hatch</t>
  </si>
  <si>
    <t>BV</t>
  </si>
  <si>
    <t>Yokomama</t>
  </si>
  <si>
    <t>Ent tech</t>
  </si>
  <si>
    <t>niv05 à</t>
  </si>
  <si>
    <t>niv05</t>
  </si>
  <si>
    <t>x5</t>
  </si>
  <si>
    <t>ELITE</t>
  </si>
  <si>
    <t>Brasilia</t>
  </si>
  <si>
    <t>freins</t>
  </si>
  <si>
    <t>Psycho</t>
  </si>
  <si>
    <t>niv06 à</t>
  </si>
  <si>
    <t>niv06</t>
  </si>
  <si>
    <t>x6</t>
  </si>
  <si>
    <t>ail arrière</t>
  </si>
  <si>
    <t>Bremgarten</t>
  </si>
  <si>
    <t>suspension</t>
  </si>
  <si>
    <t>Level 7</t>
  </si>
  <si>
    <t>Ninja</t>
  </si>
  <si>
    <t>niv07 à</t>
  </si>
  <si>
    <t>niv07</t>
  </si>
  <si>
    <t>x7</t>
  </si>
  <si>
    <t>Brno</t>
  </si>
  <si>
    <t>Level 8</t>
  </si>
  <si>
    <t>niv08 à</t>
  </si>
  <si>
    <t>niv08</t>
  </si>
  <si>
    <t>H</t>
  </si>
  <si>
    <t>Bucharest Ring</t>
  </si>
  <si>
    <t>tours</t>
  </si>
  <si>
    <t>Level 9</t>
  </si>
  <si>
    <t>niv09 à</t>
  </si>
  <si>
    <t>niv09</t>
  </si>
  <si>
    <t>Buenos Aires</t>
  </si>
  <si>
    <t>niv10 à</t>
  </si>
  <si>
    <t>niv10</t>
  </si>
  <si>
    <t>Estoril</t>
  </si>
  <si>
    <t>présence DT :</t>
  </si>
  <si>
    <t>points de testing</t>
  </si>
  <si>
    <t>diminution</t>
  </si>
  <si>
    <t>niv11 à</t>
  </si>
  <si>
    <t>niv11</t>
  </si>
  <si>
    <t>installations, calcul :</t>
  </si>
  <si>
    <t>Fiorano</t>
  </si>
  <si>
    <t>niv12 à</t>
  </si>
  <si>
    <t>niv12</t>
  </si>
  <si>
    <t>=(n-m)*(1500+m*75)*(20-(n-m)/2)/200</t>
  </si>
  <si>
    <t>Fuji</t>
  </si>
  <si>
    <t>niv13 à</t>
  </si>
  <si>
    <t>niv13</t>
  </si>
  <si>
    <t>Grobnik</t>
  </si>
  <si>
    <t>niv14 à</t>
  </si>
  <si>
    <t>niv14</t>
  </si>
  <si>
    <t>m</t>
  </si>
  <si>
    <t>Hockenheim</t>
  </si>
  <si>
    <t>niv15 à</t>
  </si>
  <si>
    <t>niv15</t>
  </si>
  <si>
    <t>Feuille 0</t>
  </si>
  <si>
    <t>singapore</t>
  </si>
  <si>
    <t>barcelona</t>
  </si>
  <si>
    <t>*2</t>
  </si>
  <si>
    <t>Risque 0</t>
  </si>
  <si>
    <t>n</t>
  </si>
  <si>
    <t>Hungaroring</t>
  </si>
  <si>
    <t>niv16 à</t>
  </si>
  <si>
    <t>niv16</t>
  </si>
  <si>
    <t>2 runs</t>
  </si>
  <si>
    <t>3 RUNS</t>
  </si>
  <si>
    <t>TOURS</t>
  </si>
  <si>
    <t>79 tours</t>
  </si>
  <si>
    <t>COÜT</t>
  </si>
  <si>
    <t>Imola</t>
  </si>
  <si>
    <t>niv17 à</t>
  </si>
  <si>
    <t>niv17</t>
  </si>
  <si>
    <t>Indianapolis</t>
  </si>
  <si>
    <t>niv18 à</t>
  </si>
  <si>
    <t>niv18</t>
  </si>
  <si>
    <t>Indianapolis Oval</t>
  </si>
  <si>
    <t>niv19 à</t>
  </si>
  <si>
    <t>niv19</t>
  </si>
  <si>
    <t>niv20 à</t>
  </si>
  <si>
    <t>Irungattukottai</t>
  </si>
  <si>
    <t>niv21 à</t>
  </si>
  <si>
    <t>niv21</t>
  </si>
  <si>
    <t>niv22 à</t>
  </si>
  <si>
    <t>niv22</t>
  </si>
  <si>
    <t>niv23 à</t>
  </si>
  <si>
    <t>niv23</t>
  </si>
  <si>
    <t>Jyllands-Ringen</t>
  </si>
  <si>
    <t>niv24 à</t>
  </si>
  <si>
    <t>niv24</t>
  </si>
  <si>
    <t>Kaunas</t>
  </si>
  <si>
    <t>niv25 à</t>
  </si>
  <si>
    <t>niv25</t>
  </si>
  <si>
    <t>Kyalami</t>
  </si>
  <si>
    <t>niv26 à</t>
  </si>
  <si>
    <t>niv26</t>
  </si>
  <si>
    <t>Laguna Seca</t>
  </si>
  <si>
    <t>niv27 à</t>
  </si>
  <si>
    <t>niv27</t>
  </si>
  <si>
    <t>Magny Cours</t>
  </si>
  <si>
    <t>niv28 à</t>
  </si>
  <si>
    <t>niv28</t>
  </si>
  <si>
    <t>Melbourne</t>
  </si>
  <si>
    <t>niv29 à</t>
  </si>
  <si>
    <t>niv29</t>
  </si>
  <si>
    <t>niv30 à</t>
  </si>
  <si>
    <t>niv30</t>
  </si>
  <si>
    <t>niv31 à</t>
  </si>
  <si>
    <t>niv31</t>
  </si>
  <si>
    <t>niv32 à</t>
  </si>
  <si>
    <t>niv32</t>
  </si>
  <si>
    <t>Monza</t>
  </si>
  <si>
    <t>niv33 à</t>
  </si>
  <si>
    <t>niv33</t>
  </si>
  <si>
    <t>niv34 à</t>
  </si>
  <si>
    <t>niv34</t>
  </si>
  <si>
    <t>New Delhi</t>
  </si>
  <si>
    <t>niv35 à</t>
  </si>
  <si>
    <t>niv35</t>
  </si>
  <si>
    <t>Nurburgring</t>
  </si>
  <si>
    <t>niv36 à</t>
  </si>
  <si>
    <t>niv36</t>
  </si>
  <si>
    <t>Oesterreichring</t>
  </si>
  <si>
    <t>niv37 à</t>
  </si>
  <si>
    <t>niv37</t>
  </si>
  <si>
    <t>Paul Ricard</t>
  </si>
  <si>
    <t>niv38 à</t>
  </si>
  <si>
    <t>niv38</t>
  </si>
  <si>
    <t>niv39 à</t>
  </si>
  <si>
    <t>niv39</t>
  </si>
  <si>
    <t>Poznan</t>
  </si>
  <si>
    <t>niv40 à</t>
  </si>
  <si>
    <t>Rafaela Oval</t>
  </si>
  <si>
    <t>niv41 à</t>
  </si>
  <si>
    <t>niv41</t>
  </si>
  <si>
    <t>niv42 à</t>
  </si>
  <si>
    <t>niv42</t>
  </si>
  <si>
    <t>niv43 à</t>
  </si>
  <si>
    <t>niv43</t>
  </si>
  <si>
    <t>Serres</t>
  </si>
  <si>
    <t>niv44 à</t>
  </si>
  <si>
    <t>niv44</t>
  </si>
  <si>
    <t>Shanghai</t>
  </si>
  <si>
    <t>niv45 à</t>
  </si>
  <si>
    <t>niv45</t>
  </si>
  <si>
    <t>Silverstone</t>
  </si>
  <si>
    <t>niv46 à</t>
  </si>
  <si>
    <t>niv46</t>
  </si>
  <si>
    <t>Singapore</t>
  </si>
  <si>
    <t>niv47 à</t>
  </si>
  <si>
    <t>niv47</t>
  </si>
  <si>
    <t>Slovakiaring</t>
  </si>
  <si>
    <t>niv48 à</t>
  </si>
  <si>
    <t>niv48</t>
  </si>
  <si>
    <t>niv49 à</t>
  </si>
  <si>
    <t>niv49</t>
  </si>
  <si>
    <t>Spa</t>
  </si>
  <si>
    <t>niv50 à</t>
  </si>
  <si>
    <t>niv50</t>
  </si>
  <si>
    <r>
      <t>RECHERCHEV(</t>
    </r>
    <r>
      <rPr>
        <sz val="10"/>
        <color indexed="12"/>
        <rFont val="Arial"/>
        <family val="2"/>
      </rPr>
      <t>$Feuille2.C$27</t>
    </r>
    <r>
      <rPr>
        <sz val="10"/>
        <rFont val="Arial"/>
        <family val="2"/>
      </rPr>
      <t>;</t>
    </r>
    <r>
      <rPr>
        <sz val="10"/>
        <color indexed="10"/>
        <rFont val="Arial"/>
        <family val="2"/>
      </rPr>
      <t>$Feuille2.$V$29:$AG$84</t>
    </r>
    <r>
      <rPr>
        <sz val="10"/>
        <rFont val="Arial"/>
        <family val="2"/>
      </rPr>
      <t>;4;0)*RECHERCHEV(</t>
    </r>
    <r>
      <rPr>
        <sz val="10"/>
        <color indexed="14"/>
        <rFont val="Arial"/>
        <family val="2"/>
      </rPr>
      <t>$Feuille1.D19</t>
    </r>
    <r>
      <rPr>
        <sz val="10"/>
        <rFont val="Arial"/>
        <family val="2"/>
      </rPr>
      <t>;</t>
    </r>
    <r>
      <rPr>
        <sz val="10"/>
        <color indexed="17"/>
        <rFont val="Arial"/>
        <family val="2"/>
      </rPr>
      <t>$Feuille2.$Y$15:$Z$23</t>
    </r>
    <r>
      <rPr>
        <sz val="10"/>
        <rFont val="Arial"/>
        <family val="2"/>
      </rPr>
      <t>;2;0)^</t>
    </r>
    <r>
      <rPr>
        <sz val="10"/>
        <color indexed="18"/>
        <rFont val="Arial"/>
        <family val="2"/>
      </rPr>
      <t>$Feuille1.D$6</t>
    </r>
    <r>
      <rPr>
        <sz val="10"/>
        <rFont val="Arial"/>
        <family val="2"/>
      </rPr>
      <t>*(0,998789138^</t>
    </r>
    <r>
      <rPr>
        <sz val="10"/>
        <color indexed="16"/>
        <rFont val="Arial"/>
        <family val="2"/>
      </rPr>
      <t>$Feuille1.$G$84</t>
    </r>
    <r>
      <rPr>
        <sz val="10"/>
        <rFont val="Arial"/>
        <family val="2"/>
      </rPr>
      <t>)*(0,998751839^</t>
    </r>
    <r>
      <rPr>
        <sz val="10"/>
        <color indexed="20"/>
        <rFont val="Arial"/>
        <family val="2"/>
      </rPr>
      <t>$Feuille1.$H$84</t>
    </r>
    <r>
      <rPr>
        <sz val="10"/>
        <rFont val="Arial"/>
        <family val="2"/>
      </rPr>
      <t>)*(0,998707677^</t>
    </r>
    <r>
      <rPr>
        <sz val="10"/>
        <color indexed="19"/>
        <rFont val="Arial"/>
        <family val="2"/>
      </rPr>
      <t>$Feuille1.$I$84</t>
    </r>
    <r>
      <rPr>
        <sz val="10"/>
        <rFont val="Arial"/>
        <family val="2"/>
      </rPr>
      <t>)</t>
    </r>
  </si>
  <si>
    <t>niv51 à</t>
  </si>
  <si>
    <t>niv51</t>
  </si>
  <si>
    <r>
      <t>RECHERCHEV(</t>
    </r>
    <r>
      <rPr>
        <sz val="10"/>
        <color indexed="12"/>
        <rFont val="Arial"/>
        <family val="2"/>
      </rPr>
      <t>$Feuille2.C$27</t>
    </r>
    <r>
      <rPr>
        <sz val="10"/>
        <rFont val="Arial"/>
        <family val="2"/>
      </rPr>
      <t>;</t>
    </r>
    <r>
      <rPr>
        <sz val="10"/>
        <color indexed="10"/>
        <rFont val="Arial"/>
        <family val="2"/>
      </rPr>
      <t>$Feuille2.$V$29:$AG$84</t>
    </r>
    <r>
      <rPr>
        <sz val="10"/>
        <rFont val="Arial"/>
        <family val="2"/>
      </rPr>
      <t>;4;0)*RECHERCHEV(</t>
    </r>
    <r>
      <rPr>
        <sz val="10"/>
        <color indexed="14"/>
        <rFont val="Arial"/>
        <family val="2"/>
      </rPr>
      <t>$Feuille1.D16</t>
    </r>
    <r>
      <rPr>
        <sz val="10"/>
        <rFont val="Arial"/>
        <family val="2"/>
      </rPr>
      <t>;</t>
    </r>
    <r>
      <rPr>
        <sz val="10"/>
        <color indexed="17"/>
        <rFont val="Arial"/>
        <family val="2"/>
      </rPr>
      <t>$Feuille2.$Y$15:$Z$23</t>
    </r>
    <r>
      <rPr>
        <sz val="10"/>
        <rFont val="Arial"/>
        <family val="2"/>
      </rPr>
      <t>;2;0)^</t>
    </r>
    <r>
      <rPr>
        <sz val="10"/>
        <color indexed="18"/>
        <rFont val="Arial"/>
        <family val="2"/>
      </rPr>
      <t>$Feuille1.D$6</t>
    </r>
    <r>
      <rPr>
        <sz val="10"/>
        <rFont val="Arial"/>
        <family val="2"/>
      </rPr>
      <t>*(0,998789138^</t>
    </r>
    <r>
      <rPr>
        <sz val="10"/>
        <color indexed="16"/>
        <rFont val="Arial"/>
        <family val="2"/>
      </rPr>
      <t>$Feuille1.$G$84</t>
    </r>
    <r>
      <rPr>
        <sz val="10"/>
        <rFont val="Arial"/>
        <family val="2"/>
      </rPr>
      <t>)*(0,998751839^</t>
    </r>
    <r>
      <rPr>
        <sz val="10"/>
        <color indexed="20"/>
        <rFont val="Arial"/>
        <family val="2"/>
      </rPr>
      <t>$Feuille1.$H$84</t>
    </r>
    <r>
      <rPr>
        <sz val="10"/>
        <rFont val="Arial"/>
        <family val="2"/>
      </rPr>
      <t>)*(0,998707677^</t>
    </r>
    <r>
      <rPr>
        <sz val="10"/>
        <color indexed="19"/>
        <rFont val="Arial"/>
        <family val="2"/>
      </rPr>
      <t>$Feuille1.$I$84</t>
    </r>
    <r>
      <rPr>
        <sz val="10"/>
        <rFont val="Arial"/>
        <family val="2"/>
      </rPr>
      <t>)</t>
    </r>
  </si>
  <si>
    <t>Valencia</t>
  </si>
  <si>
    <t>niv52 à</t>
  </si>
  <si>
    <t>niv52</t>
  </si>
  <si>
    <t>niv53 à</t>
  </si>
  <si>
    <t>niv53</t>
  </si>
  <si>
    <t>niv54 à</t>
  </si>
  <si>
    <t>niv54</t>
  </si>
  <si>
    <t>Zandvoort</t>
  </si>
  <si>
    <t>niv55 à</t>
  </si>
  <si>
    <t>niv55</t>
  </si>
  <si>
    <t>niv56 à</t>
  </si>
  <si>
    <t>niv56</t>
  </si>
  <si>
    <t>niv57 à</t>
  </si>
  <si>
    <t>niv57</t>
  </si>
  <si>
    <t>p</t>
  </si>
  <si>
    <t>a</t>
  </si>
  <si>
    <t>niv58 à</t>
  </si>
  <si>
    <t>niv58</t>
  </si>
  <si>
    <t>Bas</t>
  </si>
  <si>
    <t>Facile</t>
  </si>
  <si>
    <t>Moyenne</t>
  </si>
  <si>
    <t>Haute</t>
  </si>
  <si>
    <t>niv59 à</t>
  </si>
  <si>
    <t>niv59</t>
  </si>
  <si>
    <t>Moyen</t>
  </si>
  <si>
    <t>Difficile</t>
  </si>
  <si>
    <t>Basse</t>
  </si>
  <si>
    <t>niv60 à</t>
  </si>
  <si>
    <t>niv60</t>
  </si>
  <si>
    <t>Haut</t>
  </si>
  <si>
    <t>Normal</t>
  </si>
  <si>
    <t>Souple</t>
  </si>
  <si>
    <t>niv61 à</t>
  </si>
  <si>
    <t>niv61</t>
  </si>
  <si>
    <t>Tres difficile</t>
  </si>
  <si>
    <t>niv62 à</t>
  </si>
  <si>
    <t>niv62</t>
  </si>
  <si>
    <t>niv63 à</t>
  </si>
  <si>
    <t>niv63</t>
  </si>
  <si>
    <t>Dur</t>
  </si>
  <si>
    <t>Elevé</t>
  </si>
  <si>
    <t>niv64 à</t>
  </si>
  <si>
    <t>niv64</t>
  </si>
  <si>
    <t>niv65 à</t>
  </si>
  <si>
    <t>niv65</t>
  </si>
  <si>
    <t>niv66 à</t>
  </si>
  <si>
    <t>niv66</t>
  </si>
  <si>
    <t>niv67 à</t>
  </si>
  <si>
    <t>niv67</t>
  </si>
  <si>
    <t xml:space="preserve"> Bremgarten</t>
  </si>
  <si>
    <t>niv68 à</t>
  </si>
  <si>
    <t>niv68</t>
  </si>
  <si>
    <t>niv69 à</t>
  </si>
  <si>
    <t>niv69</t>
  </si>
  <si>
    <t>Tres haute</t>
  </si>
  <si>
    <t>niv70 à</t>
  </si>
  <si>
    <t>niv70</t>
  </si>
  <si>
    <t>Tres basse</t>
  </si>
  <si>
    <t>niv71 à</t>
  </si>
  <si>
    <t>niv71</t>
  </si>
  <si>
    <t>niv72 à</t>
  </si>
  <si>
    <t>niv72</t>
  </si>
  <si>
    <t>niv73 à</t>
  </si>
  <si>
    <t>niv73</t>
  </si>
  <si>
    <t>niv74 à</t>
  </si>
  <si>
    <t>niv74</t>
  </si>
  <si>
    <t>niv75 à</t>
  </si>
  <si>
    <t>niv75</t>
  </si>
  <si>
    <t>Trés elevé</t>
  </si>
  <si>
    <t>niv76 à</t>
  </si>
  <si>
    <t>niv76</t>
  </si>
  <si>
    <t>niv77 à</t>
  </si>
  <si>
    <t>niv77</t>
  </si>
  <si>
    <t>niv78 à</t>
  </si>
  <si>
    <t>niv78</t>
  </si>
  <si>
    <t>Tres facile</t>
  </si>
  <si>
    <t>niv79 à</t>
  </si>
  <si>
    <t>niv79</t>
  </si>
  <si>
    <t>niv80 à</t>
  </si>
  <si>
    <t>niv80</t>
  </si>
  <si>
    <t>niv81 à</t>
  </si>
  <si>
    <t>niv81</t>
  </si>
  <si>
    <t>niv82 à</t>
  </si>
  <si>
    <t>niv82</t>
  </si>
  <si>
    <t>niv83 à</t>
  </si>
  <si>
    <t>niv83</t>
  </si>
  <si>
    <t>niv84 à</t>
  </si>
  <si>
    <t>niv84</t>
  </si>
  <si>
    <t>Très bas</t>
  </si>
  <si>
    <t>niv85 à</t>
  </si>
  <si>
    <t>niv85</t>
  </si>
  <si>
    <t>niv86 à</t>
  </si>
  <si>
    <t>niv86</t>
  </si>
  <si>
    <t>niv87 à</t>
  </si>
  <si>
    <t>niv87</t>
  </si>
  <si>
    <t>niv88 à</t>
  </si>
  <si>
    <t>niv88</t>
  </si>
  <si>
    <t>niv89 à</t>
  </si>
  <si>
    <t>niv89</t>
  </si>
  <si>
    <t>niv90 à</t>
  </si>
  <si>
    <t>niv90</t>
  </si>
  <si>
    <t>niv91 à</t>
  </si>
  <si>
    <t>niv91</t>
  </si>
  <si>
    <t>niv92 à</t>
  </si>
  <si>
    <t>niv92</t>
  </si>
  <si>
    <t>niv93 à</t>
  </si>
  <si>
    <t>niv93</t>
  </si>
  <si>
    <t>niv94 à</t>
  </si>
  <si>
    <t>niv94</t>
  </si>
  <si>
    <t>niv95 à</t>
  </si>
  <si>
    <t>niv95</t>
  </si>
  <si>
    <t>niv96 à</t>
  </si>
  <si>
    <t>niv96</t>
  </si>
  <si>
    <t>niv97 à</t>
  </si>
  <si>
    <t>niv97</t>
  </si>
  <si>
    <t>niv98 à</t>
  </si>
  <si>
    <t>niv98</t>
  </si>
  <si>
    <t>Medium</t>
  </si>
  <si>
    <t>niv99 à</t>
  </si>
  <si>
    <t>niv99</t>
  </si>
  <si>
    <t>niv100 à</t>
  </si>
  <si>
    <t>niv100</t>
  </si>
  <si>
    <t>dowgrrade</t>
  </si>
  <si>
    <t>usure av</t>
  </si>
  <si>
    <t>usure après</t>
  </si>
  <si>
    <t>moy</t>
  </si>
  <si>
    <t>Pour nb downgrade</t>
  </si>
  <si>
    <t>Pour nb dongrade</t>
  </si>
  <si>
    <t>usure</t>
  </si>
  <si>
    <t>avant</t>
  </si>
  <si>
    <t>Niv</t>
  </si>
  <si>
    <t>ail arr</t>
  </si>
  <si>
    <t>Bv</t>
  </si>
  <si>
    <t>susp</t>
  </si>
  <si>
    <t>électro</t>
  </si>
  <si>
    <t>?</t>
  </si>
  <si>
    <t>Niv2</t>
  </si>
  <si>
    <t>Niv3</t>
  </si>
  <si>
    <t>Niv4</t>
  </si>
  <si>
    <t>Niv5</t>
  </si>
  <si>
    <t>B</t>
  </si>
  <si>
    <t>1-2</t>
  </si>
  <si>
    <t>0-1</t>
  </si>
  <si>
    <t>2-3</t>
  </si>
  <si>
    <t>3-4</t>
  </si>
  <si>
    <t>S39</t>
  </si>
  <si>
    <t>S40</t>
  </si>
  <si>
    <t>S41</t>
  </si>
  <si>
    <t>S42</t>
  </si>
  <si>
    <t>S43</t>
  </si>
  <si>
    <t>S36</t>
  </si>
  <si>
    <t>S37</t>
  </si>
  <si>
    <t>S38</t>
  </si>
  <si>
    <t>niv</t>
  </si>
  <si>
    <t>13,2_13,3</t>
  </si>
  <si>
    <t>Rapport sur la compatibilité concernant tableau financier s61jb.xls</t>
  </si>
  <si>
    <t>Exécuté le 07/11/2017 17:48</t>
  </si>
  <si>
    <t>Les fonctionnalités répertoriées ne seront pas disponibles si vous ouvrez le classeur dans une version antérieure d’Microsoft Excel ou si vous l’enregistrez dans un format de fichier antérieur.</t>
  </si>
  <si>
    <t>Perte significative de fonctionnalité</t>
  </si>
  <si>
    <t>Nb d'occurrences</t>
  </si>
  <si>
    <t>Version</t>
  </si>
  <si>
    <t>Certaines cellules de ce classeur contiennent des règles de validation des données faisant référence à des valeurs d’autres feuilles de calcul. Ces règles de validation des données ne seront pas enregistrées.</t>
  </si>
  <si>
    <t>Feuille1'!A1</t>
  </si>
  <si>
    <t>Feuille1'!D3:H3</t>
  </si>
  <si>
    <t>Feuille1'!E13</t>
  </si>
  <si>
    <t>Feuille1'!G13</t>
  </si>
  <si>
    <t>Feuille1'!I13</t>
  </si>
  <si>
    <t>Feuille1'!K13</t>
  </si>
  <si>
    <t>Feuille1'!M13</t>
  </si>
  <si>
    <t>Feuille1'!O13</t>
  </si>
  <si>
    <t>Feuille1'!Q13</t>
  </si>
  <si>
    <t>Feuille1'!S13</t>
  </si>
  <si>
    <t>Feuille1'!U13</t>
  </si>
  <si>
    <t>Feuille1'!W13</t>
  </si>
  <si>
    <t>Feuille1'!Y13</t>
  </si>
  <si>
    <t>Feuille1'!AA13</t>
  </si>
  <si>
    <t>Feuille1'!AC13</t>
  </si>
  <si>
    <t>Feuille1'!AE13</t>
  </si>
  <si>
    <t>Feuille1'!AG13</t>
  </si>
  <si>
    <t>Feuille1'!AI13</t>
  </si>
  <si>
    <t>Feuille1'!AK13</t>
  </si>
  <si>
    <t>Feuille1'!I3:J3</t>
  </si>
  <si>
    <t>Feuille1'!K3:L3</t>
  </si>
  <si>
    <t>Feuille1'!M3:N3</t>
  </si>
  <si>
    <t>Feuille1'!O3:P3</t>
  </si>
  <si>
    <t>Feuille1'!Q3:R3</t>
  </si>
  <si>
    <t>Feuille1'!S3:T3</t>
  </si>
  <si>
    <t>Feuille1'!U3:V3</t>
  </si>
  <si>
    <t>Feuille1'!W3:X3</t>
  </si>
  <si>
    <t>Feuille1'!Y3:Z3</t>
  </si>
  <si>
    <t>Feuille1'!AA3:AB3</t>
  </si>
  <si>
    <t>Feuille1'!AC3:AD3</t>
  </si>
  <si>
    <t>Feuille1'!AE3:AF3</t>
  </si>
  <si>
    <t>Feuille1'!AG3:AH3</t>
  </si>
  <si>
    <t>Feuille1'!AI3:AJ3</t>
  </si>
  <si>
    <t>Feuille1'!AK3</t>
  </si>
  <si>
    <t>Feuille1'!A14</t>
  </si>
  <si>
    <t>Feuille1'!D14:AK14</t>
  </si>
  <si>
    <t>Feuille1'!F20</t>
  </si>
  <si>
    <t>Feuille1'!H20</t>
  </si>
  <si>
    <t>Feuille1'!J20</t>
  </si>
  <si>
    <t>Feuille1'!L20</t>
  </si>
  <si>
    <t>Feuille1'!N20</t>
  </si>
  <si>
    <t>Feuille1'!P20</t>
  </si>
  <si>
    <t>Feuille1'!R20</t>
  </si>
  <si>
    <t>Feuille1'!T20</t>
  </si>
  <si>
    <t>Feuille1'!V20</t>
  </si>
  <si>
    <t>Feuille1'!X20</t>
  </si>
  <si>
    <t>Feuille1'!Z20</t>
  </si>
  <si>
    <t>Feuille1'!AB20</t>
  </si>
  <si>
    <t>Feuille1'!AD20</t>
  </si>
  <si>
    <t>Feuille1'!AF20</t>
  </si>
  <si>
    <t>Feuille1'!AH20</t>
  </si>
  <si>
    <t>Feuille1'!AJ20</t>
  </si>
  <si>
    <t>Feuille1'!F24</t>
  </si>
  <si>
    <t>Feuille1'!H24</t>
  </si>
  <si>
    <t>Feuille1'!J24</t>
  </si>
  <si>
    <t>Feuille1'!L24</t>
  </si>
  <si>
    <t>Feuille1'!N24</t>
  </si>
  <si>
    <t>Feuille1'!P24</t>
  </si>
  <si>
    <t>Feuille1'!R24</t>
  </si>
  <si>
    <t>Feuille1'!T24</t>
  </si>
  <si>
    <t>Feuille1'!V24</t>
  </si>
  <si>
    <t>Feuille1'!X24</t>
  </si>
  <si>
    <t>Feuille1'!Z24</t>
  </si>
  <si>
    <t>Feuille1'!AB24</t>
  </si>
  <si>
    <t>Feuille1'!AD24</t>
  </si>
  <si>
    <t>Feuille1'!AF24</t>
  </si>
  <si>
    <t>Feuille1'!AH24</t>
  </si>
  <si>
    <t>Feuille1'!AJ24</t>
  </si>
  <si>
    <t>Feuille1'!F28</t>
  </si>
  <si>
    <t>Feuille1'!H28</t>
  </si>
  <si>
    <t>Feuille1'!J28</t>
  </si>
  <si>
    <t>Feuille1'!L28</t>
  </si>
  <si>
    <t>Feuille1'!N28</t>
  </si>
  <si>
    <t>Feuille1'!P28</t>
  </si>
  <si>
    <t>Feuille1'!R28</t>
  </si>
  <si>
    <t>Feuille1'!T28</t>
  </si>
  <si>
    <t>Feuille1'!V28</t>
  </si>
  <si>
    <t>Feuille1'!X28</t>
  </si>
  <si>
    <t>Feuille1'!Z28</t>
  </si>
  <si>
    <t>Feuille1'!AB28</t>
  </si>
  <si>
    <t>Feuille1'!AD28</t>
  </si>
  <si>
    <t>Feuille1'!AF28</t>
  </si>
  <si>
    <t>Feuille1'!AH28</t>
  </si>
  <si>
    <t>Feuille1'!AJ28</t>
  </si>
  <si>
    <t>Feuille1'!F32</t>
  </si>
  <si>
    <t>Feuille1'!H32</t>
  </si>
  <si>
    <t>Feuille1'!J32</t>
  </si>
  <si>
    <t>Feuille1'!L32</t>
  </si>
  <si>
    <t>Feuille1'!N32</t>
  </si>
  <si>
    <t>Feuille1'!P32</t>
  </si>
  <si>
    <t>Feuille1'!R32</t>
  </si>
  <si>
    <t>Feuille1'!T32</t>
  </si>
  <si>
    <t>Feuille1'!V32</t>
  </si>
  <si>
    <t>Feuille1'!X32</t>
  </si>
  <si>
    <t>Feuille1'!Z32</t>
  </si>
  <si>
    <t>Feuille1'!AB32</t>
  </si>
  <si>
    <t>Feuille1'!AD32</t>
  </si>
  <si>
    <t>Feuille1'!AF32</t>
  </si>
  <si>
    <t>Feuille1'!AH32</t>
  </si>
  <si>
    <t>Feuille1'!AJ32</t>
  </si>
  <si>
    <t>Feuille1'!F36</t>
  </si>
  <si>
    <t>Feuille1'!H36</t>
  </si>
  <si>
    <t>Feuille1'!J36</t>
  </si>
  <si>
    <t>Feuille1'!L36</t>
  </si>
  <si>
    <t>Feuille1'!N36</t>
  </si>
  <si>
    <t>Feuille1'!P36</t>
  </si>
  <si>
    <t>Feuille1'!R36</t>
  </si>
  <si>
    <t>Feuille1'!T36</t>
  </si>
  <si>
    <t>Feuille1'!V36</t>
  </si>
  <si>
    <t>Feuille1'!X36</t>
  </si>
  <si>
    <t>Feuille1'!Z36</t>
  </si>
  <si>
    <t>Feuille1'!AB36</t>
  </si>
  <si>
    <t>Feuille1'!AD36</t>
  </si>
  <si>
    <t>Feuille1'!AF36</t>
  </si>
  <si>
    <t>Feuille1'!AH36</t>
  </si>
  <si>
    <t>Feuille1'!AJ36</t>
  </si>
  <si>
    <t>Feuille1'!F40</t>
  </si>
  <si>
    <t>Feuille1'!H40</t>
  </si>
  <si>
    <t>Feuille1'!J40</t>
  </si>
  <si>
    <t>Feuille1'!L40</t>
  </si>
  <si>
    <t>Feuille1'!N40</t>
  </si>
  <si>
    <t>Feuille1'!P40</t>
  </si>
  <si>
    <t>Feuille1'!R40</t>
  </si>
  <si>
    <t>Feuille1'!T40</t>
  </si>
  <si>
    <t>Feuille1'!V40</t>
  </si>
  <si>
    <t>Feuille1'!X40</t>
  </si>
  <si>
    <t>Feuille1'!Z40</t>
  </si>
  <si>
    <t>Feuille1'!AB40</t>
  </si>
  <si>
    <t>Feuille1'!AD40</t>
  </si>
  <si>
    <t>Feuille1'!AF40</t>
  </si>
  <si>
    <t>Feuille1'!AH40</t>
  </si>
  <si>
    <t>Feuille1'!AJ40</t>
  </si>
  <si>
    <t>Feuille1'!F44</t>
  </si>
  <si>
    <t>Feuille1'!H44</t>
  </si>
  <si>
    <t>Feuille1'!J44</t>
  </si>
  <si>
    <t>Feuille1'!L44</t>
  </si>
  <si>
    <t>Feuille1'!N44</t>
  </si>
  <si>
    <t>Feuille1'!P44</t>
  </si>
  <si>
    <t>Feuille1'!R44</t>
  </si>
  <si>
    <t>Feuille1'!T44</t>
  </si>
  <si>
    <t>Feuille1'!V44</t>
  </si>
  <si>
    <t>Feuille1'!X44</t>
  </si>
  <si>
    <t>Feuille1'!Z44</t>
  </si>
  <si>
    <t>Feuille1'!AB44</t>
  </si>
  <si>
    <t>Feuille1'!AD44</t>
  </si>
  <si>
    <t>Feuille1'!AF44</t>
  </si>
  <si>
    <t>Feuille1'!AH44</t>
  </si>
  <si>
    <t>Feuille1'!AJ44</t>
  </si>
  <si>
    <t>Feuille1'!F48</t>
  </si>
  <si>
    <t>Feuille1'!H48</t>
  </si>
  <si>
    <t>Feuille1'!J48</t>
  </si>
  <si>
    <t>Feuille1'!L48</t>
  </si>
  <si>
    <t>Feuille1'!N48</t>
  </si>
  <si>
    <t>Feuille1'!P48</t>
  </si>
  <si>
    <t>Feuille1'!R48</t>
  </si>
  <si>
    <t>Feuille1'!T48</t>
  </si>
  <si>
    <t>Feuille1'!V48</t>
  </si>
  <si>
    <t>Feuille1'!X48</t>
  </si>
  <si>
    <t>Feuille1'!Z48</t>
  </si>
  <si>
    <t>Feuille1'!AB48</t>
  </si>
  <si>
    <t>Feuille1'!AD48</t>
  </si>
  <si>
    <t>Feuille1'!AF48</t>
  </si>
  <si>
    <t>Feuille1'!AH48</t>
  </si>
  <si>
    <t>Feuille1'!AJ48</t>
  </si>
  <si>
    <t>Feuille1'!F52</t>
  </si>
  <si>
    <t>Feuille1'!H52</t>
  </si>
  <si>
    <t>Feuille1'!J52</t>
  </si>
  <si>
    <t>Feuille1'!L52</t>
  </si>
  <si>
    <t>Feuille1'!N52</t>
  </si>
  <si>
    <t>Feuille1'!P52</t>
  </si>
  <si>
    <t>Feuille1'!R52</t>
  </si>
  <si>
    <t>Feuille1'!T52</t>
  </si>
  <si>
    <t>Feuille1'!V52</t>
  </si>
  <si>
    <t>Feuille1'!X52</t>
  </si>
  <si>
    <t>Feuille1'!Z52</t>
  </si>
  <si>
    <t>Feuille1'!AB52</t>
  </si>
  <si>
    <t>Feuille1'!AD52</t>
  </si>
  <si>
    <t>Feuille1'!AF52</t>
  </si>
  <si>
    <t>Feuille1'!AH52</t>
  </si>
  <si>
    <t>Feuille1'!AJ52</t>
  </si>
  <si>
    <t>Feuille1'!F56</t>
  </si>
  <si>
    <t>Feuille1'!H56</t>
  </si>
  <si>
    <t>Feuille1'!J56</t>
  </si>
  <si>
    <t>Feuille1'!L56</t>
  </si>
  <si>
    <t>Feuille1'!N56</t>
  </si>
  <si>
    <t>Feuille1'!P56</t>
  </si>
  <si>
    <t>Feuille1'!R56</t>
  </si>
  <si>
    <t>Feuille1'!T56</t>
  </si>
  <si>
    <t>Feuille1'!V56</t>
  </si>
  <si>
    <t>Feuille1'!X56</t>
  </si>
  <si>
    <t>Feuille1'!Z56</t>
  </si>
  <si>
    <t>Feuille1'!AB56</t>
  </si>
  <si>
    <t>Feuille1'!AD56</t>
  </si>
  <si>
    <t>Feuille1'!AF56</t>
  </si>
  <si>
    <t>Feuille1'!AH56</t>
  </si>
  <si>
    <t>Feuille1'!AJ56</t>
  </si>
  <si>
    <t>Feuille1'!F60</t>
  </si>
  <si>
    <t>Feuille1'!H60</t>
  </si>
  <si>
    <t>Feuille1'!J60</t>
  </si>
  <si>
    <t>Feuille1'!L60</t>
  </si>
  <si>
    <t>Feuille1'!N60</t>
  </si>
  <si>
    <t>Feuille1'!P60</t>
  </si>
  <si>
    <t>Feuille1'!R60</t>
  </si>
  <si>
    <t>Feuille1'!T60</t>
  </si>
  <si>
    <t>Feuille1'!V60</t>
  </si>
  <si>
    <t>Feuille1'!X60</t>
  </si>
  <si>
    <t>Feuille1'!Z60</t>
  </si>
  <si>
    <t>Feuille1'!AB60</t>
  </si>
  <si>
    <t>Feuille1'!AD60</t>
  </si>
  <si>
    <t>Feuille1'!AF60</t>
  </si>
  <si>
    <t>Feuille1'!AH60</t>
  </si>
  <si>
    <t>Feuille1'!AJ60:AK60</t>
  </si>
  <si>
    <t>Feuille1'!F82:F84</t>
  </si>
  <si>
    <t>Feuille1'!H82:H84</t>
  </si>
  <si>
    <t>Feuille1'!J82:J84</t>
  </si>
  <si>
    <t>Feuille1'!L82:L84</t>
  </si>
  <si>
    <t>Feuille1'!N82:N84</t>
  </si>
  <si>
    <t>Feuille1'!P82:P84</t>
  </si>
  <si>
    <t>Feuille1'!R82:R84</t>
  </si>
  <si>
    <t>Feuille1'!T82:T84</t>
  </si>
  <si>
    <t>Feuille1'!V82:V84</t>
  </si>
  <si>
    <t>Feuille1'!X82:X84</t>
  </si>
  <si>
    <t>Feuille1'!Z82:Z84</t>
  </si>
  <si>
    <t>Feuille1'!AB82:AB84</t>
  </si>
  <si>
    <t>Feuille1'!AD82:AD84</t>
  </si>
  <si>
    <t>Feuille1'!AF82:AF84</t>
  </si>
  <si>
    <t>Feuille1'!AH82:AH84</t>
  </si>
  <si>
    <t>Feuille1'!AJ82:AJ84</t>
  </si>
  <si>
    <t>Feuille1'!D88:D92</t>
  </si>
  <si>
    <t>Feuille1'!H88:H91</t>
  </si>
  <si>
    <t>Feuille1'!B91</t>
  </si>
  <si>
    <t>Feuille1'!E91</t>
  </si>
  <si>
    <t>Feuille1'!G91:G92</t>
  </si>
  <si>
    <t>Feuille1'!J91:J92</t>
  </si>
  <si>
    <t>Feuille1'!D95:D97</t>
  </si>
  <si>
    <t>Feuille1'!H95:H97</t>
  </si>
  <si>
    <t>Feuille1'!E99:E100</t>
  </si>
  <si>
    <t>Feuille1'!I99:I100</t>
  </si>
  <si>
    <t>Feuille1'!E101:E102</t>
  </si>
  <si>
    <t>Feuille1'!I101:I102</t>
  </si>
  <si>
    <t>Feuille1'!E103:E106</t>
  </si>
  <si>
    <t>Feuille1'!I103:I106</t>
  </si>
  <si>
    <t>Feuille1'!M103:M106</t>
  </si>
  <si>
    <t>Feuille1'!D119:D120</t>
  </si>
  <si>
    <t>Feuille1'!F119:I120</t>
  </si>
  <si>
    <t>Feuille1'!L119:L120</t>
  </si>
  <si>
    <t>Feuille1'!N119:O120</t>
  </si>
  <si>
    <t>Feuille1'!E109:E113</t>
  </si>
  <si>
    <t>Feuille1'!I109:I113</t>
  </si>
  <si>
    <t>Feuille1'!M109:M113</t>
  </si>
  <si>
    <t>Feuille1'!Q109:Q113</t>
  </si>
  <si>
    <t>Feuille1'!E116:E118</t>
  </si>
  <si>
    <t>Feuille1'!I116:I118</t>
  </si>
  <si>
    <t>Feuille1'!M116:M118</t>
  </si>
  <si>
    <t>Feuille1'!Q116:Q118</t>
  </si>
  <si>
    <t>Feuille1'!C103</t>
  </si>
  <si>
    <t>Feuille1'!G103</t>
  </si>
  <si>
    <t>Feuille1'!K103</t>
  </si>
  <si>
    <t>Feuille1'!C105:C106</t>
  </si>
  <si>
    <t>Feuille1'!G105:G106</t>
  </si>
  <si>
    <t>Feuille1'!K105:K106</t>
  </si>
  <si>
    <t>Feuille1'!O105:O106</t>
  </si>
  <si>
    <t>Feuille1'!Q105:Q106</t>
  </si>
  <si>
    <t>Feuille1'!E108</t>
  </si>
  <si>
    <t>Feuille1'!I108</t>
  </si>
  <si>
    <t>Feuille1'!M108</t>
  </si>
  <si>
    <t>Feuille1'!Q108</t>
  </si>
  <si>
    <t>Feuille1'!E115</t>
  </si>
  <si>
    <t>Feuille1'!I115</t>
  </si>
  <si>
    <t>Feuille1'!M115</t>
  </si>
  <si>
    <t>Feuille1'!Q115</t>
  </si>
  <si>
    <t>Feuille1'!C115</t>
  </si>
  <si>
    <t>Feuille1'!G115</t>
  </si>
  <si>
    <t>Feuille1'!K115</t>
  </si>
  <si>
    <t>Feuille1'!O115</t>
  </si>
  <si>
    <t>Feuille1'!C117</t>
  </si>
  <si>
    <t>Feuille1'!G117</t>
  </si>
  <si>
    <t>Feuille1'!K117</t>
  </si>
  <si>
    <t>Feuille1'!O117</t>
  </si>
  <si>
    <t>Feuille1'!B122</t>
  </si>
  <si>
    <t>Excel 97-2003</t>
  </si>
  <si>
    <t>technique</t>
  </si>
  <si>
    <t>concentration</t>
  </si>
  <si>
    <t>Distance</t>
  </si>
  <si>
    <t>Indianapolis oval</t>
  </si>
  <si>
    <t>Magny cours</t>
  </si>
  <si>
    <t>Jylands-Ringen</t>
  </si>
  <si>
    <t>km tour</t>
  </si>
  <si>
    <t>nb tour :</t>
  </si>
  <si>
    <t>,</t>
  </si>
  <si>
    <t>talent</t>
  </si>
  <si>
    <t>TOTAL</t>
  </si>
  <si>
    <t>PMA TESTING</t>
  </si>
  <si>
    <t>calcul en fonction du DT</t>
  </si>
  <si>
    <t>rajout à faire</t>
  </si>
  <si>
    <t>DT ou pas</t>
  </si>
  <si>
    <t xml:space="preserve"> AU</t>
  </si>
  <si>
    <t>*</t>
  </si>
  <si>
    <t>Oui</t>
  </si>
  <si>
    <t>Non</t>
  </si>
  <si>
    <t>DT ?</t>
  </si>
  <si>
    <t>Energie</t>
  </si>
  <si>
    <t>Concentration</t>
  </si>
  <si>
    <t>o4</t>
  </si>
  <si>
    <t>Talent</t>
  </si>
  <si>
    <t>o5</t>
  </si>
  <si>
    <t>Aggressivité</t>
  </si>
  <si>
    <t>o6</t>
  </si>
  <si>
    <t>Experience</t>
  </si>
  <si>
    <t>o7</t>
  </si>
  <si>
    <t>Technique</t>
  </si>
  <si>
    <t>o8</t>
  </si>
  <si>
    <t>Endurance</t>
  </si>
  <si>
    <t>o9</t>
  </si>
  <si>
    <t>Motivation</t>
  </si>
  <si>
    <t>o10</t>
  </si>
  <si>
    <t>Poids</t>
  </si>
  <si>
    <t>o11</t>
  </si>
  <si>
    <t>Risque</t>
  </si>
  <si>
    <t>o12</t>
  </si>
  <si>
    <t>Boost</t>
  </si>
  <si>
    <t>o13</t>
  </si>
  <si>
    <t>CirA</t>
  </si>
  <si>
    <t>r3</t>
  </si>
  <si>
    <t>CTA</t>
  </si>
  <si>
    <t>r4</t>
  </si>
  <si>
    <t>CTr</t>
  </si>
  <si>
    <t>r5</t>
  </si>
  <si>
    <t>tech</t>
  </si>
  <si>
    <t>r6</t>
  </si>
  <si>
    <t>Con</t>
  </si>
  <si>
    <t>r7</t>
  </si>
  <si>
    <t>r8</t>
  </si>
  <si>
    <t>Exp</t>
  </si>
  <si>
    <t>r9</t>
  </si>
  <si>
    <t>Endu</t>
  </si>
  <si>
    <t>r10</t>
  </si>
  <si>
    <t>Motiv</t>
  </si>
  <si>
    <t>r11</t>
  </si>
  <si>
    <t>Agr</t>
  </si>
  <si>
    <t>r12</t>
  </si>
  <si>
    <t>r13</t>
  </si>
  <si>
    <t>gp</t>
  </si>
  <si>
    <t>Energie du pilote</t>
  </si>
  <si>
    <t>coef base</t>
  </si>
  <si>
    <t>coef pluie</t>
  </si>
  <si>
    <t>agressivité</t>
  </si>
  <si>
    <t>motivation</t>
  </si>
  <si>
    <t>poids</t>
  </si>
  <si>
    <t>énergie du pilote (corrections manuelles)</t>
  </si>
  <si>
    <t>énergie du pilote (calcul avant et après GP)</t>
  </si>
  <si>
    <t>Energie entre 2 gp</t>
  </si>
  <si>
    <t>entrainement</t>
  </si>
  <si>
    <t>pilote</t>
  </si>
  <si>
    <t>endurance</t>
  </si>
  <si>
    <t>charisme</t>
  </si>
  <si>
    <t>energie</t>
  </si>
  <si>
    <t>energie du pilote</t>
  </si>
  <si>
    <t>age</t>
  </si>
  <si>
    <t>calcul 1</t>
  </si>
  <si>
    <t>calcul 2</t>
  </si>
  <si>
    <t>calcul 3</t>
  </si>
  <si>
    <t>calcul 4</t>
  </si>
  <si>
    <t>calcul 5</t>
  </si>
  <si>
    <t>calcul 6</t>
  </si>
  <si>
    <t>Corrélation circuit voiture :</t>
  </si>
  <si>
    <t>Très facile</t>
  </si>
  <si>
    <t>0.1551</t>
  </si>
  <si>
    <t>0.2238</t>
  </si>
  <si>
    <t>0.6165</t>
  </si>
  <si>
    <t>0.8436</t>
  </si>
  <si>
    <t>0.8493</t>
  </si>
  <si>
    <t>0.9520</t>
  </si>
  <si>
    <t>0.9637</t>
  </si>
  <si>
    <t>0.9812</t>
  </si>
  <si>
    <t>1.0865</t>
  </si>
  <si>
    <t>1.1538</t>
  </si>
  <si>
    <t>1.1617</t>
  </si>
  <si>
    <t>1.2030</t>
  </si>
  <si>
    <t>1.2218</t>
  </si>
  <si>
    <t>1.2695</t>
  </si>
  <si>
    <t>1.2855</t>
  </si>
  <si>
    <t>1.2870</t>
  </si>
  <si>
    <t>1.3126</t>
  </si>
  <si>
    <t>1.3132</t>
  </si>
  <si>
    <t>1.3883</t>
  </si>
  <si>
    <t>1.4048</t>
  </si>
  <si>
    <t>1.4286</t>
  </si>
  <si>
    <t>1.5498</t>
  </si>
  <si>
    <t>1.5667</t>
  </si>
  <si>
    <t>1.6213</t>
  </si>
  <si>
    <t>1.6369</t>
  </si>
  <si>
    <t>1.8002</t>
  </si>
  <si>
    <t>1.8003</t>
  </si>
  <si>
    <t>1.8105</t>
  </si>
  <si>
    <t>1.8808</t>
  </si>
  <si>
    <t>1.8981</t>
  </si>
  <si>
    <t>1.8994</t>
  </si>
  <si>
    <t>1.9411</t>
  </si>
  <si>
    <t>2.0494</t>
  </si>
  <si>
    <t>2.0997</t>
  </si>
  <si>
    <t>2.2617</t>
  </si>
  <si>
    <t>2.2714</t>
  </si>
  <si>
    <t>2.3301</t>
  </si>
  <si>
    <t>2.4219</t>
  </si>
  <si>
    <t>2.4316</t>
  </si>
  <si>
    <t>2.4745</t>
  </si>
  <si>
    <t>2.4838</t>
  </si>
  <si>
    <t>2.4969</t>
  </si>
  <si>
    <t>2.5314</t>
  </si>
  <si>
    <t>2.5485</t>
  </si>
  <si>
    <t>2.5696</t>
  </si>
  <si>
    <t>2.5708</t>
  </si>
  <si>
    <t>2.5711</t>
  </si>
  <si>
    <t>2.6074</t>
  </si>
  <si>
    <t>2.6294</t>
  </si>
  <si>
    <t>2.6332</t>
  </si>
  <si>
    <t>2.6352</t>
  </si>
  <si>
    <t>2.6614</t>
  </si>
  <si>
    <t>2.7994</t>
  </si>
  <si>
    <t>2.8065</t>
  </si>
  <si>
    <t>Très difficile</t>
  </si>
  <si>
    <t>3.2511</t>
  </si>
  <si>
    <t>3.4629</t>
  </si>
  <si>
    <t>3.5306</t>
  </si>
  <si>
    <t>3.7369</t>
  </si>
  <si>
    <t>3.7431</t>
  </si>
  <si>
    <t>4.1542</t>
  </si>
  <si>
    <t>DEPASSEMENTS</t>
  </si>
  <si>
    <t>dépasst</t>
  </si>
  <si>
    <t>ratio défense/</t>
  </si>
  <si>
    <t>dépassement</t>
  </si>
  <si>
    <t>ratio défense</t>
  </si>
  <si>
    <t>avus</t>
  </si>
  <si>
    <t>dépassements</t>
  </si>
  <si>
    <t>voiture</t>
  </si>
  <si>
    <t>énergie du pilote</t>
  </si>
  <si>
    <t>corrections</t>
  </si>
  <si>
    <t>nb de tours boosts (0-9)</t>
  </si>
  <si>
    <t>type essais privés</t>
  </si>
  <si>
    <t>tours essais privés</t>
  </si>
  <si>
    <t>corrélation PMA</t>
  </si>
  <si>
    <t>"cart ususre</t>
  </si>
  <si>
    <t>Total</t>
  </si>
  <si>
    <t>Jeddah</t>
  </si>
  <si>
    <t>Miami</t>
  </si>
  <si>
    <t>circuits</t>
  </si>
  <si>
    <t>Appui</t>
  </si>
  <si>
    <t>consommation</t>
  </si>
  <si>
    <t>usure pneus</t>
  </si>
  <si>
    <t>longueur tour</t>
  </si>
  <si>
    <t>nb tours</t>
  </si>
  <si>
    <t>km total</t>
  </si>
  <si>
    <t>moyenne</t>
  </si>
  <si>
    <t>grip</t>
  </si>
  <si>
    <t>virages</t>
  </si>
  <si>
    <t>entrée/sortie</t>
  </si>
  <si>
    <t>Las Vegas</t>
  </si>
  <si>
    <t>Losail</t>
  </si>
  <si>
    <t>S96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</si>
</sst>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0000000"/>
    <numFmt numFmtId="166" formatCode="\ #,##0\ ;\-#,##0\ ;&quot; - &quot;;@\ "/>
    <numFmt numFmtId="167" formatCode="0.000"/>
    <numFmt numFmtId="168" formatCode="dd/mm/yy"/>
    <numFmt numFmtId="169" formatCode="0.000000"/>
    <numFmt numFmtId="170" formatCode="0.000000000000000"/>
    <numFmt numFmtId="171" formatCode="0.0000"/>
  </numFmts>
  <fonts count="37">
    <font>
      <sz val="10"/>
      <name val="Arial"/>
      <family val="2"/>
    </font>
    <font>
      <b/>
      <sz val="8"/>
      <color indexed="9"/>
      <name val="Tahoma"/>
      <family val="2"/>
    </font>
    <font>
      <sz val="8"/>
      <name val="Tahoma"/>
      <family val="2"/>
    </font>
    <font>
      <sz val="8"/>
      <name val="Arial"/>
      <family val="2"/>
    </font>
    <font>
      <b/>
      <sz val="15"/>
      <name val="Arial"/>
      <family val="2"/>
    </font>
    <font>
      <b/>
      <sz val="10"/>
      <name val="Arial"/>
      <family val="2"/>
    </font>
    <font>
      <sz val="10"/>
      <color indexed="17"/>
      <name val="Arial"/>
      <family val="2"/>
    </font>
    <font>
      <b/>
      <sz val="12"/>
      <name val="Arial"/>
      <family val="2"/>
    </font>
    <font>
      <b/>
      <sz val="12"/>
      <color indexed="17"/>
      <name val="Arial"/>
      <family val="2"/>
    </font>
    <font>
      <sz val="10"/>
      <color indexed="21"/>
      <name val="Arial"/>
      <family val="2"/>
    </font>
    <font>
      <sz val="11"/>
      <color indexed="8"/>
      <name val="Calibri"/>
      <family val="2"/>
    </font>
    <font>
      <sz val="8"/>
      <color indexed="9"/>
      <name val="Tahoma"/>
      <family val="2"/>
    </font>
    <font>
      <sz val="14"/>
      <name val="Gisha"/>
      <family val="2"/>
    </font>
    <font>
      <sz val="10"/>
      <color indexed="12"/>
      <name val="Arial"/>
      <family val="2"/>
    </font>
    <font>
      <sz val="10"/>
      <color indexed="10"/>
      <name val="Arial"/>
      <family val="2"/>
    </font>
    <font>
      <sz val="10"/>
      <color indexed="14"/>
      <name val="Arial"/>
      <family val="2"/>
    </font>
    <font>
      <sz val="10"/>
      <color indexed="18"/>
      <name val="Arial"/>
      <family val="2"/>
    </font>
    <font>
      <sz val="10"/>
      <color indexed="16"/>
      <name val="Arial"/>
      <family val="2"/>
    </font>
    <font>
      <sz val="10"/>
      <color indexed="20"/>
      <name val="Arial"/>
      <family val="2"/>
    </font>
    <font>
      <sz val="10"/>
      <color indexed="19"/>
      <name val="Arial"/>
      <family val="2"/>
    </font>
    <font>
      <sz val="8"/>
      <name val="Garamond"/>
      <family val="1"/>
    </font>
    <font>
      <b/>
      <sz val="11"/>
      <color indexed="9"/>
      <name val="Times New Roman"/>
      <family val="1"/>
    </font>
    <font>
      <sz val="8"/>
      <color indexed="8"/>
      <name val="Tahoma"/>
      <family val="2"/>
    </font>
    <font>
      <sz val="10"/>
      <color indexed="8"/>
      <name val="Arial"/>
      <family val="2"/>
    </font>
    <font>
      <sz val="10"/>
      <name val="Arial"/>
      <family val="2"/>
    </font>
    <font>
      <b/>
      <sz val="8"/>
      <name val="Tahoma"/>
      <family val="2"/>
    </font>
    <font>
      <u/>
      <sz val="10"/>
      <color theme="10"/>
      <name val="Arial"/>
      <family val="2"/>
    </font>
    <font>
      <sz val="14"/>
      <color theme="1"/>
      <name val="Arial"/>
      <family val="2"/>
    </font>
    <font>
      <sz val="14"/>
      <name val="Arial"/>
      <family val="2"/>
    </font>
    <font>
      <b/>
      <sz val="14"/>
      <name val="Arial"/>
      <family val="2"/>
    </font>
    <font>
      <b/>
      <sz val="12"/>
      <color theme="1"/>
      <name val="Arial"/>
      <family val="2"/>
    </font>
    <font>
      <sz val="12"/>
      <name val="Arial"/>
      <family val="2"/>
    </font>
    <font>
      <b/>
      <sz val="20"/>
      <name val="Arial"/>
      <family val="2"/>
    </font>
    <font>
      <b/>
      <sz val="10"/>
      <color theme="1"/>
      <name val="Arial"/>
      <family val="2"/>
    </font>
    <font>
      <b/>
      <sz val="11"/>
      <name val="Arial"/>
      <family val="2"/>
    </font>
    <font>
      <b/>
      <u/>
      <sz val="12"/>
      <name val="Arial"/>
      <family val="2"/>
    </font>
    <font>
      <b/>
      <sz val="14"/>
      <color theme="1"/>
      <name val="Arial"/>
      <family val="2"/>
    </font>
  </fonts>
  <fills count="13">
    <fill>
      <patternFill patternType="none"/>
    </fill>
    <fill>
      <patternFill patternType="gray125"/>
    </fill>
    <fill>
      <patternFill patternType="solid">
        <fgColor indexed="37"/>
        <bgColor indexed="10"/>
      </patternFill>
    </fill>
    <fill>
      <patternFill patternType="solid">
        <fgColor indexed="47"/>
        <bgColor indexed="31"/>
      </patternFill>
    </fill>
    <fill>
      <patternFill patternType="solid">
        <fgColor indexed="9"/>
        <bgColor indexed="26"/>
      </patternFill>
    </fill>
    <fill>
      <patternFill patternType="solid">
        <fgColor indexed="11"/>
        <bgColor indexed="57"/>
      </patternFill>
    </fill>
    <fill>
      <patternFill patternType="solid">
        <fgColor indexed="31"/>
        <bgColor indexed="22"/>
      </patternFill>
    </fill>
    <fill>
      <patternFill patternType="solid">
        <fgColor indexed="26"/>
        <bgColor indexed="9"/>
      </patternFill>
    </fill>
    <fill>
      <patternFill patternType="solid">
        <fgColor indexed="13"/>
        <bgColor indexed="34"/>
      </patternFill>
    </fill>
    <fill>
      <patternFill patternType="solid">
        <fgColor rgb="FFFFFF00"/>
        <bgColor indexed="64"/>
      </patternFill>
    </fill>
    <fill>
      <patternFill patternType="solid">
        <fgColor theme="1"/>
        <bgColor indexed="64"/>
      </patternFill>
    </fill>
    <fill>
      <patternFill patternType="solid">
        <fgColor theme="2" tint="-9.9978637043366805E-2"/>
        <bgColor indexed="57"/>
      </patternFill>
    </fill>
    <fill>
      <patternFill patternType="solid">
        <fgColor theme="0"/>
        <bgColor indexed="64"/>
      </patternFill>
    </fill>
  </fills>
  <borders count="52">
    <border>
      <left/>
      <right/>
      <top/>
      <bottom/>
      <diagonal/>
    </border>
    <border>
      <left style="hair">
        <color indexed="8"/>
      </left>
      <right style="hair">
        <color indexed="8"/>
      </right>
      <top style="hair">
        <color indexed="8"/>
      </top>
      <bottom style="hair">
        <color indexed="8"/>
      </bottom>
      <diagonal/>
    </border>
    <border>
      <left style="medium">
        <color indexed="8"/>
      </left>
      <right style="medium">
        <color indexed="8"/>
      </right>
      <top/>
      <bottom/>
      <diagonal/>
    </border>
    <border>
      <left/>
      <right style="medium">
        <color indexed="8"/>
      </right>
      <top/>
      <bottom/>
      <diagonal/>
    </border>
    <border>
      <left style="medium">
        <color indexed="8"/>
      </left>
      <right/>
      <top/>
      <bottom/>
      <diagonal/>
    </border>
    <border>
      <left/>
      <right/>
      <top style="medium">
        <color indexed="8"/>
      </top>
      <bottom/>
      <diagonal/>
    </border>
    <border>
      <left style="medium">
        <color indexed="8"/>
      </left>
      <right/>
      <top style="medium">
        <color indexed="8"/>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diagonal/>
    </border>
    <border>
      <left style="medium">
        <color indexed="8"/>
      </left>
      <right style="medium">
        <color indexed="8"/>
      </right>
      <top style="medium">
        <color indexed="8"/>
      </top>
      <bottom/>
      <diagonal/>
    </border>
    <border>
      <left style="medium">
        <color indexed="8"/>
      </left>
      <right style="medium">
        <color indexed="8"/>
      </right>
      <top/>
      <bottom style="medium">
        <color indexed="8"/>
      </bottom>
      <diagonal/>
    </border>
    <border>
      <left style="medium">
        <color indexed="8"/>
      </left>
      <right style="medium">
        <color indexed="8"/>
      </right>
      <top style="medium">
        <color indexed="8"/>
      </top>
      <bottom style="medium">
        <color indexed="8"/>
      </bottom>
      <diagonal/>
    </border>
    <border>
      <left style="hair">
        <color indexed="23"/>
      </left>
      <right style="hair">
        <color indexed="23"/>
      </right>
      <top style="hair">
        <color indexed="23"/>
      </top>
      <bottom style="thin">
        <color indexed="23"/>
      </bottom>
      <diagonal/>
    </border>
    <border>
      <left style="hair">
        <color indexed="23"/>
      </left>
      <right/>
      <top style="hair">
        <color indexed="23"/>
      </top>
      <bottom style="thin">
        <color indexed="23"/>
      </bottom>
      <diagonal/>
    </border>
    <border>
      <left style="hair">
        <color indexed="23"/>
      </left>
      <right style="hair">
        <color indexed="23"/>
      </right>
      <top/>
      <bottom style="hair">
        <color indexed="23"/>
      </bottom>
      <diagonal/>
    </border>
    <border>
      <left style="hair">
        <color indexed="23"/>
      </left>
      <right/>
      <top/>
      <bottom style="hair">
        <color indexed="23"/>
      </bottom>
      <diagonal/>
    </border>
    <border>
      <left style="hair">
        <color indexed="23"/>
      </left>
      <right style="hair">
        <color indexed="23"/>
      </right>
      <top style="hair">
        <color indexed="23"/>
      </top>
      <bottom style="hair">
        <color indexed="23"/>
      </bottom>
      <diagonal/>
    </border>
    <border>
      <left style="hair">
        <color indexed="23"/>
      </left>
      <right/>
      <top style="hair">
        <color indexed="23"/>
      </top>
      <bottom style="hair">
        <color indexed="23"/>
      </bottom>
      <diagonal/>
    </border>
    <border>
      <left style="hair">
        <color indexed="8"/>
      </left>
      <right style="hair">
        <color indexed="8"/>
      </right>
      <top/>
      <bottom/>
      <diagonal/>
    </border>
    <border>
      <left/>
      <right style="medium">
        <color auto="1"/>
      </right>
      <top style="medium">
        <color indexed="8"/>
      </top>
      <bottom style="medium">
        <color indexed="8"/>
      </bottom>
      <diagonal/>
    </border>
    <border>
      <left style="medium">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indexed="8"/>
      </top>
      <bottom style="medium">
        <color indexed="8"/>
      </bottom>
      <diagonal/>
    </border>
    <border>
      <left style="medium">
        <color indexed="8"/>
      </left>
      <right/>
      <top style="thin">
        <color indexed="8"/>
      </top>
      <bottom style="medium">
        <color indexed="8"/>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indexed="8"/>
      </left>
      <right/>
      <top/>
      <bottom/>
      <diagonal/>
    </border>
    <border>
      <left/>
      <right/>
      <top style="hair">
        <color auto="1"/>
      </top>
      <bottom style="hair">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right style="medium">
        <color indexed="8"/>
      </right>
      <top style="medium">
        <color indexed="8"/>
      </top>
      <bottom style="medium">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s>
  <cellStyleXfs count="8">
    <xf numFmtId="0" fontId="0" fillId="0" borderId="0"/>
    <xf numFmtId="0" fontId="1" fillId="2" borderId="1" applyNumberFormat="0">
      <alignment horizontal="center"/>
    </xf>
    <xf numFmtId="0" fontId="2" fillId="3" borderId="1" applyNumberFormat="0">
      <alignment horizontal="center" vertical="center"/>
    </xf>
    <xf numFmtId="2" fontId="3" fillId="4" borderId="1">
      <alignment horizontal="center"/>
    </xf>
    <xf numFmtId="0" fontId="10" fillId="0" borderId="0"/>
    <xf numFmtId="0" fontId="26" fillId="0" borderId="0" applyNumberFormat="0" applyFill="0" applyBorder="0" applyAlignment="0" applyProtection="0"/>
    <xf numFmtId="0" fontId="24" fillId="0" borderId="0"/>
    <xf numFmtId="9" fontId="10" fillId="0" borderId="0"/>
  </cellStyleXfs>
  <cellXfs count="216">
    <xf numFmtId="0" fontId="0" fillId="0" borderId="0" xfId="0"/>
    <xf numFmtId="0" fontId="4" fillId="5" borderId="0" xfId="0" applyFont="1" applyFill="1" applyAlignment="1">
      <alignment horizontal="center" vertical="center"/>
    </xf>
    <xf numFmtId="0" fontId="5" fillId="6" borderId="0" xfId="0" applyFont="1" applyFill="1" applyAlignment="1">
      <alignment horizontal="center"/>
    </xf>
    <xf numFmtId="0" fontId="0" fillId="6" borderId="0" xfId="0" applyFill="1" applyAlignment="1">
      <alignment horizontal="center"/>
    </xf>
    <xf numFmtId="0" fontId="0" fillId="0" borderId="0" xfId="0" applyAlignment="1">
      <alignment horizontal="center"/>
    </xf>
    <xf numFmtId="0" fontId="0" fillId="6" borderId="0" xfId="0" applyFill="1"/>
    <xf numFmtId="0" fontId="5" fillId="6" borderId="3" xfId="0" applyFont="1" applyFill="1" applyBorder="1" applyAlignment="1">
      <alignment horizontal="center"/>
    </xf>
    <xf numFmtId="3" fontId="0" fillId="7" borderId="0" xfId="0" applyNumberFormat="1" applyFill="1"/>
    <xf numFmtId="3" fontId="0" fillId="7" borderId="4" xfId="0" applyNumberFormat="1" applyFill="1" applyBorder="1"/>
    <xf numFmtId="3" fontId="0" fillId="5" borderId="3" xfId="0" applyNumberFormat="1" applyFill="1" applyBorder="1"/>
    <xf numFmtId="3" fontId="0" fillId="5" borderId="0" xfId="0" applyNumberFormat="1" applyFill="1"/>
    <xf numFmtId="164" fontId="0" fillId="5" borderId="0" xfId="0" applyNumberFormat="1" applyFill="1"/>
    <xf numFmtId="164" fontId="0" fillId="7" borderId="4" xfId="0" applyNumberFormat="1" applyFill="1" applyBorder="1"/>
    <xf numFmtId="164" fontId="0" fillId="5" borderId="3" xfId="0" applyNumberFormat="1" applyFill="1" applyBorder="1"/>
    <xf numFmtId="0" fontId="5" fillId="6" borderId="0" xfId="0" applyFont="1" applyFill="1"/>
    <xf numFmtId="0" fontId="0" fillId="6" borderId="4" xfId="0" applyFill="1" applyBorder="1"/>
    <xf numFmtId="0" fontId="0" fillId="6" borderId="5" xfId="0" applyFill="1" applyBorder="1"/>
    <xf numFmtId="3" fontId="0" fillId="0" borderId="5" xfId="0" applyNumberFormat="1" applyBorder="1"/>
    <xf numFmtId="3" fontId="0" fillId="7" borderId="6" xfId="0" applyNumberFormat="1" applyFill="1" applyBorder="1"/>
    <xf numFmtId="0" fontId="0" fillId="6" borderId="6" xfId="0" applyFill="1" applyBorder="1"/>
    <xf numFmtId="3" fontId="0" fillId="0" borderId="0" xfId="0" applyNumberFormat="1"/>
    <xf numFmtId="3" fontId="0" fillId="0" borderId="4" xfId="0" applyNumberFormat="1" applyBorder="1"/>
    <xf numFmtId="3" fontId="0" fillId="0" borderId="3" xfId="0" applyNumberFormat="1" applyBorder="1"/>
    <xf numFmtId="3" fontId="0" fillId="5" borderId="4" xfId="0" applyNumberFormat="1" applyFill="1" applyBorder="1"/>
    <xf numFmtId="0" fontId="0" fillId="6" borderId="7" xfId="0" applyFill="1" applyBorder="1"/>
    <xf numFmtId="3" fontId="0" fillId="0" borderId="8" xfId="0" applyNumberFormat="1" applyBorder="1"/>
    <xf numFmtId="3" fontId="0" fillId="0" borderId="7" xfId="0" applyNumberFormat="1" applyBorder="1"/>
    <xf numFmtId="3" fontId="0" fillId="0" borderId="9" xfId="0" applyNumberFormat="1" applyBorder="1"/>
    <xf numFmtId="0" fontId="0" fillId="6" borderId="10" xfId="0" applyFill="1" applyBorder="1"/>
    <xf numFmtId="0" fontId="0" fillId="0" borderId="11" xfId="0" applyBorder="1"/>
    <xf numFmtId="0" fontId="0" fillId="6" borderId="3" xfId="0" applyFill="1" applyBorder="1"/>
    <xf numFmtId="0" fontId="0" fillId="5" borderId="0" xfId="0" applyFill="1"/>
    <xf numFmtId="0" fontId="9" fillId="0" borderId="3" xfId="0" applyFont="1" applyBorder="1"/>
    <xf numFmtId="0" fontId="0" fillId="6" borderId="8" xfId="0" applyFill="1" applyBorder="1"/>
    <xf numFmtId="3" fontId="0" fillId="5" borderId="7" xfId="0" applyNumberFormat="1" applyFill="1" applyBorder="1"/>
    <xf numFmtId="0" fontId="9" fillId="0" borderId="9" xfId="0" applyFont="1" applyBorder="1"/>
    <xf numFmtId="0" fontId="5" fillId="6" borderId="10" xfId="0" applyFont="1" applyFill="1" applyBorder="1"/>
    <xf numFmtId="0" fontId="0" fillId="5" borderId="11" xfId="0" applyFill="1" applyBorder="1"/>
    <xf numFmtId="0" fontId="0" fillId="6" borderId="11" xfId="0" applyFill="1" applyBorder="1"/>
    <xf numFmtId="0" fontId="5" fillId="6" borderId="6" xfId="0" applyFont="1" applyFill="1" applyBorder="1"/>
    <xf numFmtId="0" fontId="0" fillId="5" borderId="5" xfId="0" applyFill="1" applyBorder="1"/>
    <xf numFmtId="0" fontId="0" fillId="5" borderId="12" xfId="0" applyFill="1" applyBorder="1"/>
    <xf numFmtId="0" fontId="0" fillId="5" borderId="9" xfId="0" applyFill="1" applyBorder="1"/>
    <xf numFmtId="0" fontId="5" fillId="6" borderId="13" xfId="0" applyFont="1" applyFill="1" applyBorder="1"/>
    <xf numFmtId="0" fontId="0" fillId="5" borderId="6" xfId="0" applyFill="1" applyBorder="1"/>
    <xf numFmtId="0" fontId="0" fillId="6" borderId="14" xfId="0" applyFill="1" applyBorder="1"/>
    <xf numFmtId="0" fontId="0" fillId="5" borderId="8" xfId="0" applyFill="1" applyBorder="1"/>
    <xf numFmtId="0" fontId="0" fillId="6" borderId="7" xfId="0" applyFill="1" applyBorder="1" applyAlignment="1">
      <alignment horizontal="center"/>
    </xf>
    <xf numFmtId="0" fontId="0" fillId="6" borderId="8" xfId="0" applyFill="1" applyBorder="1" applyAlignment="1">
      <alignment horizontal="center"/>
    </xf>
    <xf numFmtId="3" fontId="0" fillId="5" borderId="5" xfId="0" applyNumberFormat="1" applyFill="1" applyBorder="1"/>
    <xf numFmtId="3" fontId="0" fillId="6" borderId="5" xfId="0" applyNumberFormat="1" applyFill="1" applyBorder="1"/>
    <xf numFmtId="3" fontId="0" fillId="6" borderId="0" xfId="0" applyNumberFormat="1" applyFill="1"/>
    <xf numFmtId="3" fontId="0" fillId="6" borderId="8" xfId="0" applyNumberFormat="1" applyFill="1" applyBorder="1"/>
    <xf numFmtId="0" fontId="10" fillId="0" borderId="0" xfId="7" applyNumberFormat="1"/>
    <xf numFmtId="0" fontId="0" fillId="0" borderId="0" xfId="0" applyAlignment="1">
      <alignment horizontal="right"/>
    </xf>
    <xf numFmtId="1" fontId="0" fillId="0" borderId="0" xfId="0" applyNumberFormat="1"/>
    <xf numFmtId="165" fontId="3" fillId="4" borderId="1" xfId="3" applyNumberFormat="1" applyProtection="1">
      <alignment horizontal="center"/>
      <protection locked="0" hidden="1"/>
    </xf>
    <xf numFmtId="3" fontId="12" fillId="0" borderId="0" xfId="0" applyNumberFormat="1" applyFont="1" applyAlignment="1">
      <alignment horizontal="center" vertical="center" shrinkToFit="1"/>
    </xf>
    <xf numFmtId="0" fontId="5" fillId="0" borderId="0" xfId="0" applyFont="1"/>
    <xf numFmtId="0" fontId="0" fillId="0" borderId="0" xfId="0" applyProtection="1">
      <protection hidden="1"/>
    </xf>
    <xf numFmtId="2" fontId="3" fillId="4" borderId="1" xfId="3" applyProtection="1">
      <alignment horizontal="center"/>
      <protection hidden="1"/>
    </xf>
    <xf numFmtId="0" fontId="10" fillId="0" borderId="0" xfId="4"/>
    <xf numFmtId="164" fontId="0" fillId="0" borderId="0" xfId="0" applyNumberFormat="1" applyAlignment="1">
      <alignment horizontal="center"/>
    </xf>
    <xf numFmtId="0" fontId="20" fillId="0" borderId="16" xfId="6" applyFont="1" applyBorder="1" applyAlignment="1">
      <alignment horizontal="center"/>
    </xf>
    <xf numFmtId="0" fontId="20" fillId="0" borderId="17" xfId="6" applyFont="1" applyBorder="1" applyAlignment="1">
      <alignment horizontal="center"/>
    </xf>
    <xf numFmtId="0" fontId="21" fillId="0" borderId="0" xfId="2" applyFont="1" applyFill="1" applyBorder="1" applyProtection="1">
      <alignment horizontal="center" vertical="center"/>
      <protection hidden="1"/>
    </xf>
    <xf numFmtId="166" fontId="20" fillId="0" borderId="18" xfId="6" applyNumberFormat="1" applyFont="1" applyBorder="1"/>
    <xf numFmtId="166" fontId="20" fillId="0" borderId="19" xfId="6" applyNumberFormat="1" applyFont="1" applyBorder="1"/>
    <xf numFmtId="166" fontId="20" fillId="0" borderId="20" xfId="6" applyNumberFormat="1" applyFont="1" applyBorder="1"/>
    <xf numFmtId="166" fontId="20" fillId="0" borderId="21" xfId="6" applyNumberFormat="1" applyFont="1" applyBorder="1"/>
    <xf numFmtId="0" fontId="22" fillId="0" borderId="0" xfId="2" applyFont="1" applyFill="1" applyBorder="1" applyProtection="1">
      <alignment horizontal="center" vertical="center"/>
      <protection hidden="1"/>
    </xf>
    <xf numFmtId="164" fontId="23" fillId="0" borderId="0" xfId="0" applyNumberFormat="1" applyFont="1" applyAlignment="1" applyProtection="1">
      <alignment horizontal="center"/>
      <protection hidden="1"/>
    </xf>
    <xf numFmtId="0" fontId="23" fillId="0" borderId="0" xfId="0" applyFont="1" applyAlignment="1" applyProtection="1">
      <alignment horizontal="center"/>
      <protection hidden="1"/>
    </xf>
    <xf numFmtId="167" fontId="23" fillId="0" borderId="0" xfId="0" applyNumberFormat="1" applyFont="1" applyAlignment="1" applyProtection="1">
      <alignment horizontal="center"/>
      <protection hidden="1"/>
    </xf>
    <xf numFmtId="2" fontId="23" fillId="0" borderId="0" xfId="0" applyNumberFormat="1" applyFont="1" applyAlignment="1" applyProtection="1">
      <alignment horizontal="center"/>
      <protection hidden="1"/>
    </xf>
    <xf numFmtId="166" fontId="20" fillId="0" borderId="16" xfId="6" applyNumberFormat="1" applyFont="1" applyBorder="1"/>
    <xf numFmtId="166" fontId="20" fillId="0" borderId="17" xfId="6" applyNumberFormat="1" applyFont="1" applyBorder="1"/>
    <xf numFmtId="0" fontId="0" fillId="0" borderId="0" xfId="0" applyAlignment="1">
      <alignment horizontal="left"/>
    </xf>
    <xf numFmtId="0" fontId="0" fillId="8" borderId="0" xfId="0" applyFill="1" applyAlignment="1">
      <alignment horizontal="center"/>
    </xf>
    <xf numFmtId="0" fontId="5" fillId="0" borderId="0" xfId="0" applyFont="1" applyAlignment="1">
      <alignment horizontal="center"/>
    </xf>
    <xf numFmtId="168" fontId="0" fillId="0" borderId="0" xfId="0" applyNumberFormat="1" applyAlignment="1">
      <alignment horizontal="center"/>
    </xf>
    <xf numFmtId="0" fontId="26" fillId="0" borderId="0" xfId="5"/>
    <xf numFmtId="0" fontId="5" fillId="0" borderId="0" xfId="0" applyFont="1" applyAlignment="1">
      <alignment vertical="top" wrapText="1"/>
    </xf>
    <xf numFmtId="0" fontId="0" fillId="0" borderId="0" xfId="0" applyAlignment="1">
      <alignment vertical="top" wrapText="1"/>
    </xf>
    <xf numFmtId="0" fontId="0" fillId="0" borderId="6" xfId="0" applyBorder="1" applyAlignment="1">
      <alignment vertical="top" wrapText="1"/>
    </xf>
    <xf numFmtId="0" fontId="0" fillId="0" borderId="5" xfId="0" applyBorder="1" applyAlignment="1">
      <alignment vertical="top" wrapText="1"/>
    </xf>
    <xf numFmtId="0" fontId="0" fillId="0" borderId="4"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5" fillId="0" borderId="0" xfId="0" applyFont="1" applyAlignment="1">
      <alignment horizontal="center" vertical="top" wrapText="1"/>
    </xf>
    <xf numFmtId="0" fontId="0" fillId="0" borderId="0" xfId="0" applyAlignment="1">
      <alignment horizontal="center" vertical="top" wrapText="1"/>
    </xf>
    <xf numFmtId="0" fontId="0" fillId="0" borderId="5" xfId="0" applyBorder="1" applyAlignment="1">
      <alignment horizontal="center" vertical="top" wrapText="1"/>
    </xf>
    <xf numFmtId="0" fontId="0" fillId="0" borderId="12" xfId="0" applyBorder="1" applyAlignment="1">
      <alignment horizontal="center" vertical="top" wrapText="1"/>
    </xf>
    <xf numFmtId="0" fontId="0" fillId="0" borderId="0" xfId="0" quotePrefix="1" applyAlignment="1">
      <alignment horizontal="center" vertical="top" wrapText="1"/>
    </xf>
    <xf numFmtId="0" fontId="0" fillId="0" borderId="3" xfId="0" applyBorder="1" applyAlignment="1">
      <alignment horizontal="center" vertical="top" wrapText="1"/>
    </xf>
    <xf numFmtId="0" fontId="0" fillId="0" borderId="8" xfId="0" applyBorder="1" applyAlignment="1">
      <alignment horizontal="center" vertical="top" wrapText="1"/>
    </xf>
    <xf numFmtId="0" fontId="0" fillId="0" borderId="8" xfId="0" quotePrefix="1" applyBorder="1" applyAlignment="1">
      <alignment horizontal="center" vertical="top" wrapText="1"/>
    </xf>
    <xf numFmtId="0" fontId="0" fillId="0" borderId="9" xfId="0" applyBorder="1" applyAlignment="1">
      <alignment horizontal="center" vertical="top" wrapText="1"/>
    </xf>
    <xf numFmtId="0" fontId="25" fillId="9" borderId="1" xfId="1" applyFont="1" applyFill="1" applyProtection="1">
      <alignment horizontal="center"/>
      <protection hidden="1"/>
    </xf>
    <xf numFmtId="0" fontId="2" fillId="0" borderId="1" xfId="2" applyFill="1">
      <alignment horizontal="center" vertical="center"/>
    </xf>
    <xf numFmtId="0" fontId="2" fillId="0" borderId="1" xfId="2" applyFill="1" applyProtection="1">
      <alignment horizontal="center" vertical="center"/>
      <protection hidden="1"/>
    </xf>
    <xf numFmtId="0" fontId="25" fillId="0" borderId="1" xfId="2" applyFont="1" applyFill="1" applyProtection="1">
      <alignment horizontal="center" vertical="center"/>
      <protection hidden="1"/>
    </xf>
    <xf numFmtId="0" fontId="2" fillId="0" borderId="22" xfId="2" applyFill="1" applyBorder="1" applyProtection="1">
      <alignment horizontal="center" vertical="center"/>
      <protection hidden="1"/>
    </xf>
    <xf numFmtId="0" fontId="11" fillId="10" borderId="1" xfId="2" applyFont="1" applyFill="1" applyProtection="1">
      <alignment horizontal="center" vertical="center"/>
      <protection hidden="1"/>
    </xf>
    <xf numFmtId="0" fontId="27" fillId="5" borderId="4" xfId="0" applyFont="1" applyFill="1" applyBorder="1"/>
    <xf numFmtId="0" fontId="27" fillId="5" borderId="7" xfId="0" applyFont="1" applyFill="1" applyBorder="1"/>
    <xf numFmtId="3" fontId="28" fillId="5" borderId="0" xfId="0" applyNumberFormat="1" applyFont="1" applyFill="1"/>
    <xf numFmtId="0" fontId="30" fillId="11" borderId="4" xfId="0" applyFont="1" applyFill="1" applyBorder="1"/>
    <xf numFmtId="0" fontId="31" fillId="0" borderId="0" xfId="0" applyFont="1"/>
    <xf numFmtId="164" fontId="0" fillId="0" borderId="0" xfId="0" applyNumberFormat="1"/>
    <xf numFmtId="0" fontId="1" fillId="10" borderId="1" xfId="1" applyFill="1" applyProtection="1">
      <alignment horizontal="center"/>
      <protection hidden="1"/>
    </xf>
    <xf numFmtId="0" fontId="11" fillId="10" borderId="1" xfId="2" applyFont="1" applyFill="1">
      <alignment horizontal="center" vertical="center"/>
    </xf>
    <xf numFmtId="0" fontId="1" fillId="10" borderId="1" xfId="2" applyFont="1" applyFill="1" applyProtection="1">
      <alignment horizontal="center" vertical="center"/>
      <protection hidden="1"/>
    </xf>
    <xf numFmtId="0" fontId="32" fillId="6" borderId="0" xfId="0" applyFont="1" applyFill="1" applyAlignment="1">
      <alignment horizontal="center"/>
    </xf>
    <xf numFmtId="14" fontId="0" fillId="6" borderId="0" xfId="0" applyNumberFormat="1" applyFill="1"/>
    <xf numFmtId="14" fontId="0" fillId="6" borderId="0" xfId="0" applyNumberFormat="1" applyFill="1" applyAlignment="1">
      <alignment horizontal="center"/>
    </xf>
    <xf numFmtId="0" fontId="0" fillId="5" borderId="23" xfId="0" applyFill="1" applyBorder="1"/>
    <xf numFmtId="0" fontId="0" fillId="0" borderId="24" xfId="0" applyBorder="1"/>
    <xf numFmtId="4" fontId="0" fillId="0" borderId="0" xfId="0" applyNumberFormat="1"/>
    <xf numFmtId="169" fontId="0" fillId="0" borderId="0" xfId="0" applyNumberFormat="1"/>
    <xf numFmtId="0" fontId="29" fillId="5" borderId="15" xfId="0" applyFont="1" applyFill="1" applyBorder="1" applyAlignment="1">
      <alignment horizontal="center"/>
    </xf>
    <xf numFmtId="0" fontId="34" fillId="5" borderId="15" xfId="0" applyFont="1" applyFill="1" applyBorder="1" applyAlignment="1">
      <alignment horizontal="center" vertical="center"/>
    </xf>
    <xf numFmtId="0" fontId="0" fillId="0" borderId="26" xfId="0" applyBorder="1" applyAlignment="1">
      <alignment horizontal="center"/>
    </xf>
    <xf numFmtId="169" fontId="0" fillId="0" borderId="25" xfId="0" applyNumberFormat="1" applyBorder="1" applyAlignment="1">
      <alignment horizontal="center"/>
    </xf>
    <xf numFmtId="170" fontId="3" fillId="4" borderId="1" xfId="3" applyNumberFormat="1" applyProtection="1">
      <alignment horizontal="center"/>
      <protection hidden="1"/>
    </xf>
    <xf numFmtId="0" fontId="1" fillId="0" borderId="1" xfId="1" applyFill="1" applyProtection="1">
      <alignment horizontal="center"/>
      <protection hidden="1"/>
    </xf>
    <xf numFmtId="0" fontId="5" fillId="6" borderId="27" xfId="0" applyFont="1" applyFill="1" applyBorder="1"/>
    <xf numFmtId="0" fontId="5" fillId="6" borderId="27" xfId="0" applyFont="1" applyFill="1" applyBorder="1" applyAlignment="1">
      <alignment horizontal="center"/>
    </xf>
    <xf numFmtId="164" fontId="0" fillId="5" borderId="28" xfId="0" applyNumberFormat="1" applyFill="1" applyBorder="1"/>
    <xf numFmtId="1" fontId="0" fillId="5" borderId="28" xfId="0" applyNumberFormat="1" applyFill="1" applyBorder="1" applyAlignment="1">
      <alignment horizontal="center"/>
    </xf>
    <xf numFmtId="1" fontId="0" fillId="5" borderId="27" xfId="0" applyNumberFormat="1" applyFill="1" applyBorder="1" applyAlignment="1">
      <alignment horizontal="center"/>
    </xf>
    <xf numFmtId="0" fontId="2" fillId="3" borderId="1" xfId="2">
      <alignment horizontal="center" vertical="center"/>
    </xf>
    <xf numFmtId="171" fontId="3" fillId="4" borderId="1" xfId="3" applyNumberFormat="1">
      <alignment horizontal="center"/>
    </xf>
    <xf numFmtId="0" fontId="0" fillId="0" borderId="0" xfId="4" applyFont="1" applyAlignment="1">
      <alignment wrapText="1"/>
    </xf>
    <xf numFmtId="0" fontId="0" fillId="0" borderId="0" xfId="4" applyFont="1"/>
    <xf numFmtId="0" fontId="0" fillId="0" borderId="0" xfId="4" applyFont="1" applyAlignment="1">
      <alignment horizontal="center" vertical="center"/>
    </xf>
    <xf numFmtId="0" fontId="11" fillId="10" borderId="31" xfId="2" applyFont="1" applyFill="1" applyBorder="1" applyProtection="1">
      <alignment horizontal="center" vertical="center"/>
      <protection hidden="1"/>
    </xf>
    <xf numFmtId="164" fontId="2" fillId="3" borderId="1" xfId="2" applyNumberFormat="1">
      <alignment horizontal="center" vertical="center"/>
    </xf>
    <xf numFmtId="2" fontId="3" fillId="4" borderId="1" xfId="3">
      <alignment horizontal="center"/>
    </xf>
    <xf numFmtId="3" fontId="0" fillId="7" borderId="6" xfId="0" applyNumberFormat="1" applyFill="1" applyBorder="1" applyAlignment="1">
      <alignment horizontal="center"/>
    </xf>
    <xf numFmtId="3" fontId="0" fillId="0" borderId="5" xfId="0" applyNumberFormat="1" applyBorder="1" applyAlignment="1">
      <alignment horizontal="center"/>
    </xf>
    <xf numFmtId="3" fontId="0" fillId="0" borderId="10" xfId="0" applyNumberFormat="1" applyBorder="1" applyAlignment="1">
      <alignment horizontal="center"/>
    </xf>
    <xf numFmtId="2" fontId="0" fillId="0" borderId="10" xfId="0" applyNumberFormat="1" applyBorder="1" applyAlignment="1">
      <alignment horizontal="center"/>
    </xf>
    <xf numFmtId="2" fontId="0" fillId="0" borderId="5" xfId="0" applyNumberFormat="1" applyBorder="1" applyAlignment="1">
      <alignment horizontal="center"/>
    </xf>
    <xf numFmtId="2" fontId="0" fillId="7" borderId="6" xfId="0" applyNumberFormat="1" applyFill="1" applyBorder="1" applyAlignment="1">
      <alignment horizontal="center"/>
    </xf>
    <xf numFmtId="0" fontId="36" fillId="11" borderId="34" xfId="0" applyFont="1" applyFill="1" applyBorder="1" applyAlignment="1">
      <alignment horizontal="center"/>
    </xf>
    <xf numFmtId="0" fontId="36" fillId="11" borderId="35" xfId="0" applyFont="1" applyFill="1" applyBorder="1" applyAlignment="1">
      <alignment horizontal="center"/>
    </xf>
    <xf numFmtId="0" fontId="35" fillId="0" borderId="33" xfId="0" applyFont="1" applyBorder="1" applyAlignment="1">
      <alignment horizontal="center"/>
    </xf>
    <xf numFmtId="0" fontId="5" fillId="0" borderId="36" xfId="0" applyFont="1" applyBorder="1"/>
    <xf numFmtId="0" fontId="5" fillId="0" borderId="36" xfId="0" applyFont="1" applyBorder="1" applyAlignment="1">
      <alignment horizontal="center"/>
    </xf>
    <xf numFmtId="0" fontId="26" fillId="0" borderId="0" xfId="5" applyAlignment="1">
      <alignment horizontal="left" vertical="center" wrapText="1"/>
    </xf>
    <xf numFmtId="0" fontId="0" fillId="0" borderId="0" xfId="0" applyAlignment="1">
      <alignment horizontal="center" vertical="center" wrapText="1"/>
    </xf>
    <xf numFmtId="0" fontId="5" fillId="0" borderId="10" xfId="0" applyFont="1" applyBorder="1"/>
    <xf numFmtId="3" fontId="0" fillId="0" borderId="37" xfId="0" applyNumberFormat="1" applyBorder="1"/>
    <xf numFmtId="0" fontId="7" fillId="5" borderId="4" xfId="0" applyFont="1" applyFill="1" applyBorder="1" applyAlignment="1">
      <alignment horizontal="center"/>
    </xf>
    <xf numFmtId="0" fontId="5" fillId="6" borderId="2" xfId="0" applyFont="1" applyFill="1" applyBorder="1" applyAlignment="1">
      <alignment horizontal="center"/>
    </xf>
    <xf numFmtId="0" fontId="5" fillId="6" borderId="13" xfId="0" applyFont="1" applyFill="1" applyBorder="1" applyAlignment="1">
      <alignment horizontal="center"/>
    </xf>
    <xf numFmtId="0" fontId="5" fillId="6" borderId="14" xfId="0" applyFont="1" applyFill="1" applyBorder="1" applyAlignment="1">
      <alignment horizontal="center"/>
    </xf>
    <xf numFmtId="0" fontId="0" fillId="6" borderId="13" xfId="0" applyFill="1" applyBorder="1" applyAlignment="1">
      <alignment horizontal="center"/>
    </xf>
    <xf numFmtId="0" fontId="0" fillId="6" borderId="2" xfId="0" applyFill="1" applyBorder="1" applyAlignment="1">
      <alignment horizontal="center"/>
    </xf>
    <xf numFmtId="0" fontId="0" fillId="6" borderId="14" xfId="0" applyFill="1" applyBorder="1" applyAlignment="1">
      <alignment horizontal="center"/>
    </xf>
    <xf numFmtId="0" fontId="0" fillId="6" borderId="15" xfId="0" applyFill="1" applyBorder="1" applyAlignment="1">
      <alignment horizontal="center"/>
    </xf>
    <xf numFmtId="0" fontId="0" fillId="6" borderId="15" xfId="0" applyFill="1" applyBorder="1"/>
    <xf numFmtId="0" fontId="5" fillId="6" borderId="40" xfId="0" applyFont="1" applyFill="1" applyBorder="1" applyAlignment="1">
      <alignment horizontal="center"/>
    </xf>
    <xf numFmtId="0" fontId="5" fillId="6" borderId="42" xfId="0" applyFont="1" applyFill="1" applyBorder="1" applyAlignment="1">
      <alignment horizontal="center"/>
    </xf>
    <xf numFmtId="0" fontId="5" fillId="6" borderId="39" xfId="0" applyFont="1" applyFill="1" applyBorder="1" applyAlignment="1">
      <alignment horizontal="left" indent="1"/>
    </xf>
    <xf numFmtId="0" fontId="5" fillId="6" borderId="41" xfId="0" applyFont="1" applyFill="1" applyBorder="1" applyAlignment="1">
      <alignment horizontal="left" indent="1"/>
    </xf>
    <xf numFmtId="0" fontId="5" fillId="6" borderId="38" xfId="0" applyFont="1" applyFill="1" applyBorder="1" applyAlignment="1">
      <alignment horizontal="center"/>
    </xf>
    <xf numFmtId="0" fontId="0" fillId="6" borderId="12" xfId="0" applyFill="1" applyBorder="1"/>
    <xf numFmtId="0" fontId="0" fillId="6" borderId="9" xfId="0" applyFill="1" applyBorder="1"/>
    <xf numFmtId="0" fontId="0" fillId="0" borderId="43" xfId="0" applyBorder="1"/>
    <xf numFmtId="0" fontId="0" fillId="0" borderId="44" xfId="0" applyBorder="1"/>
    <xf numFmtId="0" fontId="0" fillId="0" borderId="44" xfId="0" applyBorder="1" applyAlignment="1">
      <alignment horizontal="right"/>
    </xf>
    <xf numFmtId="0" fontId="0" fillId="0" borderId="45" xfId="0" applyBorder="1" applyAlignment="1">
      <alignment horizontal="right"/>
    </xf>
    <xf numFmtId="0" fontId="0" fillId="0" borderId="46" xfId="0" applyBorder="1"/>
    <xf numFmtId="0" fontId="0" fillId="0" borderId="47" xfId="0" applyBorder="1"/>
    <xf numFmtId="0" fontId="0" fillId="0" borderId="48" xfId="0" applyBorder="1"/>
    <xf numFmtId="0" fontId="0" fillId="0" borderId="47" xfId="0" applyBorder="1" applyAlignment="1">
      <alignment horizontal="right"/>
    </xf>
    <xf numFmtId="0" fontId="0" fillId="0" borderId="48" xfId="0" applyBorder="1" applyAlignment="1">
      <alignment horizontal="right"/>
    </xf>
    <xf numFmtId="0" fontId="0" fillId="0" borderId="49" xfId="0" applyBorder="1"/>
    <xf numFmtId="0" fontId="0" fillId="0" borderId="50" xfId="0" applyBorder="1"/>
    <xf numFmtId="0" fontId="0" fillId="0" borderId="51" xfId="0" applyBorder="1"/>
    <xf numFmtId="0" fontId="25" fillId="0" borderId="22" xfId="2" applyFont="1" applyFill="1" applyBorder="1" applyProtection="1">
      <alignment horizontal="center" vertical="center"/>
      <protection hidden="1"/>
    </xf>
    <xf numFmtId="165" fontId="3" fillId="4" borderId="22" xfId="3" applyNumberFormat="1" applyBorder="1" applyProtection="1">
      <alignment horizontal="center"/>
      <protection locked="0" hidden="1"/>
    </xf>
    <xf numFmtId="164" fontId="0" fillId="5" borderId="4" xfId="0" applyNumberFormat="1" applyFill="1" applyBorder="1" applyAlignment="1">
      <alignment horizontal="center"/>
    </xf>
    <xf numFmtId="164" fontId="0" fillId="5" borderId="3" xfId="0" applyNumberFormat="1" applyFill="1" applyBorder="1" applyAlignment="1">
      <alignment horizontal="center"/>
    </xf>
    <xf numFmtId="169" fontId="27" fillId="5" borderId="2" xfId="0" applyNumberFormat="1" applyFont="1" applyFill="1" applyBorder="1" applyAlignment="1">
      <alignment horizontal="center"/>
    </xf>
    <xf numFmtId="0" fontId="34" fillId="6" borderId="4" xfId="0" applyFont="1" applyFill="1" applyBorder="1"/>
    <xf numFmtId="0" fontId="34" fillId="0" borderId="3" xfId="0" applyFont="1" applyBorder="1"/>
    <xf numFmtId="0" fontId="34" fillId="6" borderId="7" xfId="0" applyFont="1" applyFill="1" applyBorder="1"/>
    <xf numFmtId="0" fontId="34" fillId="0" borderId="37" xfId="0" applyFont="1" applyBorder="1"/>
    <xf numFmtId="0" fontId="7" fillId="0" borderId="10" xfId="0" applyFont="1" applyBorder="1"/>
    <xf numFmtId="0" fontId="7" fillId="0" borderId="15" xfId="0" applyFont="1" applyBorder="1"/>
    <xf numFmtId="0" fontId="8" fillId="5" borderId="3" xfId="0" applyFont="1" applyFill="1" applyBorder="1" applyAlignment="1">
      <alignment horizontal="center"/>
    </xf>
    <xf numFmtId="0" fontId="8" fillId="5" borderId="2" xfId="0" applyFont="1" applyFill="1" applyBorder="1" applyAlignment="1">
      <alignment horizontal="center"/>
    </xf>
    <xf numFmtId="0" fontId="5" fillId="5" borderId="4" xfId="0" applyFont="1" applyFill="1" applyBorder="1" applyAlignment="1">
      <alignment horizontal="center"/>
    </xf>
    <xf numFmtId="0" fontId="5" fillId="5" borderId="2" xfId="0" applyFont="1" applyFill="1" applyBorder="1" applyAlignment="1">
      <alignment horizontal="center"/>
    </xf>
    <xf numFmtId="0" fontId="0" fillId="0" borderId="0" xfId="0"/>
    <xf numFmtId="0" fontId="5" fillId="5" borderId="0" xfId="0" applyFont="1" applyFill="1" applyAlignment="1">
      <alignment horizontal="center"/>
    </xf>
    <xf numFmtId="0" fontId="33" fillId="12" borderId="2" xfId="0" applyFont="1" applyFill="1" applyBorder="1" applyAlignment="1">
      <alignment horizontal="center"/>
    </xf>
    <xf numFmtId="0" fontId="5" fillId="0" borderId="2" xfId="0" applyFont="1" applyBorder="1" applyAlignment="1">
      <alignment horizontal="center"/>
    </xf>
    <xf numFmtId="0" fontId="7" fillId="5" borderId="2" xfId="0" applyFont="1" applyFill="1" applyBorder="1" applyAlignment="1">
      <alignment horizontal="center"/>
    </xf>
    <xf numFmtId="0" fontId="5" fillId="0" borderId="4" xfId="0" applyFont="1" applyBorder="1" applyAlignment="1">
      <alignment horizontal="center"/>
    </xf>
    <xf numFmtId="0" fontId="5" fillId="0" borderId="3" xfId="0" applyFont="1" applyBorder="1" applyAlignment="1">
      <alignment horizontal="center"/>
    </xf>
    <xf numFmtId="0" fontId="27" fillId="5" borderId="2" xfId="0" applyFont="1" applyFill="1" applyBorder="1" applyAlignment="1">
      <alignment horizontal="center"/>
    </xf>
    <xf numFmtId="0" fontId="5" fillId="6" borderId="2" xfId="0" applyFont="1" applyFill="1" applyBorder="1" applyAlignment="1">
      <alignment horizontal="center"/>
    </xf>
    <xf numFmtId="0" fontId="5" fillId="6" borderId="4" xfId="0" applyFont="1" applyFill="1" applyBorder="1" applyAlignment="1">
      <alignment horizontal="center"/>
    </xf>
    <xf numFmtId="0" fontId="5" fillId="6" borderId="2" xfId="0" quotePrefix="1" applyFont="1" applyFill="1" applyBorder="1" applyAlignment="1">
      <alignment horizontal="center"/>
    </xf>
    <xf numFmtId="0" fontId="1" fillId="0" borderId="1" xfId="1" applyFill="1" applyProtection="1">
      <alignment horizontal="center"/>
      <protection hidden="1"/>
    </xf>
    <xf numFmtId="0" fontId="11" fillId="10" borderId="1" xfId="2" applyFont="1" applyFill="1" applyAlignment="1" applyProtection="1">
      <alignment horizontal="center" vertical="center" wrapText="1"/>
      <protection hidden="1"/>
    </xf>
    <xf numFmtId="0" fontId="2" fillId="3" borderId="1" xfId="2">
      <alignment horizontal="center" vertical="center"/>
    </xf>
    <xf numFmtId="0" fontId="2" fillId="3" borderId="29" xfId="2" applyBorder="1">
      <alignment horizontal="center" vertical="center"/>
    </xf>
    <xf numFmtId="0" fontId="0" fillId="0" borderId="30" xfId="0" applyBorder="1" applyAlignment="1">
      <alignment horizontal="center" vertical="center"/>
    </xf>
    <xf numFmtId="167" fontId="1" fillId="2" borderId="29" xfId="1" applyNumberFormat="1" applyBorder="1">
      <alignment horizontal="center"/>
    </xf>
    <xf numFmtId="0" fontId="0" fillId="0" borderId="32" xfId="0" applyBorder="1" applyAlignment="1">
      <alignment horizontal="center"/>
    </xf>
    <xf numFmtId="0" fontId="0" fillId="0" borderId="30" xfId="0" applyBorder="1" applyAlignment="1">
      <alignment horizontal="center"/>
    </xf>
  </cellXfs>
  <cellStyles count="8">
    <cellStyle name="DL_H1" xfId="1" xr:uid="{00000000-0005-0000-0000-000000000000}"/>
    <cellStyle name="DL_H2" xfId="2" xr:uid="{00000000-0005-0000-0000-000001000000}"/>
    <cellStyle name="DL_H4" xfId="3" xr:uid="{00000000-0005-0000-0000-000002000000}"/>
    <cellStyle name="Excel Built-in Normal" xfId="4" xr:uid="{00000000-0005-0000-0000-000003000000}"/>
    <cellStyle name="Lien hypertexte" xfId="5" builtinId="8"/>
    <cellStyle name="Normal" xfId="0" builtinId="0"/>
    <cellStyle name="Normal_GPRO" xfId="6" xr:uid="{00000000-0005-0000-0000-000006000000}"/>
    <cellStyle name="Pourcentage" xfId="7" builtinId="5"/>
  </cellStyles>
  <dxfs count="5">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left" vertical="center" textRotation="0" wrapText="1" indent="0" justifyLastLine="0" shrinkToFit="0" readingOrder="0"/>
    </dxf>
    <dxf>
      <alignment horizontal="center" vertical="center" textRotation="0" wrapText="1"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E6E6E6"/>
      <rgbColor rgb="00CCFFFF"/>
      <rgbColor rgb="00660066"/>
      <rgbColor rgb="00FF8080"/>
      <rgbColor rgb="000066CC"/>
      <rgbColor rgb="00CCCCCC"/>
      <rgbColor rgb="00000080"/>
      <rgbColor rgb="00FF00FF"/>
      <rgbColor rgb="00FFFF00"/>
      <rgbColor rgb="0000FFFF"/>
      <rgbColor rgb="00800080"/>
      <rgbColor rgb="00C00000"/>
      <rgbColor rgb="00008080"/>
      <rgbColor rgb="000000FF"/>
      <rgbColor rgb="0000CCFF"/>
      <rgbColor rgb="00CCFFFF"/>
      <rgbColor rgb="00CCFFCC"/>
      <rgbColor rgb="00FFFF66"/>
      <rgbColor rgb="0099CCFF"/>
      <rgbColor rgb="00FF99CC"/>
      <rgbColor rgb="00CC99FF"/>
      <rgbColor rgb="00E6B9B8"/>
      <rgbColor rgb="003366FF"/>
      <rgbColor rgb="0033CCCC"/>
      <rgbColor rgb="0099CC00"/>
      <rgbColor rgb="00FFCC00"/>
      <rgbColor rgb="00FF9900"/>
      <rgbColor rgb="00FF6600"/>
      <rgbColor rgb="00666699"/>
      <rgbColor rgb="00969696"/>
      <rgbColor rgb="00003366"/>
      <rgbColor rgb="0000B050"/>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z&#233;ros/FichierSaison72j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églages"/>
      <sheetName val="Fuel_Raw_Data"/>
      <sheetName val="Essais Q1"/>
      <sheetName val="Niveau Voiture"/>
      <sheetName val="Estimation usures"/>
      <sheetName val="Essais Circuits"/>
      <sheetName val="Calculs_voiture_v2"/>
      <sheetName val="Calculs_pneus"/>
      <sheetName val="Balance"/>
      <sheetName val="Entrainement"/>
      <sheetName val="Finances"/>
      <sheetName val="Prévisions"/>
      <sheetName val="Calculs_voiture"/>
      <sheetName val="Calculs_essence"/>
      <sheetName val="Strat_calc"/>
      <sheetName val="Usures de base"/>
      <sheetName val="Rapport sur la compatibilité"/>
    </sheetNames>
    <sheetDataSet>
      <sheetData sheetId="0"/>
      <sheetData sheetId="1">
        <row r="64">
          <cell r="AI64">
            <v>65.337806779999994</v>
          </cell>
        </row>
        <row r="65">
          <cell r="AI65">
            <v>-0.28311636500000004</v>
          </cell>
        </row>
        <row r="66">
          <cell r="AI66">
            <v>-0.27759661900000004</v>
          </cell>
        </row>
        <row r="67">
          <cell r="AI67">
            <v>1.6262563000000001E-2</v>
          </cell>
        </row>
        <row r="68">
          <cell r="AI68">
            <v>-4.4713100000000003E-4</v>
          </cell>
        </row>
        <row r="69">
          <cell r="AI69">
            <v>2.0226307449999998</v>
          </cell>
        </row>
        <row r="70">
          <cell r="AI70">
            <v>-0.35339979500000002</v>
          </cell>
        </row>
        <row r="71">
          <cell r="AI71">
            <v>-0.281445538</v>
          </cell>
        </row>
        <row r="72">
          <cell r="AI72">
            <v>2.2387817000000001E-2</v>
          </cell>
        </row>
        <row r="73">
          <cell r="AI73">
            <v>-0.28312775300000004</v>
          </cell>
        </row>
        <row r="74">
          <cell r="AI74">
            <v>5.4410350190000001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12F2955-F571-477B-95BE-BA769ED9F530}" name="Tableau1" displayName="Tableau1" ref="DV15:DY77" totalsRowShown="0" dataDxfId="4">
  <autoFilter ref="DV15:DY77" xr:uid="{D4757A35-41E6-4410-A900-440CF752D52D}"/>
  <tableColumns count="4">
    <tableColumn id="1" xr3:uid="{8420F1A3-CB3D-4EBC-B535-F0B1A5BB8D2E}" name="circuit" dataDxfId="3" dataCellStyle="Lien hypertexte"/>
    <tableColumn id="2" xr3:uid="{79970CFC-5E2B-4A5E-8D18-6222A11FD3A7}" name="dépasst" dataDxfId="2"/>
    <tableColumn id="3" xr3:uid="{A984B6BB-131C-4B31-A986-F523BBC42463}" name="dépassement" dataDxfId="1"/>
    <tableColumn id="4" xr3:uid="{9AFBC988-B57E-4116-B4B6-F83E9D941CFE}" name="courses" dataDxfId="0"/>
  </tableColumns>
  <tableStyleInfo name="TableStyleLight9" showFirstColumn="0" showLastColumn="0" showRowStripes="1" showColumnStripes="0"/>
</table>
</file>

<file path=xl/theme/theme1.xml><?xml version="1.0" encoding="utf-8"?>
<a:theme xmlns:a="http://schemas.openxmlformats.org/drawingml/2006/main" name="Thème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gpro.net/fr/TrackOtStats.asp?id=25" TargetMode="External"/><Relationship Id="rId18" Type="http://schemas.openxmlformats.org/officeDocument/2006/relationships/hyperlink" Target="https://gpro.net/fr/TrackOtStats.asp?id=48" TargetMode="External"/><Relationship Id="rId26" Type="http://schemas.openxmlformats.org/officeDocument/2006/relationships/hyperlink" Target="https://gpro.net/fr/TrackOtStats.asp?id=18" TargetMode="External"/><Relationship Id="rId39" Type="http://schemas.openxmlformats.org/officeDocument/2006/relationships/hyperlink" Target="https://gpro.net/fr/TrackOtStats.asp?id=19" TargetMode="External"/><Relationship Id="rId21" Type="http://schemas.openxmlformats.org/officeDocument/2006/relationships/hyperlink" Target="https://gpro.net/fr/TrackOtStats.asp?id=44" TargetMode="External"/><Relationship Id="rId34" Type="http://schemas.openxmlformats.org/officeDocument/2006/relationships/hyperlink" Target="https://gpro.net/fr/TrackOtStats.asp?id=40" TargetMode="External"/><Relationship Id="rId42" Type="http://schemas.openxmlformats.org/officeDocument/2006/relationships/hyperlink" Target="https://gpro.net/fr/TrackOtStats.asp?id=32" TargetMode="External"/><Relationship Id="rId47" Type="http://schemas.openxmlformats.org/officeDocument/2006/relationships/hyperlink" Target="https://gpro.net/fr/TrackOtStats.asp?id=3" TargetMode="External"/><Relationship Id="rId50" Type="http://schemas.openxmlformats.org/officeDocument/2006/relationships/hyperlink" Target="https://gpro.net/fr/TrackOtStats.asp?id=39" TargetMode="External"/><Relationship Id="rId55" Type="http://schemas.openxmlformats.org/officeDocument/2006/relationships/hyperlink" Target="https://gpro.net/fr/TrackOtStats.asp?id=2" TargetMode="External"/><Relationship Id="rId63" Type="http://schemas.openxmlformats.org/officeDocument/2006/relationships/table" Target="../tables/table1.xml"/><Relationship Id="rId7" Type="http://schemas.openxmlformats.org/officeDocument/2006/relationships/hyperlink" Target="https://gpro.net/fr/TrackOtStats.asp?id=58" TargetMode="External"/><Relationship Id="rId2" Type="http://schemas.openxmlformats.org/officeDocument/2006/relationships/hyperlink" Target="https://gpro.net/fr/TrackOtStats.asp?id=46" TargetMode="External"/><Relationship Id="rId16" Type="http://schemas.openxmlformats.org/officeDocument/2006/relationships/hyperlink" Target="https://gpro.net/fr/TrackOtStats.asp?id=12" TargetMode="External"/><Relationship Id="rId29" Type="http://schemas.openxmlformats.org/officeDocument/2006/relationships/hyperlink" Target="https://gpro.net/fr/TrackOtStats.asp?id=1" TargetMode="External"/><Relationship Id="rId11" Type="http://schemas.openxmlformats.org/officeDocument/2006/relationships/hyperlink" Target="https://gpro.net/fr/TrackOtStats.asp?id=16" TargetMode="External"/><Relationship Id="rId24" Type="http://schemas.openxmlformats.org/officeDocument/2006/relationships/hyperlink" Target="https://gpro.net/fr/TrackOtStats.asp?id=29" TargetMode="External"/><Relationship Id="rId32" Type="http://schemas.openxmlformats.org/officeDocument/2006/relationships/hyperlink" Target="https://gpro.net/fr/TrackOtStats.asp?id=17" TargetMode="External"/><Relationship Id="rId37" Type="http://schemas.openxmlformats.org/officeDocument/2006/relationships/hyperlink" Target="https://gpro.net/fr/TrackOtStats.asp?id=38" TargetMode="External"/><Relationship Id="rId40" Type="http://schemas.openxmlformats.org/officeDocument/2006/relationships/hyperlink" Target="https://gpro.net/fr/TrackOtStats.asp?id=26" TargetMode="External"/><Relationship Id="rId45" Type="http://schemas.openxmlformats.org/officeDocument/2006/relationships/hyperlink" Target="https://gpro.net/fr/TrackOtStats.asp?id=34" TargetMode="External"/><Relationship Id="rId53" Type="http://schemas.openxmlformats.org/officeDocument/2006/relationships/hyperlink" Target="https://gpro.net/fr/TrackOtStats.asp?id=7" TargetMode="External"/><Relationship Id="rId58" Type="http://schemas.openxmlformats.org/officeDocument/2006/relationships/hyperlink" Target="https://gpro.net/fr/TrackOtStats.asp?id=30" TargetMode="External"/><Relationship Id="rId5" Type="http://schemas.openxmlformats.org/officeDocument/2006/relationships/hyperlink" Target="https://gpro.net/fr/TrackOtStats.asp?id=24" TargetMode="External"/><Relationship Id="rId61" Type="http://schemas.openxmlformats.org/officeDocument/2006/relationships/hyperlink" Target="https://gpro.net/fr/TrackOtStats.asp?id=46" TargetMode="External"/><Relationship Id="rId19" Type="http://schemas.openxmlformats.org/officeDocument/2006/relationships/hyperlink" Target="https://gpro.net/fr/TrackOtStats.asp?id=35" TargetMode="External"/><Relationship Id="rId14" Type="http://schemas.openxmlformats.org/officeDocument/2006/relationships/hyperlink" Target="https://gpro.net/fr/TrackOtStats.asp?id=33" TargetMode="External"/><Relationship Id="rId22" Type="http://schemas.openxmlformats.org/officeDocument/2006/relationships/hyperlink" Target="https://gpro.net/fr/TrackOtStats.asp?id=15" TargetMode="External"/><Relationship Id="rId27" Type="http://schemas.openxmlformats.org/officeDocument/2006/relationships/hyperlink" Target="https://gpro.net/fr/TrackOtStats.asp?id=6" TargetMode="External"/><Relationship Id="rId30" Type="http://schemas.openxmlformats.org/officeDocument/2006/relationships/hyperlink" Target="https://gpro.net/fr/TrackOtStats.asp?id=21" TargetMode="External"/><Relationship Id="rId35" Type="http://schemas.openxmlformats.org/officeDocument/2006/relationships/hyperlink" Target="https://gpro.net/fr/TrackOtStats.asp?id=31" TargetMode="External"/><Relationship Id="rId43" Type="http://schemas.openxmlformats.org/officeDocument/2006/relationships/hyperlink" Target="https://gpro.net/fr/TrackOtStats.asp?id=47" TargetMode="External"/><Relationship Id="rId48" Type="http://schemas.openxmlformats.org/officeDocument/2006/relationships/hyperlink" Target="https://gpro.net/fr/TrackOtStats.asp?id=59" TargetMode="External"/><Relationship Id="rId56" Type="http://schemas.openxmlformats.org/officeDocument/2006/relationships/hyperlink" Target="https://gpro.net/fr/TrackOtStats.asp?id=60" TargetMode="External"/><Relationship Id="rId8" Type="http://schemas.openxmlformats.org/officeDocument/2006/relationships/hyperlink" Target="https://gpro.net/fr/TrackOtStats.asp?id=51" TargetMode="External"/><Relationship Id="rId51" Type="http://schemas.openxmlformats.org/officeDocument/2006/relationships/hyperlink" Target="https://gpro.net/fr/TrackOtStats.asp?id=5" TargetMode="External"/><Relationship Id="rId3" Type="http://schemas.openxmlformats.org/officeDocument/2006/relationships/hyperlink" Target="https://gpro.net/fr/TrackOtStats.asp?id=56" TargetMode="External"/><Relationship Id="rId12" Type="http://schemas.openxmlformats.org/officeDocument/2006/relationships/hyperlink" Target="https://gpro.net/fr/TrackOtStats.asp?id=45" TargetMode="External"/><Relationship Id="rId17" Type="http://schemas.openxmlformats.org/officeDocument/2006/relationships/hyperlink" Target="https://gpro.net/fr/TrackOtStats.asp?id=57" TargetMode="External"/><Relationship Id="rId25" Type="http://schemas.openxmlformats.org/officeDocument/2006/relationships/hyperlink" Target="https://gpro.net/fr/TrackOtStats.asp?id=36" TargetMode="External"/><Relationship Id="rId33" Type="http://schemas.openxmlformats.org/officeDocument/2006/relationships/hyperlink" Target="https://gpro.net/fr/TrackOtStats.asp?id=23" TargetMode="External"/><Relationship Id="rId38" Type="http://schemas.openxmlformats.org/officeDocument/2006/relationships/hyperlink" Target="https://gpro.net/fr/TrackOtStats.asp?id=14" TargetMode="External"/><Relationship Id="rId46" Type="http://schemas.openxmlformats.org/officeDocument/2006/relationships/hyperlink" Target="https://gpro.net/fr/TrackOtStats.asp?id=22" TargetMode="External"/><Relationship Id="rId59" Type="http://schemas.openxmlformats.org/officeDocument/2006/relationships/hyperlink" Target="https://gpro.net/fr/TrackOtStats.asp?id=53" TargetMode="External"/><Relationship Id="rId20" Type="http://schemas.openxmlformats.org/officeDocument/2006/relationships/hyperlink" Target="https://gpro.net/fr/TrackOtStats.asp?id=10" TargetMode="External"/><Relationship Id="rId41" Type="http://schemas.openxmlformats.org/officeDocument/2006/relationships/hyperlink" Target="https://gpro.net/fr/TrackOtStats.asp?id=50" TargetMode="External"/><Relationship Id="rId54" Type="http://schemas.openxmlformats.org/officeDocument/2006/relationships/hyperlink" Target="https://gpro.net/fr/TrackOtStats.asp?id=20" TargetMode="External"/><Relationship Id="rId62" Type="http://schemas.openxmlformats.org/officeDocument/2006/relationships/printerSettings" Target="../printerSettings/printerSettings2.bin"/><Relationship Id="rId1" Type="http://schemas.openxmlformats.org/officeDocument/2006/relationships/hyperlink" Target="https://gpro.net/fr/TrackOtStats.asp?id=54" TargetMode="External"/><Relationship Id="rId6" Type="http://schemas.openxmlformats.org/officeDocument/2006/relationships/hyperlink" Target="https://gpro.net/fr/TrackOtStats.asp?id=11" TargetMode="External"/><Relationship Id="rId15" Type="http://schemas.openxmlformats.org/officeDocument/2006/relationships/hyperlink" Target="https://gpro.net/fr/TrackOtStats.asp?id=43" TargetMode="External"/><Relationship Id="rId23" Type="http://schemas.openxmlformats.org/officeDocument/2006/relationships/hyperlink" Target="https://gpro.net/fr/TrackOtStats.asp?id=8" TargetMode="External"/><Relationship Id="rId28" Type="http://schemas.openxmlformats.org/officeDocument/2006/relationships/hyperlink" Target="https://gpro.net/fr/TrackOtStats.asp?id=27" TargetMode="External"/><Relationship Id="rId36" Type="http://schemas.openxmlformats.org/officeDocument/2006/relationships/hyperlink" Target="https://gpro.net/fr/TrackOtStats.asp?id=55" TargetMode="External"/><Relationship Id="rId49" Type="http://schemas.openxmlformats.org/officeDocument/2006/relationships/hyperlink" Target="https://gpro.net/fr/TrackOtStats.asp?id=13" TargetMode="External"/><Relationship Id="rId57" Type="http://schemas.openxmlformats.org/officeDocument/2006/relationships/hyperlink" Target="https://gpro.net/fr/TrackOtStats.asp?id=9" TargetMode="External"/><Relationship Id="rId10" Type="http://schemas.openxmlformats.org/officeDocument/2006/relationships/hyperlink" Target="https://gpro.net/fr/TrackOtStats.asp?id=49" TargetMode="External"/><Relationship Id="rId31" Type="http://schemas.openxmlformats.org/officeDocument/2006/relationships/hyperlink" Target="https://gpro.net/fr/TrackOtStats.asp?id=52" TargetMode="External"/><Relationship Id="rId44" Type="http://schemas.openxmlformats.org/officeDocument/2006/relationships/hyperlink" Target="https://gpro.net/fr/TrackOtStats.asp?id=28" TargetMode="External"/><Relationship Id="rId52" Type="http://schemas.openxmlformats.org/officeDocument/2006/relationships/hyperlink" Target="https://gpro.net/fr/TrackOtStats.asp?id=42" TargetMode="External"/><Relationship Id="rId60" Type="http://schemas.openxmlformats.org/officeDocument/2006/relationships/hyperlink" Target="https://gpro.net/fr/TrackOtStats.asp?id=4" TargetMode="External"/><Relationship Id="rId4" Type="http://schemas.openxmlformats.org/officeDocument/2006/relationships/hyperlink" Target="https://gpro.net/fr/TrackOtStats.asp?id=41" TargetMode="External"/><Relationship Id="rId9" Type="http://schemas.openxmlformats.org/officeDocument/2006/relationships/hyperlink" Target="https://gpro.net/fr/TrackOtStats.asp?id=3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269"/>
  <sheetViews>
    <sheetView tabSelected="1" zoomScale="94" zoomScaleNormal="94" workbookViewId="0">
      <selection activeCell="C100" sqref="C100"/>
    </sheetView>
  </sheetViews>
  <sheetFormatPr baseColWidth="10" defaultColWidth="11.5546875" defaultRowHeight="13.2" outlineLevelRow="1"/>
  <cols>
    <col min="1" max="1" width="17.109375" customWidth="1"/>
    <col min="2" max="2" width="12.33203125" customWidth="1"/>
    <col min="3" max="3" width="15" customWidth="1"/>
    <col min="4" max="4" width="9.6640625" customWidth="1"/>
    <col min="6" max="36" width="9.6640625" customWidth="1"/>
    <col min="37" max="37" width="10" customWidth="1"/>
    <col min="38" max="38" width="16" customWidth="1"/>
  </cols>
  <sheetData>
    <row r="1" spans="1:69" s="4" customFormat="1" ht="29.1" customHeight="1" thickBot="1">
      <c r="A1" s="1" t="s">
        <v>0</v>
      </c>
      <c r="B1" s="113" t="s">
        <v>1012</v>
      </c>
      <c r="C1" s="2" t="s">
        <v>2</v>
      </c>
      <c r="D1" s="207" t="s">
        <v>3</v>
      </c>
      <c r="E1" s="205"/>
      <c r="F1" s="207" t="s">
        <v>4</v>
      </c>
      <c r="G1" s="205"/>
      <c r="H1" s="205" t="s">
        <v>5</v>
      </c>
      <c r="I1" s="205"/>
      <c r="J1" s="206" t="s">
        <v>6</v>
      </c>
      <c r="K1" s="206"/>
      <c r="L1" s="205" t="s">
        <v>7</v>
      </c>
      <c r="M1" s="205"/>
      <c r="N1" s="206" t="s">
        <v>8</v>
      </c>
      <c r="O1" s="206"/>
      <c r="P1" s="205" t="s">
        <v>9</v>
      </c>
      <c r="Q1" s="205"/>
      <c r="R1" s="206" t="s">
        <v>10</v>
      </c>
      <c r="S1" s="206"/>
      <c r="T1" s="205" t="s">
        <v>11</v>
      </c>
      <c r="U1" s="205"/>
      <c r="V1" s="206" t="s">
        <v>12</v>
      </c>
      <c r="W1" s="206"/>
      <c r="X1" s="206" t="s">
        <v>13</v>
      </c>
      <c r="Y1" s="206"/>
      <c r="Z1" s="206" t="s">
        <v>14</v>
      </c>
      <c r="AA1" s="206"/>
      <c r="AB1" s="205" t="s">
        <v>15</v>
      </c>
      <c r="AC1" s="205"/>
      <c r="AD1" s="206" t="s">
        <v>16</v>
      </c>
      <c r="AE1" s="206"/>
      <c r="AF1" s="205" t="s">
        <v>17</v>
      </c>
      <c r="AG1" s="205"/>
      <c r="AH1" s="206" t="s">
        <v>18</v>
      </c>
      <c r="AI1" s="206"/>
      <c r="AJ1" s="205" t="s">
        <v>19</v>
      </c>
      <c r="AK1" s="205"/>
      <c r="AL1" s="3" t="str">
        <f>C1</f>
        <v>GP N° :</v>
      </c>
    </row>
    <row r="2" spans="1:69" s="4" customFormat="1" ht="18" thickBot="1">
      <c r="A2" s="120" t="s">
        <v>136</v>
      </c>
      <c r="B2" s="5" t="s">
        <v>1</v>
      </c>
      <c r="C2" s="2" t="s">
        <v>20</v>
      </c>
      <c r="D2" s="204">
        <v>0</v>
      </c>
      <c r="E2" s="204"/>
      <c r="F2" s="204">
        <f>D2</f>
        <v>0</v>
      </c>
      <c r="G2" s="204"/>
      <c r="H2" s="204">
        <f>F2</f>
        <v>0</v>
      </c>
      <c r="I2" s="204"/>
      <c r="J2" s="204">
        <v>20</v>
      </c>
      <c r="K2" s="204"/>
      <c r="L2" s="204">
        <f>J2</f>
        <v>20</v>
      </c>
      <c r="M2" s="204"/>
      <c r="N2" s="204">
        <f>L2</f>
        <v>20</v>
      </c>
      <c r="O2" s="204"/>
      <c r="P2" s="204">
        <v>25</v>
      </c>
      <c r="Q2" s="204"/>
      <c r="R2" s="204">
        <f>P2</f>
        <v>25</v>
      </c>
      <c r="S2" s="204"/>
      <c r="T2" s="204">
        <f>R2</f>
        <v>25</v>
      </c>
      <c r="U2" s="204"/>
      <c r="V2" s="204">
        <f>T2</f>
        <v>25</v>
      </c>
      <c r="W2" s="204"/>
      <c r="X2" s="204">
        <f>V2</f>
        <v>25</v>
      </c>
      <c r="Y2" s="204"/>
      <c r="Z2" s="204">
        <f>X2</f>
        <v>25</v>
      </c>
      <c r="AA2" s="204"/>
      <c r="AB2" s="204">
        <f>Z2</f>
        <v>25</v>
      </c>
      <c r="AC2" s="204"/>
      <c r="AD2" s="204">
        <f>AB2</f>
        <v>25</v>
      </c>
      <c r="AE2" s="204"/>
      <c r="AF2" s="204">
        <f>AD2</f>
        <v>25</v>
      </c>
      <c r="AG2" s="204"/>
      <c r="AH2" s="204">
        <f>AF2</f>
        <v>25</v>
      </c>
      <c r="AI2" s="204"/>
      <c r="AJ2" s="204">
        <v>0</v>
      </c>
      <c r="AK2" s="204"/>
      <c r="AL2" s="3" t="str">
        <f t="shared" ref="AL2:AL10" si="0">C2</f>
        <v>risques</v>
      </c>
      <c r="AM2">
        <f>SUM(D2:AK2)/17</f>
        <v>18.235294117647058</v>
      </c>
      <c r="AN2" t="s">
        <v>1</v>
      </c>
      <c r="AO2" t="s">
        <v>21</v>
      </c>
      <c r="AP2" t="s">
        <v>1</v>
      </c>
      <c r="AQ2"/>
      <c r="AR2" t="s">
        <v>1</v>
      </c>
      <c r="AS2"/>
      <c r="AT2"/>
      <c r="AU2"/>
      <c r="AV2"/>
      <c r="AW2"/>
      <c r="AX2"/>
      <c r="AY2"/>
      <c r="AZ2"/>
      <c r="BA2"/>
      <c r="BB2"/>
      <c r="BC2"/>
      <c r="BD2"/>
      <c r="BE2"/>
      <c r="BF2"/>
      <c r="BG2"/>
      <c r="BH2"/>
      <c r="BI2"/>
      <c r="BJ2"/>
      <c r="BK2"/>
      <c r="BL2"/>
      <c r="BM2"/>
      <c r="BN2"/>
      <c r="BO2"/>
      <c r="BP2"/>
      <c r="BQ2"/>
    </row>
    <row r="3" spans="1:69" s="4" customFormat="1" ht="17.399999999999999">
      <c r="A3"/>
      <c r="B3" s="5"/>
      <c r="C3" s="2" t="s">
        <v>987</v>
      </c>
      <c r="D3" s="204" t="str">
        <f>VLOOKUP(D91,données!$EA$16:$ED$75,3,0)</f>
        <v>1.8808</v>
      </c>
      <c r="E3" s="204"/>
      <c r="F3" s="204" t="str">
        <f>VLOOKUP(F91,données!$EA$16:$ED$75,3,0)</f>
        <v>2.5696</v>
      </c>
      <c r="G3" s="204"/>
      <c r="H3" s="204" t="str">
        <f>VLOOKUP(H91,données!$EA$16:$ED$75,3,0)</f>
        <v>2.5708</v>
      </c>
      <c r="I3" s="204"/>
      <c r="J3" s="204" t="str">
        <f>VLOOKUP(J91,données!$EA$16:$ED$75,3,0)</f>
        <v>3.2511</v>
      </c>
      <c r="K3" s="204"/>
      <c r="L3" s="204" t="e">
        <f>VLOOKUP(L91,données!$EA$16:$ED$75,3,0)</f>
        <v>#N/A</v>
      </c>
      <c r="M3" s="204"/>
      <c r="N3" s="204" t="str">
        <f>VLOOKUP(N91,données!$EA$16:$ED$75,3,0)</f>
        <v>1.0865</v>
      </c>
      <c r="O3" s="204"/>
      <c r="P3" s="204" t="str">
        <f>VLOOKUP(P91,données!$EA$16:$ED$75,3,0)</f>
        <v>2.0997</v>
      </c>
      <c r="Q3" s="204"/>
      <c r="R3" s="204" t="str">
        <f>VLOOKUP(R91,données!$EA$16:$ED$75,3,0)</f>
        <v>1.2695</v>
      </c>
      <c r="S3" s="204"/>
      <c r="T3" s="204" t="str">
        <f>VLOOKUP(T91,données!$EA$16:$ED$75,3,0)</f>
        <v>1.6369</v>
      </c>
      <c r="U3" s="204"/>
      <c r="V3" s="204" t="str">
        <f>VLOOKUP(V91,données!$EA$16:$ED$75,3,0)</f>
        <v>1.5498</v>
      </c>
      <c r="W3" s="204"/>
      <c r="X3" s="204" t="str">
        <f>VLOOKUP(X91,données!$EA$16:$ED$75,3,0)</f>
        <v>2.5485</v>
      </c>
      <c r="Y3" s="204"/>
      <c r="Z3" s="204" t="str">
        <f>VLOOKUP(Z91,données!$EA$16:$ED$75,3,0)</f>
        <v>1.9411</v>
      </c>
      <c r="AA3" s="204"/>
      <c r="AB3" s="204" t="str">
        <f>VLOOKUP(AB91,données!$EA$16:$ED$75,3,0)</f>
        <v>0.8436</v>
      </c>
      <c r="AC3" s="204"/>
      <c r="AD3" s="204" t="str">
        <f>VLOOKUP(AD91,données!$EA$16:$ED$75,3,0)</f>
        <v>3.7431</v>
      </c>
      <c r="AE3" s="204"/>
      <c r="AF3" s="204" t="str">
        <f>VLOOKUP(AF91,données!$EA$16:$ED$75,3,0)</f>
        <v>1.1538</v>
      </c>
      <c r="AG3" s="204"/>
      <c r="AH3" s="204" t="str">
        <f>VLOOKUP(AH91,données!$EA$16:$ED$75,3,0)</f>
        <v>2.6614</v>
      </c>
      <c r="AI3" s="204"/>
      <c r="AJ3" s="204" t="str">
        <f>VLOOKUP(AJ91,données!$EA$16:$ED$75,3,0)</f>
        <v>0.8493</v>
      </c>
      <c r="AK3" s="204"/>
      <c r="AL3" s="3" t="str">
        <f t="shared" si="0"/>
        <v>dépassements</v>
      </c>
      <c r="AM3"/>
      <c r="AN3"/>
      <c r="AO3"/>
      <c r="AP3"/>
      <c r="AQ3"/>
      <c r="AR3"/>
      <c r="AS3"/>
      <c r="AT3"/>
      <c r="AU3"/>
      <c r="AV3"/>
      <c r="AW3"/>
      <c r="AX3"/>
      <c r="AY3"/>
      <c r="AZ3"/>
      <c r="BA3"/>
      <c r="BB3"/>
      <c r="BC3"/>
      <c r="BD3"/>
      <c r="BE3"/>
      <c r="BF3"/>
      <c r="BG3"/>
      <c r="BH3"/>
      <c r="BI3"/>
      <c r="BJ3"/>
      <c r="BK3"/>
      <c r="BL3"/>
      <c r="BM3"/>
      <c r="BN3"/>
      <c r="BO3"/>
      <c r="BP3"/>
      <c r="BQ3"/>
    </row>
    <row r="4" spans="1:69" ht="16.2" thickBot="1">
      <c r="B4" s="5" t="s">
        <v>1</v>
      </c>
      <c r="C4" s="2" t="s">
        <v>22</v>
      </c>
      <c r="D4" s="201" t="s">
        <v>35</v>
      </c>
      <c r="E4" s="201"/>
      <c r="F4" s="201" t="s">
        <v>330</v>
      </c>
      <c r="G4" s="201"/>
      <c r="H4" s="201" t="s">
        <v>31</v>
      </c>
      <c r="I4" s="201"/>
      <c r="J4" s="201" t="s">
        <v>260</v>
      </c>
      <c r="K4" s="201"/>
      <c r="L4" s="201" t="s">
        <v>1010</v>
      </c>
      <c r="M4" s="201"/>
      <c r="N4" s="201" t="s">
        <v>274</v>
      </c>
      <c r="O4" s="201"/>
      <c r="P4" s="201" t="s">
        <v>39</v>
      </c>
      <c r="Q4" s="201"/>
      <c r="R4" s="201" t="s">
        <v>370</v>
      </c>
      <c r="S4" s="201"/>
      <c r="T4" s="201" t="s">
        <v>33</v>
      </c>
      <c r="U4" s="201"/>
      <c r="V4" s="201" t="s">
        <v>23</v>
      </c>
      <c r="W4" s="201"/>
      <c r="X4" s="201" t="s">
        <v>26</v>
      </c>
      <c r="Y4" s="201"/>
      <c r="Z4" s="201" t="s">
        <v>281</v>
      </c>
      <c r="AA4" s="201"/>
      <c r="AB4" s="201" t="s">
        <v>250</v>
      </c>
      <c r="AC4" s="201"/>
      <c r="AD4" s="201" t="s">
        <v>367</v>
      </c>
      <c r="AE4" s="201"/>
      <c r="AF4" s="201" t="s">
        <v>28</v>
      </c>
      <c r="AG4" s="201"/>
      <c r="AH4" s="201" t="s">
        <v>358</v>
      </c>
      <c r="AI4" s="201"/>
      <c r="AJ4" s="201" t="s">
        <v>350</v>
      </c>
      <c r="AK4" s="201"/>
      <c r="AL4" s="3" t="str">
        <f t="shared" si="0"/>
        <v>courses</v>
      </c>
    </row>
    <row r="5" spans="1:69" ht="17.399999999999999" outlineLevel="1">
      <c r="A5" s="19"/>
      <c r="B5" s="168"/>
      <c r="C5" s="156" t="s">
        <v>912</v>
      </c>
      <c r="D5" s="186">
        <f>100*(1-SQRT((D12/(D12+D13+D14)-D15/(D15+D16+D17))^2+(D13/(D12+D13+D14)-D16/(D15+D16+D17))^2+(D14/(D12+D13+D14)-D17/(D15+D16+D17))^2))</f>
        <v>92.547335057083814</v>
      </c>
      <c r="E5" s="186"/>
      <c r="F5" s="186">
        <f>100*(1-SQRT((F12/(F12+F13+F14)-F15/(F15+F16+F17))^2+(F13/(F12+F13+F14)-F16/(F15+F16+F17))^2+(F14/(F12+F13+F14)-F17/(F15+F16+F17))^2))</f>
        <v>91.222906670948689</v>
      </c>
      <c r="G5" s="186"/>
      <c r="H5" s="186">
        <f>100*(1-SQRT((H12/(H12+H13+H14)-H15/(H15+H16+H17))^2+(H13/(H12+H13+H14)-H16/(H15+H16+H17))^2+(H14/(H12+H13+H14)-H17/(H15+H16+H17))^2))</f>
        <v>86.358697904606558</v>
      </c>
      <c r="I5" s="186"/>
      <c r="J5" s="186">
        <f>100*(1-SQRT((J12/(J12+J13+J14)-J15/(J15+J16+J17))^2+(J13/(J12+J13+J14)-J16/(J15+J16+J17))^2+(J14/(J12+J13+J14)-J17/(J15+J16+J17))^2))</f>
        <v>93.705008883750807</v>
      </c>
      <c r="K5" s="186"/>
      <c r="L5" s="186">
        <f>100*(1-SQRT((L12/(L12+L13+L14)-L15/(L15+L16+L17))^2+(L13/(L12+L13+L14)-L16/(L15+L16+L17))^2+(L14/(L12+L13+L14)-L17/(L15+L16+L17))^2))</f>
        <v>83.161489126580165</v>
      </c>
      <c r="M5" s="186"/>
      <c r="N5" s="186">
        <f>100*(1-SQRT((N12/(N12+N13+N14)-N15/(N15+N16+N17))^2+(N13/(N12+N13+N14)-N16/(N15+N16+N17))^2+(N14/(N12+N13+N14)-N17/(N15+N16+N17))^2))</f>
        <v>89.320597201273998</v>
      </c>
      <c r="O5" s="186"/>
      <c r="P5" s="186">
        <f>100*(1-SQRT((P12/(P12+P13+P14)-P15/(P15+P16+P17))^2+(P13/(P12+P13+P14)-P16/(P15+P16+P17))^2+(P14/(P12+P13+P14)-P17/(P15+P16+P17))^2))</f>
        <v>86.374517298170176</v>
      </c>
      <c r="Q5" s="186"/>
      <c r="R5" s="186">
        <f>100*(1-SQRT((R12/(R12+R13+R14)-R15/(R15+R16+R17))^2+(R13/(R12+R13+R14)-R16/(R15+R16+R17))^2+(R14/(R12+R13+R14)-R17/(R15+R16+R17))^2))</f>
        <v>86.445677563675773</v>
      </c>
      <c r="S5" s="186"/>
      <c r="T5" s="186">
        <f>100*(1-SQRT((T12/(T12+T13+T14)-T15/(T15+T16+T17))^2+(T13/(T12+T13+T14)-T16/(T15+T16+T17))^2+(T14/(T12+T13+T14)-T17/(T15+T16+T17))^2))</f>
        <v>91.703391678657113</v>
      </c>
      <c r="U5" s="186"/>
      <c r="V5" s="186">
        <f>100*(1-SQRT((V12/(V12+V13+V14)-V15/(V15+V16+V17))^2+(V13/(V12+V13+V14)-V16/(V15+V16+V17))^2+(V14/(V12+V13+V14)-V17/(V15+V16+V17))^2))</f>
        <v>93.539223175964452</v>
      </c>
      <c r="W5" s="186"/>
      <c r="X5" s="186">
        <f>100*(1-SQRT((X12/(X12+X13+X14)-X15/(X15+X16+X17))^2+(X13/(X12+X13+X14)-X16/(X15+X16+X17))^2+(X14/(X12+X13+X14)-X17/(X15+X16+X17))^2))</f>
        <v>95.927404523223586</v>
      </c>
      <c r="Y5" s="186"/>
      <c r="Z5" s="186">
        <f>100*(1-SQRT((Z12/(Z12+Z13+Z14)-Z15/(Z15+Z16+Z17))^2+(Z13/(Z12+Z13+Z14)-Z16/(Z15+Z16+Z17))^2+(Z14/(Z12+Z13+Z14)-Z17/(Z15+Z16+Z17))^2))</f>
        <v>93.333376202739643</v>
      </c>
      <c r="AA5" s="186"/>
      <c r="AB5" s="186">
        <f>100*(1-SQRT((AB12/(AB12+AB13+AB14)-AB15/(AB15+AB16+AB17))^2+(AB13/(AB12+AB13+AB14)-AB16/(AB15+AB16+AB17))^2+(AB14/(AB12+AB13+AB14)-AB17/(AB15+AB16+AB17))^2))</f>
        <v>95.293391715473177</v>
      </c>
      <c r="AC5" s="186"/>
      <c r="AD5" s="186">
        <f>100*(1-SQRT((AD12/(AD12+AD13+AD14)-AD15/(AD15+AD16+AD17))^2+(AD13/(AD12+AD13+AD14)-AD16/(AD15+AD16+AD17))^2+(AD14/(AD12+AD13+AD14)-AD17/(AD15+AD16+AD17))^2))</f>
        <v>84.005003166908722</v>
      </c>
      <c r="AE5" s="186"/>
      <c r="AF5" s="186">
        <f>100*(1-SQRT((AF12/(AF12+AF13+AF14)-AF15/(AF15+AF16+AF17))^2+(AF13/(AF12+AF13+AF14)-AF16/(AF15+AF16+AF17))^2+(AF14/(AF12+AF13+AF14)-AF17/(AF15+AF16+AF17))^2))</f>
        <v>89.235314679462491</v>
      </c>
      <c r="AG5" s="186"/>
      <c r="AH5" s="186">
        <f>100*(1-SQRT((AH12/(AH12+AH13+AH14)-AH15/(AH15+AH16+AH17))^2+(AH13/(AH12+AH13+AH14)-AH16/(AH15+AH16+AH17))^2+(AH14/(AH12+AH13+AH14)-AH17/(AH15+AH16+AH17))^2))</f>
        <v>81.316240253032149</v>
      </c>
      <c r="AI5" s="186"/>
      <c r="AJ5" s="186">
        <f>100*(1-SQRT((AJ12/(AJ12+AJ13+AJ14)-AJ15/(AJ15+AJ16+AJ17))^2+(AJ13/(AJ12+AJ13+AJ14)-AJ16/(AJ15+AJ16+AJ17))^2+(AJ14/(AJ12+AJ13+AJ14)-AJ17/(AJ15+AJ16+AJ17))^2))</f>
        <v>83.667718449734537</v>
      </c>
      <c r="AK5" s="186"/>
      <c r="AL5" s="158" t="str">
        <f t="shared" si="0"/>
        <v>calcul 1</v>
      </c>
    </row>
    <row r="6" spans="1:69" ht="17.399999999999999" outlineLevel="1">
      <c r="A6" s="15"/>
      <c r="B6" s="30"/>
      <c r="C6" s="155" t="s">
        <v>913</v>
      </c>
      <c r="D6" s="186">
        <f>((D12/SQRT(D12^2+D13^2+D14^2))*(D15/SQRT(D15^2+D16^2+D17^2))+(D13/SQRT(D12^2+D13^2+D14^2))*(D16/SQRT(D15^2+D16^2+D17^2))+(D14/SQRT(D12^2+D13^2+D14^2))*(D17/SQRT(D15^2+D16^2+D17^2)))*100</f>
        <v>99.1754986105732</v>
      </c>
      <c r="E6" s="186"/>
      <c r="F6" s="186">
        <f>((F12/SQRT(F12^2+F13^2+F14^2))*(F15/SQRT(F15^2+F16^2+F17^2))+(F13/SQRT(F12^2+F13^2+F14^2))*(F16/SQRT(F15^2+F16^2+F17^2))+(F14/SQRT(F12^2+F13^2+F14^2))*(F17/SQRT(F15^2+F16^2+F17^2)))*100</f>
        <v>98.869497506082453</v>
      </c>
      <c r="G6" s="186"/>
      <c r="H6" s="186">
        <f>((H12/SQRT(H12^2+H13^2+H14^2))*(H15/SQRT(H15^2+H16^2+H17^2))+(H13/SQRT(H12^2+H13^2+H14^2))*(H16/SQRT(H15^2+H16^2+H17^2))+(H14/SQRT(H12^2+H13^2+H14^2))*(H17/SQRT(H15^2+H16^2+H17^2)))*100</f>
        <v>97.332750117902791</v>
      </c>
      <c r="I6" s="186"/>
      <c r="J6" s="186">
        <f>((J12/SQRT(J12^2+J13^2+J14^2))*(J15/SQRT(J15^2+J16^2+J17^2))+(J13/SQRT(J12^2+J13^2+J14^2))*(J16/SQRT(J15^2+J16^2+J17^2))+(J14/SQRT(J12^2+J13^2+J14^2))*(J17/SQRT(J15^2+J16^2+J17^2)))*100</f>
        <v>99.411916957053762</v>
      </c>
      <c r="K6" s="186"/>
      <c r="L6" s="186">
        <f>((L12/SQRT(L12^2+L13^2+L14^2))*(L15/SQRT(L15^2+L16^2+L17^2))+(L13/SQRT(L12^2+L13^2+L14^2))*(L16/SQRT(L15^2+L16^2+L17^2))+(L14/SQRT(L12^2+L13^2+L14^2))*(L17/SQRT(L15^2+L16^2+L17^2)))*100</f>
        <v>95.977774829887281</v>
      </c>
      <c r="M6" s="186"/>
      <c r="N6" s="186">
        <f>((N12/SQRT(N12^2+N13^2+N14^2))*(N15/SQRT(N15^2+N16^2+N17^2))+(N13/SQRT(N12^2+N13^2+N14^2))*(N16/SQRT(N15^2+N16^2+N17^2))+(N14/SQRT(N12^2+N13^2+N14^2))*(N17/SQRT(N15^2+N16^2+N17^2)))*100</f>
        <v>98.336729782243978</v>
      </c>
      <c r="O6" s="186"/>
      <c r="P6" s="186">
        <f>((P12/SQRT(P12^2+P13^2+P14^2))*(P15/SQRT(P15^2+P16^2+P17^2))+(P13/SQRT(P12^2+P13^2+P14^2))*(P16/SQRT(P15^2+P16^2+P17^2))+(P14/SQRT(P12^2+P13^2+P14^2))*(P17/SQRT(P15^2+P16^2+P17^2)))*100</f>
        <v>97.315239232142432</v>
      </c>
      <c r="Q6" s="186"/>
      <c r="R6" s="186">
        <f>((R12/SQRT(R12^2+R13^2+R14^2))*(R15/SQRT(R15^2+R16^2+R17^2))+(R13/SQRT(R12^2+R13^2+R14^2))*(R16/SQRT(R15^2+R16^2+R17^2))+(R14/SQRT(R12^2+R13^2+R14^2))*(R17/SQRT(R15^2+R16^2+R17^2)))*100</f>
        <v>97.349677461283306</v>
      </c>
      <c r="S6" s="186"/>
      <c r="T6" s="186">
        <f>((T12/SQRT(T12^2+T13^2+T14^2))*(T15/SQRT(T15^2+T16^2+T17^2))+(T13/SQRT(T12^2+T13^2+T14^2))*(T16/SQRT(T15^2+T16^2+T17^2))+(T14/SQRT(T12^2+T13^2+T14^2))*(T17/SQRT(T15^2+T16^2+T17^2)))*100</f>
        <v>98.981589161608667</v>
      </c>
      <c r="U6" s="186"/>
      <c r="V6" s="186">
        <f>((V12/SQRT(V12^2+V13^2+V14^2))*(V15/SQRT(V15^2+V16^2+V17^2))+(V13/SQRT(V12^2+V13^2+V14^2))*(V16/SQRT(V15^2+V16^2+V17^2))+(V14/SQRT(V12^2+V13^2+V14^2))*(V17/SQRT(V15^2+V16^2+V17^2)))*100</f>
        <v>99.379279080130132</v>
      </c>
      <c r="W6" s="186"/>
      <c r="X6" s="186">
        <f>((X12/SQRT(X12^2+X13^2+X14^2))*(X15/SQRT(X15^2+X16^2+X17^2))+(X13/SQRT(X12^2+X13^2+X14^2))*(X16/SQRT(X15^2+X16^2+X17^2))+(X14/SQRT(X12^2+X13^2+X14^2))*(X17/SQRT(X15^2+X16^2+X17^2)))*100</f>
        <v>99.752050663759277</v>
      </c>
      <c r="Y6" s="186"/>
      <c r="Z6" s="186">
        <f>((Z12/SQRT(Z12^2+Z13^2+Z14^2))*(Z15/SQRT(Z15^2+Z16^2+Z17^2))+(Z13/SQRT(Z12^2+Z13^2+Z14^2))*(Z16/SQRT(Z15^2+Z16^2+Z17^2))+(Z14/SQRT(Z12^2+Z13^2+Z14^2))*(Z17/SQRT(Z15^2+Z16^2+Z17^2)))*100</f>
        <v>99.34015742039719</v>
      </c>
      <c r="AA6" s="186"/>
      <c r="AB6" s="186">
        <f>((AB12/SQRT(AB12^2+AB13^2+AB14^2))*(AB15/SQRT(AB15^2+AB16^2+AB17^2))+(AB13/SQRT(AB12^2+AB13^2+AB14^2))*(AB16/SQRT(AB15^2+AB16^2+AB17^2))+(AB14/SQRT(AB12^2+AB13^2+AB14^2))*(AB17/SQRT(AB15^2+AB16^2+AB17^2)))*100</f>
        <v>99.669017658189034</v>
      </c>
      <c r="AC6" s="186"/>
      <c r="AD6" s="186">
        <f>((AD12/SQRT(AD12^2+AD13^2+AD14^2))*(AD15/SQRT(AD15^2+AD16^2+AD17^2))+(AD13/SQRT(AD12^2+AD13^2+AD14^2))*(AD16/SQRT(AD15^2+AD16^2+AD17^2))+(AD14/SQRT(AD12^2+AD13^2+AD14^2))*(AD17/SQRT(AD15^2+AD16^2+AD17^2)))*100</f>
        <v>96.357030545797102</v>
      </c>
      <c r="AE6" s="186"/>
      <c r="AF6" s="186">
        <f>((AF12/SQRT(AF12^2+AF13^2+AF14^2))*(AF15/SQRT(AF15^2+AF16^2+AF17^2))+(AF13/SQRT(AF12^2+AF13^2+AF14^2))*(AF16/SQRT(AF15^2+AF16^2+AF17^2))+(AF14/SQRT(AF12^2+AF13^2+AF14^2))*(AF17/SQRT(AF15^2+AF16^2+AF17^2)))*100</f>
        <v>98.302786412839993</v>
      </c>
      <c r="AG6" s="186"/>
      <c r="AH6" s="186">
        <f>((AH12/SQRT(AH12^2+AH13^2+AH14^2))*(AH15/SQRT(AH15^2+AH16^2+AH17^2))+(AH13/SQRT(AH12^2+AH13^2+AH14^2))*(AH16/SQRT(AH15^2+AH16^2+AH17^2))+(AH14/SQRT(AH12^2+AH13^2+AH14^2))*(AH17/SQRT(AH15^2+AH16^2+AH17^2)))*100</f>
        <v>95.131077192763527</v>
      </c>
      <c r="AI6" s="186"/>
      <c r="AJ6" s="186">
        <f>((AJ12/SQRT(AJ12^2+AJ13^2+AJ14^2))*(AJ15/SQRT(AJ15^2+AJ16^2+AJ17^2))+(AJ13/SQRT(AJ12^2+AJ13^2+AJ14^2))*(AJ16/SQRT(AJ15^2+AJ16^2+AJ17^2))+(AJ14/SQRT(AJ12^2+AJ13^2+AJ14^2))*(AJ17/SQRT(AJ15^2+AJ16^2+AJ17^2)))*100</f>
        <v>96.242088118627294</v>
      </c>
      <c r="AK6" s="186"/>
      <c r="AL6" s="159" t="str">
        <f t="shared" si="0"/>
        <v>calcul 2</v>
      </c>
    </row>
    <row r="7" spans="1:69" ht="17.399999999999999" outlineLevel="1">
      <c r="A7" s="187" t="s">
        <v>918</v>
      </c>
      <c r="B7" s="188"/>
      <c r="C7" s="155" t="s">
        <v>914</v>
      </c>
      <c r="D7" s="186">
        <f>100*(1-SQRT(((D12+1-MIN(D12,D13,D14))/((D12+1-MIN(D12,D13,D14))+(D13+1-MIN(D12,D13,D14))+(D14+1-MIN(D12,D13,D14)))-(D15+1-MIN(D15,D16,D17))/((D15+1-MIN(D15,D16,D17))+(D16+1-MIN(D15,D16,D17))+(D17+1-MIN(D15,D16,D17))))^2+((D13+1-MIN(D12,D13,D14))/((D12+1-MIN(D12,D13,D14))+(D13+1-MIN(D12,D13,D14))+(D14+1-MIN(D12,D13,D14)))-(D16+1-MIN(D15,D16,D17))/((D15+1-MIN(D15,D16,D17))+(D16+1-MIN(D15,D16,D17))+(D17+1-MIN(D15,D16,D17))))^2+((D14+1-MIN(D12,D13,D14))/((D12+1-MIN(D12,D13,D14))+(D13+1-MIN(D12,D13,D14))+(D14+1-MIN(D12,D13,D14)))-(D17+1-MIN(D15,D16,D17))/((D15+1-MIN(D15,D16,D17))+(D16+1-MIN(D15,D16,D17))+(D17+1-MIN(D15,D16,D17))))^2))</f>
        <v>46.915054263522023</v>
      </c>
      <c r="E7" s="186"/>
      <c r="F7" s="186">
        <f>100*(1-SQRT(((F12+1-MIN(F12,F13,F14))/((F12+1-MIN(F12,F13,F14))+(F13+1-MIN(F12,F13,F14))+(F14+1-MIN(F12,F13,F14)))-(F15+1-MIN(F15,F16,F17))/((F15+1-MIN(F15,F16,F17))+(F16+1-MIN(F15,F16,F17))+(F17+1-MIN(F15,F16,F17))))^2+((F13+1-MIN(F12,F13,F14))/((F12+1-MIN(F12,F13,F14))+(F13+1-MIN(F12,F13,F14))+(F14+1-MIN(F12,F13,F14)))-(F16+1-MIN(F15,F16,F17))/((F15+1-MIN(F15,F16,F17))+(F16+1-MIN(F15,F16,F17))+(F17+1-MIN(F15,F16,F17))))^2+((F14+1-MIN(F12,F13,F14))/((F12+1-MIN(F12,F13,F14))+(F13+1-MIN(F12,F13,F14))+(F14+1-MIN(F12,F13,F14)))-(F17+1-MIN(F15,F16,F17))/((F15+1-MIN(F15,F16,F17))+(F16+1-MIN(F15,F16,F17))+(F17+1-MIN(F15,F16,F17))))^2))</f>
        <v>93.375986788931755</v>
      </c>
      <c r="G7" s="186"/>
      <c r="H7" s="186">
        <f>100*(1-SQRT(((H12+1-MIN(H12,H13,H14))/((H12+1-MIN(H12,H13,H14))+(H13+1-MIN(H12,H13,H14))+(H14+1-MIN(H12,H13,H14)))-(H15+1-MIN(H15,H16,H17))/((H15+1-MIN(H15,H16,H17))+(H16+1-MIN(H15,H16,H17))+(H17+1-MIN(H15,H16,H17))))^2+((H13+1-MIN(H12,H13,H14))/((H12+1-MIN(H12,H13,H14))+(H13+1-MIN(H12,H13,H14))+(H14+1-MIN(H12,H13,H14)))-(H16+1-MIN(H15,H16,H17))/((H15+1-MIN(H15,H16,H17))+(H16+1-MIN(H15,H16,H17))+(H17+1-MIN(H15,H16,H17))))^2+((H14+1-MIN(H12,H13,H14))/((H12+1-MIN(H12,H13,H14))+(H13+1-MIN(H12,H13,H14))+(H14+1-MIN(H12,H13,H14)))-(H17+1-MIN(H15,H16,H17))/((H15+1-MIN(H15,H16,H17))+(H16+1-MIN(H15,H16,H17))+(H17+1-MIN(H15,H16,H17))))^2))</f>
        <v>78.31346571333772</v>
      </c>
      <c r="I7" s="186"/>
      <c r="J7" s="186">
        <f>100*(1-SQRT(((J12+1-MIN(J12,J13,J14))/((J12+1-MIN(J12,J13,J14))+(J13+1-MIN(J12,J13,J14))+(J14+1-MIN(J12,J13,J14)))-(J15+1-MIN(J15,J16,J17))/((J15+1-MIN(J15,J16,J17))+(J16+1-MIN(J15,J16,J17))+(J17+1-MIN(J15,J16,J17))))^2+((J13+1-MIN(J12,J13,J14))/((J12+1-MIN(J12,J13,J14))+(J13+1-MIN(J12,J13,J14))+(J14+1-MIN(J12,J13,J14)))-(J16+1-MIN(J15,J16,J17))/((J15+1-MIN(J15,J16,J17))+(J16+1-MIN(J15,J16,J17))+(J17+1-MIN(J15,J16,J17))))^2+((J14+1-MIN(J12,J13,J14))/((J12+1-MIN(J12,J13,J14))+(J13+1-MIN(J12,J13,J14))+(J14+1-MIN(J12,J13,J14)))-(J17+1-MIN(J15,J16,J17))/((J15+1-MIN(J15,J16,J17))+(J16+1-MIN(J15,J16,J17))+(J17+1-MIN(J15,J16,J17))))^2))</f>
        <v>78.704990171191923</v>
      </c>
      <c r="K7" s="186"/>
      <c r="L7" s="186">
        <f>100*(1-SQRT(((L12+1-MIN(L12,L13,L14))/((L12+1-MIN(L12,L13,L14))+(L13+1-MIN(L12,L13,L14))+(L14+1-MIN(L12,L13,L14)))-(L15+1-MIN(L15,L16,L17))/((L15+1-MIN(L15,L16,L17))+(L16+1-MIN(L15,L16,L17))+(L17+1-MIN(L15,L16,L17))))^2+((L13+1-MIN(L12,L13,L14))/((L12+1-MIN(L12,L13,L14))+(L13+1-MIN(L12,L13,L14))+(L14+1-MIN(L12,L13,L14)))-(L16+1-MIN(L15,L16,L17))/((L15+1-MIN(L15,L16,L17))+(L16+1-MIN(L15,L16,L17))+(L17+1-MIN(L15,L16,L17))))^2+((L14+1-MIN(L12,L13,L14))/((L12+1-MIN(L12,L13,L14))+(L13+1-MIN(L12,L13,L14))+(L14+1-MIN(L12,L13,L14)))-(L17+1-MIN(L15,L16,L17))/((L15+1-MIN(L15,L16,L17))+(L16+1-MIN(L15,L16,L17))+(L17+1-MIN(L15,L16,L17))))^2))</f>
        <v>23.343177810261928</v>
      </c>
      <c r="M7" s="186"/>
      <c r="N7" s="186">
        <f>100*(1-SQRT(((N12+1-MIN(N12,N13,N14))/((N12+1-MIN(N12,N13,N14))+(N13+1-MIN(N12,N13,N14))+(N14+1-MIN(N12,N13,N14)))-(N15+1-MIN(N15,N16,N17))/((N15+1-MIN(N15,N16,N17))+(N16+1-MIN(N15,N16,N17))+(N17+1-MIN(N15,N16,N17))))^2+((N13+1-MIN(N12,N13,N14))/((N12+1-MIN(N12,N13,N14))+(N13+1-MIN(N12,N13,N14))+(N14+1-MIN(N12,N13,N14)))-(N16+1-MIN(N15,N16,N17))/((N15+1-MIN(N15,N16,N17))+(N16+1-MIN(N15,N16,N17))+(N17+1-MIN(N15,N16,N17))))^2+((N14+1-MIN(N12,N13,N14))/((N12+1-MIN(N12,N13,N14))+(N13+1-MIN(N12,N13,N14))+(N14+1-MIN(N12,N13,N14)))-(N17+1-MIN(N15,N16,N17))/((N15+1-MIN(N15,N16,N17))+(N16+1-MIN(N15,N16,N17))+(N17+1-MIN(N15,N16,N17))))^2))</f>
        <v>78.72098776053555</v>
      </c>
      <c r="O7" s="186"/>
      <c r="P7" s="186">
        <f>100*(1-SQRT(((P12+1-MIN(P12,P13,P14))/((P12+1-MIN(P12,P13,P14))+(P13+1-MIN(P12,P13,P14))+(P14+1-MIN(P12,P13,P14)))-(P15+1-MIN(P15,P16,P17))/((P15+1-MIN(P15,P16,P17))+(P16+1-MIN(P15,P16,P17))+(P17+1-MIN(P15,P16,P17))))^2+((P13+1-MIN(P12,P13,P14))/((P12+1-MIN(P12,P13,P14))+(P13+1-MIN(P12,P13,P14))+(P14+1-MIN(P12,P13,P14)))-(P16+1-MIN(P15,P16,P17))/((P15+1-MIN(P15,P16,P17))+(P16+1-MIN(P15,P16,P17))+(P17+1-MIN(P15,P16,P17))))^2+((P14+1-MIN(P12,P13,P14))/((P12+1-MIN(P12,P13,P14))+(P13+1-MIN(P12,P13,P14))+(P14+1-MIN(P12,P13,P14)))-(P17+1-MIN(P15,P16,P17))/((P15+1-MIN(P15,P16,P17))+(P16+1-MIN(P15,P16,P17))+(P17+1-MIN(P15,P16,P17))))^2))</f>
        <v>36.272789329310108</v>
      </c>
      <c r="Q7" s="186"/>
      <c r="R7" s="186">
        <f>100*(1-SQRT(((R12+1-MIN(R12,R13,R14))/((R12+1-MIN(R12,R13,R14))+(R13+1-MIN(R12,R13,R14))+(R14+1-MIN(R12,R13,R14)))-(R15+1-MIN(R15,R16,R17))/((R15+1-MIN(R15,R16,R17))+(R16+1-MIN(R15,R16,R17))+(R17+1-MIN(R15,R16,R17))))^2+((R13+1-MIN(R12,R13,R14))/((R12+1-MIN(R12,R13,R14))+(R13+1-MIN(R12,R13,R14))+(R14+1-MIN(R12,R13,R14)))-(R16+1-MIN(R15,R16,R17))/((R15+1-MIN(R15,R16,R17))+(R16+1-MIN(R15,R16,R17))+(R17+1-MIN(R15,R16,R17))))^2+((R14+1-MIN(R12,R13,R14))/((R12+1-MIN(R12,R13,R14))+(R13+1-MIN(R12,R13,R14))+(R14+1-MIN(R12,R13,R14)))-(R17+1-MIN(R15,R16,R17))/((R15+1-MIN(R15,R16,R17))+(R16+1-MIN(R15,R16,R17))+(R17+1-MIN(R15,R16,R17))))^2))</f>
        <v>55.692956860283417</v>
      </c>
      <c r="S7" s="186"/>
      <c r="T7" s="186">
        <f>100*(1-SQRT(((T12+1-MIN(T12,T13,T14))/((T12+1-MIN(T12,T13,T14))+(T13+1-MIN(T12,T13,T14))+(T14+1-MIN(T12,T13,T14)))-(T15+1-MIN(T15,T16,T17))/((T15+1-MIN(T15,T16,T17))+(T16+1-MIN(T15,T16,T17))+(T17+1-MIN(T15,T16,T17))))^2+((T13+1-MIN(T12,T13,T14))/((T12+1-MIN(T12,T13,T14))+(T13+1-MIN(T12,T13,T14))+(T14+1-MIN(T12,T13,T14)))-(T16+1-MIN(T15,T16,T17))/((T15+1-MIN(T15,T16,T17))+(T16+1-MIN(T15,T16,T17))+(T17+1-MIN(T15,T16,T17))))^2+((T14+1-MIN(T12,T13,T14))/((T12+1-MIN(T12,T13,T14))+(T13+1-MIN(T12,T13,T14))+(T14+1-MIN(T12,T13,T14)))-(T17+1-MIN(T15,T16,T17))/((T15+1-MIN(T15,T16,T17))+(T16+1-MIN(T15,T16,T17))+(T17+1-MIN(T15,T16,T17))))^2))</f>
        <v>54.73489426006217</v>
      </c>
      <c r="U7" s="186"/>
      <c r="V7" s="186">
        <f>100*(1-SQRT(((V12+1-MIN(V12,V13,V14))/((V12+1-MIN(V12,V13,V14))+(V13+1-MIN(V12,V13,V14))+(V14+1-MIN(V12,V13,V14)))-(V15+1-MIN(V15,V16,V17))/((V15+1-MIN(V15,V16,V17))+(V16+1-MIN(V15,V16,V17))+(V17+1-MIN(V15,V16,V17))))^2+((V13+1-MIN(V12,V13,V14))/((V12+1-MIN(V12,V13,V14))+(V13+1-MIN(V12,V13,V14))+(V14+1-MIN(V12,V13,V14)))-(V16+1-MIN(V15,V16,V17))/((V15+1-MIN(V15,V16,V17))+(V16+1-MIN(V15,V16,V17))+(V17+1-MIN(V15,V16,V17))))^2+((V14+1-MIN(V12,V13,V14))/((V12+1-MIN(V12,V13,V14))+(V13+1-MIN(V12,V13,V14))+(V14+1-MIN(V12,V13,V14)))-(V17+1-MIN(V15,V16,V17))/((V15+1-MIN(V15,V16,V17))+(V16+1-MIN(V15,V16,V17))+(V17+1-MIN(V15,V16,V17))))^2))</f>
        <v>61.388845772024055</v>
      </c>
      <c r="W7" s="186"/>
      <c r="X7" s="186">
        <f>100*(1-SQRT(((X12+1-MIN(X12,X13,X14))/((X12+1-MIN(X12,X13,X14))+(X13+1-MIN(X12,X13,X14))+(X14+1-MIN(X12,X13,X14)))-(X15+1-MIN(X15,X16,X17))/((X15+1-MIN(X15,X16,X17))+(X16+1-MIN(X15,X16,X17))+(X17+1-MIN(X15,X16,X17))))^2+((X13+1-MIN(X12,X13,X14))/((X12+1-MIN(X12,X13,X14))+(X13+1-MIN(X12,X13,X14))+(X14+1-MIN(X12,X13,X14)))-(X16+1-MIN(X15,X16,X17))/((X15+1-MIN(X15,X16,X17))+(X16+1-MIN(X15,X16,X17))+(X17+1-MIN(X15,X16,X17))))^2+((X14+1-MIN(X12,X13,X14))/((X12+1-MIN(X12,X13,X14))+(X13+1-MIN(X12,X13,X14))+(X14+1-MIN(X12,X13,X14)))-(X17+1-MIN(X15,X16,X17))/((X15+1-MIN(X15,X16,X17))+(X16+1-MIN(X15,X16,X17))+(X17+1-MIN(X15,X16,X17))))^2))</f>
        <v>65.812594482011136</v>
      </c>
      <c r="Y7" s="186"/>
      <c r="Z7" s="186">
        <f>100*(1-SQRT(((Z12+1-MIN(Z12,Z13,Z14))/((Z12+1-MIN(Z12,Z13,Z14))+(Z13+1-MIN(Z12,Z13,Z14))+(Z14+1-MIN(Z12,Z13,Z14)))-(Z15+1-MIN(Z15,Z16,Z17))/((Z15+1-MIN(Z15,Z16,Z17))+(Z16+1-MIN(Z15,Z16,Z17))+(Z17+1-MIN(Z15,Z16,Z17))))^2+((Z13+1-MIN(Z12,Z13,Z14))/((Z12+1-MIN(Z12,Z13,Z14))+(Z13+1-MIN(Z12,Z13,Z14))+(Z14+1-MIN(Z12,Z13,Z14)))-(Z16+1-MIN(Z15,Z16,Z17))/((Z15+1-MIN(Z15,Z16,Z17))+(Z16+1-MIN(Z15,Z16,Z17))+(Z17+1-MIN(Z15,Z16,Z17))))^2+((Z14+1-MIN(Z12,Z13,Z14))/((Z12+1-MIN(Z12,Z13,Z14))+(Z13+1-MIN(Z12,Z13,Z14))+(Z14+1-MIN(Z12,Z13,Z14)))-(Z17+1-MIN(Z15,Z16,Z17))/((Z15+1-MIN(Z15,Z16,Z17))+(Z16+1-MIN(Z15,Z16,Z17))+(Z17+1-MIN(Z15,Z16,Z17))))^2))</f>
        <v>70.190074014805148</v>
      </c>
      <c r="AA7" s="186"/>
      <c r="AB7" s="186">
        <f>100*(1-SQRT(((AB12+1-MIN(AB12,AB13,AB14))/((AB12+1-MIN(AB12,AB13,AB14))+(AB13+1-MIN(AB12,AB13,AB14))+(AB14+1-MIN(AB12,AB13,AB14)))-(AB15+1-MIN(AB15,AB16,AB17))/((AB15+1-MIN(AB15,AB16,AB17))+(AB16+1-MIN(AB15,AB16,AB17))+(AB17+1-MIN(AB15,AB16,AB17))))^2+((AB13+1-MIN(AB12,AB13,AB14))/((AB12+1-MIN(AB12,AB13,AB14))+(AB13+1-MIN(AB12,AB13,AB14))+(AB14+1-MIN(AB12,AB13,AB14)))-(AB16+1-MIN(AB15,AB16,AB17))/((AB15+1-MIN(AB15,AB16,AB17))+(AB16+1-MIN(AB15,AB16,AB17))+(AB17+1-MIN(AB15,AB16,AB17))))^2+((AB14+1-MIN(AB12,AB13,AB14))/((AB12+1-MIN(AB12,AB13,AB14))+(AB13+1-MIN(AB12,AB13,AB14))+(AB14+1-MIN(AB12,AB13,AB14)))-(AB17+1-MIN(AB15,AB16,AB17))/((AB15+1-MIN(AB15,AB16,AB17))+(AB16+1-MIN(AB15,AB16,AB17))+(AB17+1-MIN(AB15,AB16,AB17))))^2))</f>
        <v>48.505427536137212</v>
      </c>
      <c r="AC7" s="186"/>
      <c r="AD7" s="186">
        <f>100*(1-SQRT(((AD12+1-MIN(AD12,AD13,AD14))/((AD12+1-MIN(AD12,AD13,AD14))+(AD13+1-MIN(AD12,AD13,AD14))+(AD14+1-MIN(AD12,AD13,AD14)))-(AD15+1-MIN(AD15,AD16,AD17))/((AD15+1-MIN(AD15,AD16,AD17))+(AD16+1-MIN(AD15,AD16,AD17))+(AD17+1-MIN(AD15,AD16,AD17))))^2+((AD13+1-MIN(AD12,AD13,AD14))/((AD12+1-MIN(AD12,AD13,AD14))+(AD13+1-MIN(AD12,AD13,AD14))+(AD14+1-MIN(AD12,AD13,AD14)))-(AD16+1-MIN(AD15,AD16,AD17))/((AD15+1-MIN(AD15,AD16,AD17))+(AD16+1-MIN(AD15,AD16,AD17))+(AD17+1-MIN(AD15,AD16,AD17))))^2+((AD14+1-MIN(AD12,AD13,AD14))/((AD12+1-MIN(AD12,AD13,AD14))+(AD13+1-MIN(AD12,AD13,AD14))+(AD14+1-MIN(AD12,AD13,AD14)))-(AD17+1-MIN(AD15,AD16,AD17))/((AD15+1-MIN(AD15,AD16,AD17))+(AD16+1-MIN(AD15,AD16,AD17))+(AD17+1-MIN(AD15,AD16,AD17))))^2))</f>
        <v>49.471051829920413</v>
      </c>
      <c r="AE7" s="186"/>
      <c r="AF7" s="186">
        <f>100*(1-SQRT(((AF12+1-MIN(AF12,AF13,AF14))/((AF12+1-MIN(AF12,AF13,AF14))+(AF13+1-MIN(AF12,AF13,AF14))+(AF14+1-MIN(AF12,AF13,AF14)))-(AF15+1-MIN(AF15,AF16,AF17))/((AF15+1-MIN(AF15,AF16,AF17))+(AF16+1-MIN(AF15,AF16,AF17))+(AF17+1-MIN(AF15,AF16,AF17))))^2+((AF13+1-MIN(AF12,AF13,AF14))/((AF12+1-MIN(AF12,AF13,AF14))+(AF13+1-MIN(AF12,AF13,AF14))+(AF14+1-MIN(AF12,AF13,AF14)))-(AF16+1-MIN(AF15,AF16,AF17))/((AF15+1-MIN(AF15,AF16,AF17))+(AF16+1-MIN(AF15,AF16,AF17))+(AF17+1-MIN(AF15,AF16,AF17))))^2+((AF14+1-MIN(AF12,AF13,AF14))/((AF12+1-MIN(AF12,AF13,AF14))+(AF13+1-MIN(AF12,AF13,AF14))+(AF14+1-MIN(AF12,AF13,AF14)))-(AF17+1-MIN(AF15,AF16,AF17))/((AF15+1-MIN(AF15,AF16,AF17))+(AF16+1-MIN(AF15,AF16,AF17))+(AF17+1-MIN(AF15,AF16,AF17))))^2))</f>
        <v>47.986545891625184</v>
      </c>
      <c r="AG7" s="186"/>
      <c r="AH7" s="186">
        <f>100*(1-SQRT(((AH12+1-MIN(AH12,AH13,AH14))/((AH12+1-MIN(AH12,AH13,AH14))+(AH13+1-MIN(AH12,AH13,AH14))+(AH14+1-MIN(AH12,AH13,AH14)))-(AH15+1-MIN(AH15,AH16,AH17))/((AH15+1-MIN(AH15,AH16,AH17))+(AH16+1-MIN(AH15,AH16,AH17))+(AH17+1-MIN(AH15,AH16,AH17))))^2+((AH13+1-MIN(AH12,AH13,AH14))/((AH12+1-MIN(AH12,AH13,AH14))+(AH13+1-MIN(AH12,AH13,AH14))+(AH14+1-MIN(AH12,AH13,AH14)))-(AH16+1-MIN(AH15,AH16,AH17))/((AH15+1-MIN(AH15,AH16,AH17))+(AH16+1-MIN(AH15,AH16,AH17))+(AH17+1-MIN(AH15,AH16,AH17))))^2+((AH14+1-MIN(AH12,AH13,AH14))/((AH12+1-MIN(AH12,AH13,AH14))+(AH13+1-MIN(AH12,AH13,AH14))+(AH14+1-MIN(AH12,AH13,AH14)))-(AH17+1-MIN(AH15,AH16,AH17))/((AH15+1-MIN(AH15,AH16,AH17))+(AH16+1-MIN(AH15,AH16,AH17))+(AH17+1-MIN(AH15,AH16,AH17))))^2))</f>
        <v>37.468161652970103</v>
      </c>
      <c r="AI7" s="186"/>
      <c r="AJ7" s="186">
        <f>100*(1-SQRT(((AJ12+1-MIN(AJ12,AJ13,AJ14))/((AJ12+1-MIN(AJ12,AJ13,AJ14))+(AJ13+1-MIN(AJ12,AJ13,AJ14))+(AJ14+1-MIN(AJ12,AJ13,AJ14)))-(AJ15+1-MIN(AJ15,AJ16,AJ17))/((AJ15+1-MIN(AJ15,AJ16,AJ17))+(AJ16+1-MIN(AJ15,AJ16,AJ17))+(AJ17+1-MIN(AJ15,AJ16,AJ17))))^2+((AJ13+1-MIN(AJ12,AJ13,AJ14))/((AJ12+1-MIN(AJ12,AJ13,AJ14))+(AJ13+1-MIN(AJ12,AJ13,AJ14))+(AJ14+1-MIN(AJ12,AJ13,AJ14)))-(AJ16+1-MIN(AJ15,AJ16,AJ17))/((AJ15+1-MIN(AJ15,AJ16,AJ17))+(AJ16+1-MIN(AJ15,AJ16,AJ17))+(AJ17+1-MIN(AJ15,AJ16,AJ17))))^2+((AJ14+1-MIN(AJ12,AJ13,AJ14))/((AJ12+1-MIN(AJ12,AJ13,AJ14))+(AJ13+1-MIN(AJ12,AJ13,AJ14))+(AJ14+1-MIN(AJ12,AJ13,AJ14)))-(AJ17+1-MIN(AJ15,AJ16,AJ17))/((AJ15+1-MIN(AJ15,AJ16,AJ17))+(AJ16+1-MIN(AJ15,AJ16,AJ17))+(AJ17+1-MIN(AJ15,AJ16,AJ17))))^2))</f>
        <v>81.800690275157535</v>
      </c>
      <c r="AK7" s="186"/>
      <c r="AL7" s="159" t="str">
        <f t="shared" si="0"/>
        <v>calcul 3</v>
      </c>
    </row>
    <row r="8" spans="1:69" ht="17.399999999999999" outlineLevel="1">
      <c r="A8" s="15"/>
      <c r="B8" s="30"/>
      <c r="C8" s="155" t="s">
        <v>915</v>
      </c>
      <c r="D8" s="186">
        <f>(((D12+1-MIN(D12,D13,D14))/SQRT((D12+1-MIN(D12,D13,D14))^2+(D13+1-MIN(D12,D13,D14))^2+(D14+1-MIN(D12,D13,D14))^2))*((D15+1-MIN(D15,D16,D17))/SQRT((D15+1-MIN(D15,D16,D17))^2+(D16+1-MIN(D15,D16,D17))^2+(D17+1-MIN(D15,D16,D17))^2))+((D13+1-MIN(D12,D13,D14))/SQRT((D12+1-MIN(D12,D13,D14))^2+(D13+1-MIN(D12,D13,D14))^2+(D14+1-MIN(D12,D13,D14))^2))*((D16+1-MIN(D15,D16,D17))/SQRT((D15+1-MIN(D15,D16,D17))^2+(D16+1-MIN(D15,D16,D17))^2+(D17+1-MIN(D15,D16,D17))^2))+((D14+1-MIN(D12,D13,D14))/SQRT((D12+1-MIN(D12,D13,D14))^2+(D13+1-MIN(D12,D13,D14))^2+(D14+1-MIN(D12,D13,D14))^2))*((D17+1-MIN(D15,D16,D17))/SQRT((D15+1-MIN(D15,D16,D17))^2+(D16+1-MIN(D15,D16,D17))^2+(D17+1-MIN(D15,D16,D17))^2)))*100</f>
        <v>67.125313583099839</v>
      </c>
      <c r="E8" s="186"/>
      <c r="F8" s="186">
        <f>(((F12+1-MIN(F12,F13,F14))/SQRT((F12+1-MIN(F12,F13,F14))^2+(F13+1-MIN(F12,F13,F14))^2+(F14+1-MIN(F12,F13,F14))^2))*((F15+1-MIN(F15,F16,F17))/SQRT((F15+1-MIN(F15,F16,F17))^2+(F16+1-MIN(F15,F16,F17))^2+(F17+1-MIN(F15,F16,F17))^2))+((F13+1-MIN(F12,F13,F14))/SQRT((F12+1-MIN(F12,F13,F14))^2+(F13+1-MIN(F12,F13,F14))^2+(F14+1-MIN(F12,F13,F14))^2))*((F16+1-MIN(F15,F16,F17))/SQRT((F15+1-MIN(F15,F16,F17))^2+(F16+1-MIN(F15,F16,F17))^2+(F17+1-MIN(F15,F16,F17))^2))+((F14+1-MIN(F12,F13,F14))/SQRT((F12+1-MIN(F12,F13,F14))^2+(F13+1-MIN(F12,F13,F14))^2+(F14+1-MIN(F12,F13,F14))^2))*((F17+1-MIN(F15,F16,F17))/SQRT((F15+1-MIN(F15,F16,F17))^2+(F16+1-MIN(F15,F16,F17))^2+(F17+1-MIN(F15,F16,F17))^2)))*100</f>
        <v>99.618211718274836</v>
      </c>
      <c r="G8" s="186"/>
      <c r="H8" s="186">
        <f>(((H12+1-MIN(H12,H13,H14))/SQRT((H12+1-MIN(H12,H13,H14))^2+(H13+1-MIN(H12,H13,H14))^2+(H14+1-MIN(H12,H13,H14))^2))*((H15+1-MIN(H15,H16,H17))/SQRT((H15+1-MIN(H15,H16,H17))^2+(H16+1-MIN(H15,H16,H17))^2+(H17+1-MIN(H15,H16,H17))^2))+((H13+1-MIN(H12,H13,H14))/SQRT((H12+1-MIN(H12,H13,H14))^2+(H13+1-MIN(H12,H13,H14))^2+(H14+1-MIN(H12,H13,H14))^2))*((H16+1-MIN(H15,H16,H17))/SQRT((H15+1-MIN(H15,H16,H17))^2+(H16+1-MIN(H15,H16,H17))^2+(H17+1-MIN(H15,H16,H17))^2))+((H14+1-MIN(H12,H13,H14))/SQRT((H12+1-MIN(H12,H13,H14))^2+(H13+1-MIN(H12,H13,H14))^2+(H14+1-MIN(H12,H13,H14))^2))*((H17+1-MIN(H15,H16,H17))/SQRT((H15+1-MIN(H15,H16,H17))^2+(H16+1-MIN(H15,H16,H17))^2+(H17+1-MIN(H15,H16,H17))^2)))*100</f>
        <v>94.505143602049088</v>
      </c>
      <c r="I8" s="186"/>
      <c r="J8" s="186">
        <f>(((J12+1-MIN(J12,J13,J14))/SQRT((J12+1-MIN(J12,J13,J14))^2+(J13+1-MIN(J12,J13,J14))^2+(J14+1-MIN(J12,J13,J14))^2))*((J15+1-MIN(J15,J16,J17))/SQRT((J15+1-MIN(J15,J16,J17))^2+(J16+1-MIN(J15,J16,J17))^2+(J17+1-MIN(J15,J16,J17))^2))+((J13+1-MIN(J12,J13,J14))/SQRT((J12+1-MIN(J12,J13,J14))^2+(J13+1-MIN(J12,J13,J14))^2+(J14+1-MIN(J12,J13,J14))^2))*((J16+1-MIN(J15,J16,J17))/SQRT((J15+1-MIN(J15,J16,J17))^2+(J16+1-MIN(J15,J16,J17))^2+(J17+1-MIN(J15,J16,J17))^2))+((J14+1-MIN(J12,J13,J14))/SQRT((J12+1-MIN(J12,J13,J14))^2+(J13+1-MIN(J12,J13,J14))^2+(J14+1-MIN(J12,J13,J14))^2))*((J17+1-MIN(J15,J16,J17))/SQRT((J15+1-MIN(J15,J16,J17))^2+(J16+1-MIN(J15,J16,J17))^2+(J17+1-MIN(J15,J16,J17))^2)))*100</f>
        <v>94.369343943769294</v>
      </c>
      <c r="K8" s="186"/>
      <c r="L8" s="186">
        <f>(((L12+1-MIN(L12,L13,L14))/SQRT((L12+1-MIN(L12,L13,L14))^2+(L13+1-MIN(L12,L13,L14))^2+(L14+1-MIN(L12,L13,L14))^2))*((L15+1-MIN(L15,L16,L17))/SQRT((L15+1-MIN(L15,L16,L17))^2+(L16+1-MIN(L15,L16,L17))^2+(L17+1-MIN(L15,L16,L17))^2))+((L13+1-MIN(L12,L13,L14))/SQRT((L12+1-MIN(L12,L13,L14))^2+(L13+1-MIN(L12,L13,L14))^2+(L14+1-MIN(L12,L13,L14))^2))*((L16+1-MIN(L15,L16,L17))/SQRT((L15+1-MIN(L15,L16,L17))^2+(L16+1-MIN(L15,L16,L17))^2+(L17+1-MIN(L15,L16,L17))^2))+((L14+1-MIN(L12,L13,L14))/SQRT((L12+1-MIN(L12,L13,L14))^2+(L13+1-MIN(L12,L13,L14))^2+(L14+1-MIN(L12,L13,L14))^2))*((L17+1-MIN(L15,L16,L17))/SQRT((L15+1-MIN(L15,L16,L17))^2+(L16+1-MIN(L15,L16,L17))^2+(L17+1-MIN(L15,L16,L17))^2)))*100</f>
        <v>43.020822901738889</v>
      </c>
      <c r="M8" s="186"/>
      <c r="N8" s="186">
        <f>(((N12+1-MIN(N12,N13,N14))/SQRT((N12+1-MIN(N12,N13,N14))^2+(N13+1-MIN(N12,N13,N14))^2+(N14+1-MIN(N12,N13,N14))^2))*((N15+1-MIN(N15,N16,N17))/SQRT((N15+1-MIN(N15,N16,N17))^2+(N16+1-MIN(N15,N16,N17))^2+(N17+1-MIN(N15,N16,N17))^2))+((N13+1-MIN(N12,N13,N14))/SQRT((N12+1-MIN(N12,N13,N14))^2+(N13+1-MIN(N12,N13,N14))^2+(N14+1-MIN(N12,N13,N14))^2))*((N16+1-MIN(N15,N16,N17))/SQRT((N15+1-MIN(N15,N16,N17))^2+(N16+1-MIN(N15,N16,N17))^2+(N17+1-MIN(N15,N16,N17))^2))+((N14+1-MIN(N12,N13,N14))/SQRT((N12+1-MIN(N12,N13,N14))^2+(N13+1-MIN(N12,N13,N14))^2+(N14+1-MIN(N12,N13,N14))^2))*((N17+1-MIN(N15,N16,N17))/SQRT((N15+1-MIN(N15,N16,N17))^2+(N16+1-MIN(N15,N16,N17))^2+(N17+1-MIN(N15,N16,N17))^2)))*100</f>
        <v>94.696885257407061</v>
      </c>
      <c r="O8" s="186"/>
      <c r="P8" s="186">
        <f>(((P12+1-MIN(P12,P13,P14))/SQRT((P12+1-MIN(P12,P13,P14))^2+(P13+1-MIN(P12,P13,P14))^2+(P14+1-MIN(P12,P13,P14))^2))*((P15+1-MIN(P15,P16,P17))/SQRT((P15+1-MIN(P15,P16,P17))^2+(P16+1-MIN(P15,P16,P17))^2+(P17+1-MIN(P15,P16,P17))^2))+((P13+1-MIN(P12,P13,P14))/SQRT((P12+1-MIN(P12,P13,P14))^2+(P13+1-MIN(P12,P13,P14))^2+(P14+1-MIN(P12,P13,P14))^2))*((P16+1-MIN(P15,P16,P17))/SQRT((P15+1-MIN(P15,P16,P17))^2+(P16+1-MIN(P15,P16,P17))^2+(P17+1-MIN(P15,P16,P17))^2))+((P14+1-MIN(P12,P13,P14))/SQRT((P12+1-MIN(P12,P13,P14))^2+(P13+1-MIN(P12,P13,P14))^2+(P14+1-MIN(P12,P13,P14))^2))*((P17+1-MIN(P15,P16,P17))/SQRT((P15+1-MIN(P15,P16,P17))^2+(P16+1-MIN(P15,P16,P17))^2+(P17+1-MIN(P15,P16,P17))^2)))*100</f>
        <v>55.136497898218373</v>
      </c>
      <c r="Q8" s="186"/>
      <c r="R8" s="186">
        <f>(((R12+1-MIN(R12,R13,R14))/SQRT((R12+1-MIN(R12,R13,R14))^2+(R13+1-MIN(R12,R13,R14))^2+(R14+1-MIN(R12,R13,R14))^2))*((R15+1-MIN(R15,R16,R17))/SQRT((R15+1-MIN(R15,R16,R17))^2+(R16+1-MIN(R15,R16,R17))^2+(R17+1-MIN(R15,R16,R17))^2))+((R13+1-MIN(R12,R13,R14))/SQRT((R12+1-MIN(R12,R13,R14))^2+(R13+1-MIN(R12,R13,R14))^2+(R14+1-MIN(R12,R13,R14))^2))*((R16+1-MIN(R15,R16,R17))/SQRT((R15+1-MIN(R15,R16,R17))^2+(R16+1-MIN(R15,R16,R17))^2+(R17+1-MIN(R15,R16,R17))^2))+((R14+1-MIN(R12,R13,R14))/SQRT((R12+1-MIN(R12,R13,R14))^2+(R13+1-MIN(R12,R13,R14))^2+(R14+1-MIN(R12,R13,R14))^2))*((R17+1-MIN(R15,R16,R17))/SQRT((R15+1-MIN(R15,R16,R17))^2+(R16+1-MIN(R15,R16,R17))^2+(R17+1-MIN(R15,R16,R17))^2)))*100</f>
        <v>76.370263197668706</v>
      </c>
      <c r="S8" s="186"/>
      <c r="T8" s="186">
        <f>(((T12+1-MIN(T12,T13,T14))/SQRT((T12+1-MIN(T12,T13,T14))^2+(T13+1-MIN(T12,T13,T14))^2+(T14+1-MIN(T12,T13,T14))^2))*((T15+1-MIN(T15,T16,T17))/SQRT((T15+1-MIN(T15,T16,T17))^2+(T16+1-MIN(T15,T16,T17))^2+(T17+1-MIN(T15,T16,T17))^2))+((T13+1-MIN(T12,T13,T14))/SQRT((T12+1-MIN(T12,T13,T14))^2+(T13+1-MIN(T12,T13,T14))^2+(T14+1-MIN(T12,T13,T14))^2))*((T16+1-MIN(T15,T16,T17))/SQRT((T15+1-MIN(T15,T16,T17))^2+(T16+1-MIN(T15,T16,T17))^2+(T17+1-MIN(T15,T16,T17))^2))+((T14+1-MIN(T12,T13,T14))/SQRT((T12+1-MIN(T12,T13,T14))^2+(T13+1-MIN(T12,T13,T14))^2+(T14+1-MIN(T12,T13,T14))^2))*((T17+1-MIN(T15,T16,T17))/SQRT((T15+1-MIN(T15,T16,T17))^2+(T16+1-MIN(T15,T16,T17))^2+(T17+1-MIN(T15,T16,T17))^2)))*100</f>
        <v>74.290952088666586</v>
      </c>
      <c r="U8" s="186"/>
      <c r="V8" s="186">
        <f>(((V12+1-MIN(V12,V13,V14))/SQRT((V12+1-MIN(V12,V13,V14))^2+(V13+1-MIN(V12,V13,V14))^2+(V14+1-MIN(V12,V13,V14))^2))*((V15+1-MIN(V15,V16,V17))/SQRT((V15+1-MIN(V15,V16,V17))^2+(V16+1-MIN(V15,V16,V17))^2+(V17+1-MIN(V15,V16,V17))^2))+((V13+1-MIN(V12,V13,V14))/SQRT((V12+1-MIN(V12,V13,V14))^2+(V13+1-MIN(V12,V13,V14))^2+(V14+1-MIN(V12,V13,V14))^2))*((V16+1-MIN(V15,V16,V17))/SQRT((V15+1-MIN(V15,V16,V17))^2+(V16+1-MIN(V15,V16,V17))^2+(V17+1-MIN(V15,V16,V17))^2))+((V14+1-MIN(V12,V13,V14))/SQRT((V12+1-MIN(V12,V13,V14))^2+(V13+1-MIN(V12,V13,V14))^2+(V14+1-MIN(V12,V13,V14))^2))*((V17+1-MIN(V15,V16,V17))/SQRT((V15+1-MIN(V15,V16,V17))^2+(V16+1-MIN(V15,V16,V17))^2+(V17+1-MIN(V15,V16,V17))^2)))*100</f>
        <v>80.935921547409961</v>
      </c>
      <c r="W8" s="186"/>
      <c r="X8" s="186">
        <f>(((X12+1-MIN(X12,X13,X14))/SQRT((X12+1-MIN(X12,X13,X14))^2+(X13+1-MIN(X12,X13,X14))^2+(X14+1-MIN(X12,X13,X14))^2))*((X15+1-MIN(X15,X16,X17))/SQRT((X15+1-MIN(X15,X16,X17))^2+(X16+1-MIN(X15,X16,X17))^2+(X17+1-MIN(X15,X16,X17))^2))+((X13+1-MIN(X12,X13,X14))/SQRT((X12+1-MIN(X12,X13,X14))^2+(X13+1-MIN(X12,X13,X14))^2+(X14+1-MIN(X12,X13,X14))^2))*((X16+1-MIN(X15,X16,X17))/SQRT((X15+1-MIN(X15,X16,X17))^2+(X16+1-MIN(X15,X16,X17))^2+(X17+1-MIN(X15,X16,X17))^2))+((X14+1-MIN(X12,X13,X14))/SQRT((X12+1-MIN(X12,X13,X14))^2+(X13+1-MIN(X12,X13,X14))^2+(X14+1-MIN(X12,X13,X14))^2))*((X17+1-MIN(X15,X16,X17))/SQRT((X15+1-MIN(X15,X16,X17))^2+(X16+1-MIN(X15,X16,X17))^2+(X17+1-MIN(X15,X16,X17))^2)))*100</f>
        <v>84.632255841870403</v>
      </c>
      <c r="Y8" s="186"/>
      <c r="Z8" s="186">
        <f>(((Z12+1-MIN(Z12,Z13,Z14))/SQRT((Z12+1-MIN(Z12,Z13,Z14))^2+(Z13+1-MIN(Z12,Z13,Z14))^2+(Z14+1-MIN(Z12,Z13,Z14))^2))*((Z15+1-MIN(Z15,Z16,Z17))/SQRT((Z15+1-MIN(Z15,Z16,Z17))^2+(Z16+1-MIN(Z15,Z16,Z17))^2+(Z17+1-MIN(Z15,Z16,Z17))^2))+((Z13+1-MIN(Z12,Z13,Z14))/SQRT((Z12+1-MIN(Z12,Z13,Z14))^2+(Z13+1-MIN(Z12,Z13,Z14))^2+(Z14+1-MIN(Z12,Z13,Z14))^2))*((Z16+1-MIN(Z15,Z16,Z17))/SQRT((Z15+1-MIN(Z15,Z16,Z17))^2+(Z16+1-MIN(Z15,Z16,Z17))^2+(Z17+1-MIN(Z15,Z16,Z17))^2))+((Z14+1-MIN(Z12,Z13,Z14))/SQRT((Z12+1-MIN(Z12,Z13,Z14))^2+(Z13+1-MIN(Z12,Z13,Z14))^2+(Z14+1-MIN(Z12,Z13,Z14))^2))*((Z17+1-MIN(Z15,Z16,Z17))/SQRT((Z15+1-MIN(Z15,Z16,Z17))^2+(Z16+1-MIN(Z15,Z16,Z17))^2+(Z17+1-MIN(Z15,Z16,Z17))^2)))*100</f>
        <v>88.671627932651987</v>
      </c>
      <c r="AA8" s="186"/>
      <c r="AB8" s="186">
        <f>(((AB12+1-MIN(AB12,AB13,AB14))/SQRT((AB12+1-MIN(AB12,AB13,AB14))^2+(AB13+1-MIN(AB12,AB13,AB14))^2+(AB14+1-MIN(AB12,AB13,AB14))^2))*((AB15+1-MIN(AB15,AB16,AB17))/SQRT((AB15+1-MIN(AB15,AB16,AB17))^2+(AB16+1-MIN(AB15,AB16,AB17))^2+(AB17+1-MIN(AB15,AB16,AB17))^2))+((AB13+1-MIN(AB12,AB13,AB14))/SQRT((AB12+1-MIN(AB12,AB13,AB14))^2+(AB13+1-MIN(AB12,AB13,AB14))^2+(AB14+1-MIN(AB12,AB13,AB14))^2))*((AB16+1-MIN(AB15,AB16,AB17))/SQRT((AB15+1-MIN(AB15,AB16,AB17))^2+(AB16+1-MIN(AB15,AB16,AB17))^2+(AB17+1-MIN(AB15,AB16,AB17))^2))+((AB14+1-MIN(AB12,AB13,AB14))/SQRT((AB12+1-MIN(AB12,AB13,AB14))^2+(AB13+1-MIN(AB12,AB13,AB14))^2+(AB14+1-MIN(AB12,AB13,AB14))^2))*((AB17+1-MIN(AB15,AB16,AB17))/SQRT((AB15+1-MIN(AB15,AB16,AB17))^2+(AB16+1-MIN(AB15,AB16,AB17))^2+(AB17+1-MIN(AB15,AB16,AB17))^2)))*100</f>
        <v>67.716073365872745</v>
      </c>
      <c r="AC8" s="186"/>
      <c r="AD8" s="186">
        <f>(((AD12+1-MIN(AD12,AD13,AD14))/SQRT((AD12+1-MIN(AD12,AD13,AD14))^2+(AD13+1-MIN(AD12,AD13,AD14))^2+(AD14+1-MIN(AD12,AD13,AD14))^2))*((AD15+1-MIN(AD15,AD16,AD17))/SQRT((AD15+1-MIN(AD15,AD16,AD17))^2+(AD16+1-MIN(AD15,AD16,AD17))^2+(AD17+1-MIN(AD15,AD16,AD17))^2))+((AD13+1-MIN(AD12,AD13,AD14))/SQRT((AD12+1-MIN(AD12,AD13,AD14))^2+(AD13+1-MIN(AD12,AD13,AD14))^2+(AD14+1-MIN(AD12,AD13,AD14))^2))*((AD16+1-MIN(AD15,AD16,AD17))/SQRT((AD15+1-MIN(AD15,AD16,AD17))^2+(AD16+1-MIN(AD15,AD16,AD17))^2+(AD17+1-MIN(AD15,AD16,AD17))^2))+((AD14+1-MIN(AD12,AD13,AD14))/SQRT((AD12+1-MIN(AD12,AD13,AD14))^2+(AD13+1-MIN(AD12,AD13,AD14))^2+(AD14+1-MIN(AD12,AD13,AD14))^2))*((AD17+1-MIN(AD15,AD16,AD17))/SQRT((AD15+1-MIN(AD15,AD16,AD17))^2+(AD16+1-MIN(AD15,AD16,AD17))^2+(AD17+1-MIN(AD15,AD16,AD17))^2)))*100</f>
        <v>68.645135780909257</v>
      </c>
      <c r="AE8" s="186"/>
      <c r="AF8" s="186">
        <f>(((AF12+1-MIN(AF12,AF13,AF14))/SQRT((AF12+1-MIN(AF12,AF13,AF14))^2+(AF13+1-MIN(AF12,AF13,AF14))^2+(AF14+1-MIN(AF12,AF13,AF14))^2))*((AF15+1-MIN(AF15,AF16,AF17))/SQRT((AF15+1-MIN(AF15,AF16,AF17))^2+(AF16+1-MIN(AF15,AF16,AF17))^2+(AF17+1-MIN(AF15,AF16,AF17))^2))+((AF13+1-MIN(AF12,AF13,AF14))/SQRT((AF12+1-MIN(AF12,AF13,AF14))^2+(AF13+1-MIN(AF12,AF13,AF14))^2+(AF14+1-MIN(AF12,AF13,AF14))^2))*((AF16+1-MIN(AF15,AF16,AF17))/SQRT((AF15+1-MIN(AF15,AF16,AF17))^2+(AF16+1-MIN(AF15,AF16,AF17))^2+(AF17+1-MIN(AF15,AF16,AF17))^2))+((AF14+1-MIN(AF12,AF13,AF14))/SQRT((AF12+1-MIN(AF12,AF13,AF14))^2+(AF13+1-MIN(AF12,AF13,AF14))^2+(AF14+1-MIN(AF12,AF13,AF14))^2))*((AF17+1-MIN(AF15,AF16,AF17))/SQRT((AF15+1-MIN(AF15,AF16,AF17))^2+(AF16+1-MIN(AF15,AF16,AF17))^2+(AF17+1-MIN(AF15,AF16,AF17))^2)))*100</f>
        <v>68.269110605234587</v>
      </c>
      <c r="AG8" s="186"/>
      <c r="AH8" s="186">
        <f>(((AH12+1-MIN(AH12,AH13,AH14))/SQRT((AH12+1-MIN(AH12,AH13,AH14))^2+(AH13+1-MIN(AH12,AH13,AH14))^2+(AH14+1-MIN(AH12,AH13,AH14))^2))*((AH15+1-MIN(AH15,AH16,AH17))/SQRT((AH15+1-MIN(AH15,AH16,AH17))^2+(AH16+1-MIN(AH15,AH16,AH17))^2+(AH17+1-MIN(AH15,AH16,AH17))^2))+((AH13+1-MIN(AH12,AH13,AH14))/SQRT((AH12+1-MIN(AH12,AH13,AH14))^2+(AH13+1-MIN(AH12,AH13,AH14))^2+(AH14+1-MIN(AH12,AH13,AH14))^2))*((AH16+1-MIN(AH15,AH16,AH17))/SQRT((AH15+1-MIN(AH15,AH16,AH17))^2+(AH16+1-MIN(AH15,AH16,AH17))^2+(AH17+1-MIN(AH15,AH16,AH17))^2))+((AH14+1-MIN(AH12,AH13,AH14))/SQRT((AH12+1-MIN(AH12,AH13,AH14))^2+(AH13+1-MIN(AH12,AH13,AH14))^2+(AH14+1-MIN(AH12,AH13,AH14))^2))*((AH17+1-MIN(AH15,AH16,AH17))/SQRT((AH15+1-MIN(AH15,AH16,AH17))^2+(AH16+1-MIN(AH15,AH16,AH17))^2+(AH17+1-MIN(AH15,AH16,AH17))^2)))*100</f>
        <v>60.392785596191821</v>
      </c>
      <c r="AI8" s="186"/>
      <c r="AJ8" s="186">
        <f>(((AJ12+1-MIN(AJ12,AJ13,AJ14))/SQRT((AJ12+1-MIN(AJ12,AJ13,AJ14))^2+(AJ13+1-MIN(AJ12,AJ13,AJ14))^2+(AJ14+1-MIN(AJ12,AJ13,AJ14))^2))*((AJ15+1-MIN(AJ15,AJ16,AJ17))/SQRT((AJ15+1-MIN(AJ15,AJ16,AJ17))^2+(AJ16+1-MIN(AJ15,AJ16,AJ17))^2+(AJ17+1-MIN(AJ15,AJ16,AJ17))^2))+((AJ13+1-MIN(AJ12,AJ13,AJ14))/SQRT((AJ12+1-MIN(AJ12,AJ13,AJ14))^2+(AJ13+1-MIN(AJ12,AJ13,AJ14))^2+(AJ14+1-MIN(AJ12,AJ13,AJ14))^2))*((AJ16+1-MIN(AJ15,AJ16,AJ17))/SQRT((AJ15+1-MIN(AJ15,AJ16,AJ17))^2+(AJ16+1-MIN(AJ15,AJ16,AJ17))^2+(AJ17+1-MIN(AJ15,AJ16,AJ17))^2))+((AJ14+1-MIN(AJ12,AJ13,AJ14))/SQRT((AJ12+1-MIN(AJ12,AJ13,AJ14))^2+(AJ13+1-MIN(AJ12,AJ13,AJ14))^2+(AJ14+1-MIN(AJ12,AJ13,AJ14))^2))*((AJ17+1-MIN(AJ15,AJ16,AJ17))/SQRT((AJ15+1-MIN(AJ15,AJ16,AJ17))^2+(AJ16+1-MIN(AJ15,AJ16,AJ17))^2+(AJ17+1-MIN(AJ15,AJ16,AJ17))^2)))*100</f>
        <v>96.747639673397529</v>
      </c>
      <c r="AK8" s="186"/>
      <c r="AL8" s="159" t="str">
        <f t="shared" si="0"/>
        <v>calcul 4</v>
      </c>
    </row>
    <row r="9" spans="1:69" ht="17.399999999999999" outlineLevel="1">
      <c r="A9" s="15"/>
      <c r="B9" s="30"/>
      <c r="C9" s="155" t="s">
        <v>916</v>
      </c>
      <c r="D9" s="186">
        <f>IF(OR(AND(MAX(D12:D14)-MIN(D12:D14)&lt;=1,MAX(D15:D17)-MIN(D15:D17)&lt;=1),AND(MAX(D12:D14)=D12,MAX(D15:D17)=D15),AND(MAX(D12:D14)=D13,MAX(D15:D17)=D16),AND(MAX(D12:D14)=D14,MAX(D15:D17)=D17)),1,0)</f>
        <v>0</v>
      </c>
      <c r="E9" s="186"/>
      <c r="F9" s="186">
        <f>IF(OR(AND(MAX(F12:F14)-MIN(F12:F14)&lt;=1,MAX(F15:F17)-MIN(F15:F17)&lt;=1),AND(MAX(F12:F14)=F12,MAX(F15:F17)=F15),AND(MAX(F12:F14)=F13,MAX(F15:F17)=F16),AND(MAX(F12:F14)=F14,MAX(F15:F17)=F17)),1,0)</f>
        <v>1</v>
      </c>
      <c r="G9" s="186"/>
      <c r="H9" s="186">
        <f>IF(OR(AND(MAX(H12:H14)-MIN(H12:H14)&lt;=1,MAX(H15:H17)-MIN(H15:H17)&lt;=1),AND(MAX(H12:H14)=H12,MAX(H15:H17)=H15),AND(MAX(H12:H14)=H13,MAX(H15:H17)=H16),AND(MAX(H12:H14)=H14,MAX(H15:H17)=H17)),1,0)</f>
        <v>0</v>
      </c>
      <c r="I9" s="186"/>
      <c r="J9" s="186">
        <f>IF(OR(AND(MAX(J12:J14)-MIN(J12:J14)&lt;=1,MAX(J15:J17)-MIN(J15:J17)&lt;=1),AND(MAX(J12:J14)=J12,MAX(J15:J17)=J15),AND(MAX(J12:J14)=J13,MAX(J15:J17)=J16),AND(MAX(J12:J14)=J14,MAX(J15:J17)=J17)),1,0)</f>
        <v>0</v>
      </c>
      <c r="K9" s="186"/>
      <c r="L9" s="186">
        <f>IF(OR(AND(MAX(L12:L14)-MIN(L12:L14)&lt;=1,MAX(L15:L17)-MIN(L15:L17)&lt;=1),AND(MAX(L12:L14)=L12,MAX(L15:L17)=L15),AND(MAX(L12:L14)=L13,MAX(L15:L17)=L16),AND(MAX(L12:L14)=L14,MAX(L15:L17)=L17)),1,0)</f>
        <v>0</v>
      </c>
      <c r="M9" s="186"/>
      <c r="N9" s="186">
        <f>IF(OR(AND(MAX(N12:N14)-MIN(N12:N14)&lt;=1,MAX(N15:N17)-MIN(N15:N17)&lt;=1),AND(MAX(N12:N14)=N12,MAX(N15:N17)=N15),AND(MAX(N12:N14)=N13,MAX(N15:N17)=N16),AND(MAX(N12:N14)=N14,MAX(N15:N17)=N17)),1,0)</f>
        <v>0</v>
      </c>
      <c r="O9" s="186"/>
      <c r="P9" s="186">
        <f>IF(OR(AND(MAX(P12:P14)-MIN(P12:P14)&lt;=1,MAX(P15:P17)-MIN(P15:P17)&lt;=1),AND(MAX(P12:P14)=P12,MAX(P15:P17)=P15),AND(MAX(P12:P14)=P13,MAX(P15:P17)=P16),AND(MAX(P12:P14)=P14,MAX(P15:P17)=P17)),1,0)</f>
        <v>0</v>
      </c>
      <c r="Q9" s="186"/>
      <c r="R9" s="186">
        <f>IF(OR(AND(MAX(R12:R14)-MIN(R12:R14)&lt;=1,MAX(R15:R17)-MIN(R15:R17)&lt;=1),AND(MAX(R12:R14)=R12,MAX(R15:R17)=R15),AND(MAX(R12:R14)=R13,MAX(R15:R17)=R16),AND(MAX(R12:R14)=R14,MAX(R15:R17)=R17)),1,0)</f>
        <v>1</v>
      </c>
      <c r="S9" s="186"/>
      <c r="T9" s="186">
        <f>IF(OR(AND(MAX(T12:T14)-MIN(T12:T14)&lt;=1,MAX(T15:T17)-MIN(T15:T17)&lt;=1),AND(MAX(T12:T14)=T12,MAX(T15:T17)=T15),AND(MAX(T12:T14)=T13,MAX(T15:T17)=T16),AND(MAX(T12:T14)=T14,MAX(T15:T17)=T17)),1,0)</f>
        <v>0</v>
      </c>
      <c r="U9" s="186"/>
      <c r="V9" s="186">
        <f>IF(OR(AND(MAX(V12:V14)-MIN(V12:V14)&lt;=1,MAX(V15:V17)-MIN(V15:V17)&lt;=1),AND(MAX(V12:V14)=V12,MAX(V15:V17)=V15),AND(MAX(V12:V14)=V13,MAX(V15:V17)=V16),AND(MAX(V12:V14)=V14,MAX(V15:V17)=V17)),1,0)</f>
        <v>1</v>
      </c>
      <c r="W9" s="186"/>
      <c r="X9" s="186">
        <f>IF(OR(AND(MAX(X12:X14)-MIN(X12:X14)&lt;=1,MAX(X15:X17)-MIN(X15:X17)&lt;=1),AND(MAX(X12:X14)=X12,MAX(X15:X17)=X15),AND(MAX(X12:X14)=X13,MAX(X15:X17)=X16),AND(MAX(X12:X14)=X14,MAX(X15:X17)=X17)),1,0)</f>
        <v>0</v>
      </c>
      <c r="Y9" s="186"/>
      <c r="Z9" s="186">
        <f>IF(OR(AND(MAX(Z12:Z14)-MIN(Z12:Z14)&lt;=1,MAX(Z15:Z17)-MIN(Z15:Z17)&lt;=1),AND(MAX(Z12:Z14)=Z12,MAX(Z15:Z17)=Z15),AND(MAX(Z12:Z14)=Z13,MAX(Z15:Z17)=Z16),AND(MAX(Z12:Z14)=Z14,MAX(Z15:Z17)=Z17)),1,0)</f>
        <v>1</v>
      </c>
      <c r="AA9" s="186"/>
      <c r="AB9" s="186">
        <f>IF(OR(AND(MAX(AB12:AB14)-MIN(AB12:AB14)&lt;=1,MAX(AB15:AB17)-MIN(AB15:AB17)&lt;=1),AND(MAX(AB12:AB14)=AB12,MAX(AB15:AB17)=AB15),AND(MAX(AB12:AB14)=AB13,MAX(AB15:AB17)=AB16),AND(MAX(AB12:AB14)=AB14,MAX(AB15:AB17)=AB17)),1,0)</f>
        <v>0</v>
      </c>
      <c r="AC9" s="186"/>
      <c r="AD9" s="186">
        <f>IF(OR(AND(MAX(AD12:AD14)-MIN(AD12:AD14)&lt;=1,MAX(AD15:AD17)-MIN(AD15:AD17)&lt;=1),AND(MAX(AD12:AD14)=AD12,MAX(AD15:AD17)=AD15),AND(MAX(AD12:AD14)=AD13,MAX(AD15:AD17)=AD16),AND(MAX(AD12:AD14)=AD14,MAX(AD15:AD17)=AD17)),1,0)</f>
        <v>0</v>
      </c>
      <c r="AE9" s="186"/>
      <c r="AF9" s="186">
        <f>IF(OR(AND(MAX(AF12:AF14)-MIN(AF12:AF14)&lt;=1,MAX(AF15:AF17)-MIN(AF15:AF17)&lt;=1),AND(MAX(AF12:AF14)=AF12,MAX(AF15:AF17)=AF15),AND(MAX(AF12:AF14)=AF13,MAX(AF15:AF17)=AF16),AND(MAX(AF12:AF14)=AF14,MAX(AF15:AF17)=AF17)),1,0)</f>
        <v>0</v>
      </c>
      <c r="AG9" s="186"/>
      <c r="AH9" s="186">
        <f>IF(OR(AND(MAX(AH12:AH14)-MIN(AH12:AH14)&lt;=1,MAX(AH15:AH17)-MIN(AH15:AH17)&lt;=1),AND(MAX(AH12:AH14)=AH12,MAX(AH15:AH17)=AH15),AND(MAX(AH12:AH14)=AH13,MAX(AH15:AH17)=AH16),AND(MAX(AH12:AH14)=AH14,MAX(AH15:AH17)=AH17)),1,0)</f>
        <v>0</v>
      </c>
      <c r="AI9" s="186"/>
      <c r="AJ9" s="186">
        <f>IF(OR(AND(MAX(AJ12:AJ14)-MIN(AJ12:AJ14)&lt;=1,MAX(AJ15:AJ17)-MIN(AJ15:AJ17)&lt;=1),AND(MAX(AJ12:AJ14)=AJ12,MAX(AJ15:AJ17)=AJ15),AND(MAX(AJ12:AJ14)=AJ13,MAX(AJ15:AJ17)=AJ16),AND(MAX(AJ12:AJ14)=AJ14,MAX(AJ15:AJ17)=AJ17)),1,0)</f>
        <v>1</v>
      </c>
      <c r="AK9" s="186"/>
      <c r="AL9" s="159" t="str">
        <f t="shared" si="0"/>
        <v>calcul 5</v>
      </c>
    </row>
    <row r="10" spans="1:69" ht="18" outlineLevel="1" thickBot="1">
      <c r="A10" s="24"/>
      <c r="B10" s="169"/>
      <c r="C10" s="155" t="s">
        <v>917</v>
      </c>
      <c r="D10" s="186">
        <f>IF(OR(AND(MAX(D12:D14)=D12,MAX(D15:D17)=D15),AND(MAX(D12:D14)=D13,MAX(D15:D17)=D16),AND(MAX(D12:D14)=D14,MAX(D15:D17)=D17)),IF(OR(AND(MIN(D12:D14)=D12,MIN(D15:D17)=D15),AND(MIN(D12:D14)=D13,MIN(D15:D17)=D16),AND(MIN(D12:D14)=D14,MIN(D15:D17)=D17)),1,0.5),IF(OR(AND(MIN(D12:D14)=D12,MIN(D15:D17)=D15),AND(MIN(D12:D14)=D13,MIN(D15:D17)=D16),AND(MIN(D12:D14)=D14,MIN(D15:D17)=D17)),0.5,0))</f>
        <v>0</v>
      </c>
      <c r="E10" s="186"/>
      <c r="F10" s="186">
        <f>IF(OR(AND(MAX(F12:F14)=F12,MAX(F15:F17)=F15),AND(MAX(F12:F14)=F13,MAX(F15:F17)=F16),AND(MAX(F12:F14)=F14,MAX(F15:F17)=F17)),IF(OR(AND(MIN(F12:F14)=F12,MIN(F15:F17)=F15),AND(MIN(F12:F14)=F13,MIN(F15:F17)=F16),AND(MIN(F12:F14)=F14,MIN(F15:F17)=F17)),1,0.5),IF(OR(AND(MIN(F12:F14)=F12,MIN(F15:F17)=F15),AND(MIN(F12:F14)=F13,MIN(F15:F17)=F16),AND(MIN(F12:F14)=F14,MIN(F15:F17)=F17)),0.5,0))</f>
        <v>1</v>
      </c>
      <c r="G10" s="186"/>
      <c r="H10" s="186">
        <f>IF(OR(AND(MAX(H12:H14)=H12,MAX(H15:H17)=H15),AND(MAX(H12:H14)=H13,MAX(H15:H17)=H16),AND(MAX(H12:H14)=H14,MAX(H15:H17)=H17)),IF(OR(AND(MIN(H12:H14)=H12,MIN(H15:H17)=H15),AND(MIN(H12:H14)=H13,MIN(H15:H17)=H16),AND(MIN(H12:H14)=H14,MIN(H15:H17)=H17)),1,0.5),IF(OR(AND(MIN(H12:H14)=H12,MIN(H15:H17)=H15),AND(MIN(H12:H14)=H13,MIN(H15:H17)=H16),AND(MIN(H12:H14)=H14,MIN(H15:H17)=H17)),0.5,0))</f>
        <v>0.5</v>
      </c>
      <c r="I10" s="186"/>
      <c r="J10" s="186">
        <f>IF(OR(AND(MAX(J12:J14)=J12,MAX(J15:J17)=J15),AND(MAX(J12:J14)=J13,MAX(J15:J17)=J16),AND(MAX(J12:J14)=J14,MAX(J15:J17)=J17)),IF(OR(AND(MIN(J12:J14)=J12,MIN(J15:J17)=J15),AND(MIN(J12:J14)=J13,MIN(J15:J17)=J16),AND(MIN(J12:J14)=J14,MIN(J15:J17)=J17)),1,0.5),IF(OR(AND(MIN(J12:J14)=J12,MIN(J15:J17)=J15),AND(MIN(J12:J14)=J13,MIN(J15:J17)=J16),AND(MIN(J12:J14)=J14,MIN(J15:J17)=J17)),0.5,0))</f>
        <v>0.5</v>
      </c>
      <c r="K10" s="186"/>
      <c r="L10" s="186">
        <f>IF(OR(AND(MAX(L12:L14)=L12,MAX(L15:L17)=L15),AND(MAX(L12:L14)=L13,MAX(L15:L17)=L16),AND(MAX(L12:L14)=L14,MAX(L15:L17)=L17)),IF(OR(AND(MIN(L12:L14)=L12,MIN(L15:L17)=L15),AND(MIN(L12:L14)=L13,MIN(L15:L17)=L16),AND(MIN(L12:L14)=L14,MIN(L15:L17)=L17)),1,0.5),IF(OR(AND(MIN(L12:L14)=L12,MIN(L15:L17)=L15),AND(MIN(L12:L14)=L13,MIN(L15:L17)=L16),AND(MIN(L12:L14)=L14,MIN(L15:L17)=L17)),0.5,0))</f>
        <v>0</v>
      </c>
      <c r="M10" s="186"/>
      <c r="N10" s="186">
        <f>IF(OR(AND(MAX(N12:N14)=N12,MAX(N15:N17)=N15),AND(MAX(N12:N14)=N13,MAX(N15:N17)=N16),AND(MAX(N12:N14)=N14,MAX(N15:N17)=N17)),IF(OR(AND(MIN(N12:N14)=N12,MIN(N15:N17)=N15),AND(MIN(N12:N14)=N13,MIN(N15:N17)=N16),AND(MIN(N12:N14)=N14,MIN(N15:N17)=N17)),1,0.5),IF(OR(AND(MIN(N12:N14)=N12,MIN(N15:N17)=N15),AND(MIN(N12:N14)=N13,MIN(N15:N17)=N16),AND(MIN(N12:N14)=N14,MIN(N15:N17)=N17)),0.5,0))</f>
        <v>0.5</v>
      </c>
      <c r="O10" s="186"/>
      <c r="P10" s="186">
        <f>IF(OR(AND(MAX(P12:P14)=P12,MAX(P15:P17)=P15),AND(MAX(P12:P14)=P13,MAX(P15:P17)=P16),AND(MAX(P12:P14)=P14,MAX(P15:P17)=P17)),IF(OR(AND(MIN(P12:P14)=P12,MIN(P15:P17)=P15),AND(MIN(P12:P14)=P13,MIN(P15:P17)=P16),AND(MIN(P12:P14)=P14,MIN(P15:P17)=P17)),1,0.5),IF(OR(AND(MIN(P12:P14)=P12,MIN(P15:P17)=P15),AND(MIN(P12:P14)=P13,MIN(P15:P17)=P16),AND(MIN(P12:P14)=P14,MIN(P15:P17)=P17)),0.5,0))</f>
        <v>0</v>
      </c>
      <c r="Q10" s="186"/>
      <c r="R10" s="186">
        <f>IF(OR(AND(MAX(R12:R14)=R12,MAX(R15:R17)=R15),AND(MAX(R12:R14)=R13,MAX(R15:R17)=R16),AND(MAX(R12:R14)=R14,MAX(R15:R17)=R17)),IF(OR(AND(MIN(R12:R14)=R12,MIN(R15:R17)=R15),AND(MIN(R12:R14)=R13,MIN(R15:R17)=R16),AND(MIN(R12:R14)=R14,MIN(R15:R17)=R17)),1,0.5),IF(OR(AND(MIN(R12:R14)=R12,MIN(R15:R17)=R15),AND(MIN(R12:R14)=R13,MIN(R15:R17)=R16),AND(MIN(R12:R14)=R14,MIN(R15:R17)=R17)),0.5,0))</f>
        <v>0.5</v>
      </c>
      <c r="S10" s="186"/>
      <c r="T10" s="186">
        <f>IF(OR(AND(MAX(T12:T14)=T12,MAX(T15:T17)=T15),AND(MAX(T12:T14)=T13,MAX(T15:T17)=T16),AND(MAX(T12:T14)=T14,MAX(T15:T17)=T17)),IF(OR(AND(MIN(T12:T14)=T12,MIN(T15:T17)=T15),AND(MIN(T12:T14)=T13,MIN(T15:T17)=T16),AND(MIN(T12:T14)=T14,MIN(T15:T17)=T17)),1,0.5),IF(OR(AND(MIN(T12:T14)=T12,MIN(T15:T17)=T15),AND(MIN(T12:T14)=T13,MIN(T15:T17)=T16),AND(MIN(T12:T14)=T14,MIN(T15:T17)=T17)),0.5,0))</f>
        <v>0</v>
      </c>
      <c r="U10" s="186"/>
      <c r="V10" s="186">
        <f>IF(OR(AND(MAX(V12:V14)=V12,MAX(V15:V17)=V15),AND(MAX(V12:V14)=V13,MAX(V15:V17)=V16),AND(MAX(V12:V14)=V14,MAX(V15:V17)=V17)),IF(OR(AND(MIN(V12:V14)=V12,MIN(V15:V17)=V15),AND(MIN(V12:V14)=V13,MIN(V15:V17)=V16),AND(MIN(V12:V14)=V14,MIN(V15:V17)=V17)),1,0.5),IF(OR(AND(MIN(V12:V14)=V12,MIN(V15:V17)=V15),AND(MIN(V12:V14)=V13,MIN(V15:V17)=V16),AND(MIN(V12:V14)=V14,MIN(V15:V17)=V17)),0.5,0))</f>
        <v>0.5</v>
      </c>
      <c r="W10" s="186"/>
      <c r="X10" s="186">
        <f>IF(OR(AND(MAX(X12:X14)=X12,MAX(X15:X17)=X15),AND(MAX(X12:X14)=X13,MAX(X15:X17)=X16),AND(MAX(X12:X14)=X14,MAX(X15:X17)=X17)),IF(OR(AND(MIN(X12:X14)=X12,MIN(X15:X17)=X15),AND(MIN(X12:X14)=X13,MIN(X15:X17)=X16),AND(MIN(X12:X14)=X14,MIN(X15:X17)=X17)),1,0.5),IF(OR(AND(MIN(X12:X14)=X12,MIN(X15:X17)=X15),AND(MIN(X12:X14)=X13,MIN(X15:X17)=X16),AND(MIN(X12:X14)=X14,MIN(X15:X17)=X17)),0.5,0))</f>
        <v>0</v>
      </c>
      <c r="Y10" s="186"/>
      <c r="Z10" s="186">
        <f>IF(OR(AND(MAX(Z12:Z14)=Z12,MAX(Z15:Z17)=Z15),AND(MAX(Z12:Z14)=Z13,MAX(Z15:Z17)=Z16),AND(MAX(Z12:Z14)=Z14,MAX(Z15:Z17)=Z17)),IF(OR(AND(MIN(Z12:Z14)=Z12,MIN(Z15:Z17)=Z15),AND(MIN(Z12:Z14)=Z13,MIN(Z15:Z17)=Z16),AND(MIN(Z12:Z14)=Z14,MIN(Z15:Z17)=Z17)),1,0.5),IF(OR(AND(MIN(Z12:Z14)=Z12,MIN(Z15:Z17)=Z15),AND(MIN(Z12:Z14)=Z13,MIN(Z15:Z17)=Z16),AND(MIN(Z12:Z14)=Z14,MIN(Z15:Z17)=Z17)),0.5,0))</f>
        <v>0.5</v>
      </c>
      <c r="AA10" s="186"/>
      <c r="AB10" s="186">
        <f>IF(OR(AND(MAX(AB12:AB14)=AB12,MAX(AB15:AB17)=AB15),AND(MAX(AB12:AB14)=AB13,MAX(AB15:AB17)=AB16),AND(MAX(AB12:AB14)=AB14,MAX(AB15:AB17)=AB17)),IF(OR(AND(MIN(AB12:AB14)=AB12,MIN(AB15:AB17)=AB15),AND(MIN(AB12:AB14)=AB13,MIN(AB15:AB17)=AB16),AND(MIN(AB12:AB14)=AB14,MIN(AB15:AB17)=AB17)),1,0.5),IF(OR(AND(MIN(AB12:AB14)=AB12,MIN(AB15:AB17)=AB15),AND(MIN(AB12:AB14)=AB13,MIN(AB15:AB17)=AB16),AND(MIN(AB12:AB14)=AB14,MIN(AB15:AB17)=AB17)),0.5,0))</f>
        <v>0</v>
      </c>
      <c r="AC10" s="186"/>
      <c r="AD10" s="186">
        <f>IF(OR(AND(MAX(AD12:AD14)=AD12,MAX(AD15:AD17)=AD15),AND(MAX(AD12:AD14)=AD13,MAX(AD15:AD17)=AD16),AND(MAX(AD12:AD14)=AD14,MAX(AD15:AD17)=AD17)),IF(OR(AND(MIN(AD12:AD14)=AD12,MIN(AD15:AD17)=AD15),AND(MIN(AD12:AD14)=AD13,MIN(AD15:AD17)=AD16),AND(MIN(AD12:AD14)=AD14,MIN(AD15:AD17)=AD17)),1,0.5),IF(OR(AND(MIN(AD12:AD14)=AD12,MIN(AD15:AD17)=AD15),AND(MIN(AD12:AD14)=AD13,MIN(AD15:AD17)=AD16),AND(MIN(AD12:AD14)=AD14,MIN(AD15:AD17)=AD17)),0.5,0))</f>
        <v>0</v>
      </c>
      <c r="AE10" s="186"/>
      <c r="AF10" s="186">
        <f>IF(OR(AND(MAX(AF12:AF14)=AF12,MAX(AF15:AF17)=AF15),AND(MAX(AF12:AF14)=AF13,MAX(AF15:AF17)=AF16),AND(MAX(AF12:AF14)=AF14,MAX(AF15:AF17)=AF17)),IF(OR(AND(MIN(AF12:AF14)=AF12,MIN(AF15:AF17)=AF15),AND(MIN(AF12:AF14)=AF13,MIN(AF15:AF17)=AF16),AND(MIN(AF12:AF14)=AF14,MIN(AF15:AF17)=AF17)),1,0.5),IF(OR(AND(MIN(AF12:AF14)=AF12,MIN(AF15:AF17)=AF15),AND(MIN(AF12:AF14)=AF13,MIN(AF15:AF17)=AF16),AND(MIN(AF12:AF14)=AF14,MIN(AF15:AF17)=AF17)),0.5,0))</f>
        <v>0</v>
      </c>
      <c r="AG10" s="186"/>
      <c r="AH10" s="186">
        <f>IF(OR(AND(MAX(AH12:AH14)=AH12,MAX(AH15:AH17)=AH15),AND(MAX(AH12:AH14)=AH13,MAX(AH15:AH17)=AH16),AND(MAX(AH12:AH14)=AH14,MAX(AH15:AH17)=AH17)),IF(OR(AND(MIN(AH12:AH14)=AH12,MIN(AH15:AH17)=AH15),AND(MIN(AH12:AH14)=AH13,MIN(AH15:AH17)=AH16),AND(MIN(AH12:AH14)=AH14,MIN(AH15:AH17)=AH17)),1,0.5),IF(OR(AND(MIN(AH12:AH14)=AH12,MIN(AH15:AH17)=AH15),AND(MIN(AH12:AH14)=AH13,MIN(AH15:AH17)=AH16),AND(MIN(AH12:AH14)=AH14,MIN(AH15:AH17)=AH17)),0.5,0))</f>
        <v>0</v>
      </c>
      <c r="AI10" s="186"/>
      <c r="AJ10" s="186">
        <f>IF(OR(AND(MAX(AJ12:AJ14)=AJ12,MAX(AJ15:AJ17)=AJ15),AND(MAX(AJ12:AJ14)=AJ13,MAX(AJ15:AJ17)=AJ16),AND(MAX(AJ12:AJ14)=AJ14,MAX(AJ15:AJ17)=AJ17)),IF(OR(AND(MIN(AJ12:AJ14)=AJ12,MIN(AJ15:AJ17)=AJ15),AND(MIN(AJ12:AJ14)=AJ13,MIN(AJ15:AJ17)=AJ16),AND(MIN(AJ12:AJ14)=AJ14,MIN(AJ15:AJ17)=AJ17)),1,0.5),IF(OR(AND(MIN(AJ12:AJ14)=AJ12,MIN(AJ15:AJ17)=AJ15),AND(MIN(AJ12:AJ14)=AJ13,MIN(AJ15:AJ17)=AJ16),AND(MIN(AJ12:AJ14)=AJ14,MIN(AJ15:AJ17)=AJ17)),0.5,0))</f>
        <v>1</v>
      </c>
      <c r="AK10" s="186"/>
      <c r="AL10" s="159" t="str">
        <f t="shared" si="0"/>
        <v>calcul 6</v>
      </c>
    </row>
    <row r="11" spans="1:69" ht="18" thickBot="1">
      <c r="A11" t="s">
        <v>1</v>
      </c>
      <c r="B11" s="189" t="s">
        <v>918</v>
      </c>
      <c r="C11" s="190"/>
      <c r="D11" s="204">
        <f>100-(SQRT((100*D12/(D12+D13+D14)-100*D15/(D15+D16+D17))^2+(100*D13/(D12+D13+D14)-100*D16/(D15+D16+D17))^2+(100*D14/(D12+D13+D14)-100*D17/(D15+D16+D17))^2))</f>
        <v>92.547335057083814</v>
      </c>
      <c r="E11" s="204"/>
      <c r="F11" s="204">
        <f t="shared" ref="F11" si="1">100-(SQRT((100*F12/(F12+F13+F14)-100*F15/(F15+F16+F17))^2+(100*F13/(F12+F13+F14)-100*F16/(F15+F16+F17))^2+(100*F14/(F12+F13+F14)-100*F17/(F15+F16+F17))^2))</f>
        <v>91.222906670948689</v>
      </c>
      <c r="G11" s="204"/>
      <c r="H11" s="204">
        <f t="shared" ref="H11" si="2">100-(SQRT((100*H12/(H12+H13+H14)-100*H15/(H15+H16+H17))^2+(100*H13/(H12+H13+H14)-100*H16/(H15+H16+H17))^2+(100*H14/(H12+H13+H14)-100*H17/(H15+H16+H17))^2))</f>
        <v>86.358697904606558</v>
      </c>
      <c r="I11" s="204"/>
      <c r="J11" s="204">
        <f t="shared" ref="J11" si="3">100-(SQRT((100*J12/(J12+J13+J14)-100*J15/(J15+J16+J17))^2+(100*J13/(J12+J13+J14)-100*J16/(J15+J16+J17))^2+(100*J14/(J12+J13+J14)-100*J17/(J15+J16+J17))^2))</f>
        <v>93.705008883750793</v>
      </c>
      <c r="K11" s="204"/>
      <c r="L11" s="204">
        <f t="shared" ref="L11" si="4">100-(SQRT((100*L12/(L12+L13+L14)-100*L15/(L15+L16+L17))^2+(100*L13/(L12+L13+L14)-100*L16/(L15+L16+L17))^2+(100*L14/(L12+L13+L14)-100*L17/(L15+L16+L17))^2))</f>
        <v>83.161489126580165</v>
      </c>
      <c r="M11" s="204"/>
      <c r="N11" s="204">
        <f t="shared" ref="N11" si="5">100-(SQRT((100*N12/(N12+N13+N14)-100*N15/(N15+N16+N17))^2+(100*N13/(N12+N13+N14)-100*N16/(N15+N16+N17))^2+(100*N14/(N12+N13+N14)-100*N17/(N15+N16+N17))^2))</f>
        <v>89.320597201273998</v>
      </c>
      <c r="O11" s="204"/>
      <c r="P11" s="204">
        <f t="shared" ref="P11" si="6">100-(SQRT((100*P12/(P12+P13+P14)-100*P15/(P15+P16+P17))^2+(100*P13/(P12+P13+P14)-100*P16/(P15+P16+P17))^2+(100*P14/(P12+P13+P14)-100*P17/(P15+P16+P17))^2))</f>
        <v>86.374517298170176</v>
      </c>
      <c r="Q11" s="204"/>
      <c r="R11" s="204">
        <f t="shared" ref="R11" si="7">100-(SQRT((100*R12/(R12+R13+R14)-100*R15/(R15+R16+R17))^2+(100*R13/(R12+R13+R14)-100*R16/(R15+R16+R17))^2+(100*R14/(R12+R13+R14)-100*R17/(R15+R16+R17))^2))</f>
        <v>86.445677563675773</v>
      </c>
      <c r="S11" s="204"/>
      <c r="T11" s="204">
        <f t="shared" ref="T11" si="8">100-(SQRT((100*T12/(T12+T13+T14)-100*T15/(T15+T16+T17))^2+(100*T13/(T12+T13+T14)-100*T16/(T15+T16+T17))^2+(100*T14/(T12+T13+T14)-100*T17/(T15+T16+T17))^2))</f>
        <v>91.703391678657098</v>
      </c>
      <c r="U11" s="204"/>
      <c r="V11" s="204">
        <f t="shared" ref="V11" si="9">100-(SQRT((100*V12/(V12+V13+V14)-100*V15/(V15+V16+V17))^2+(100*V13/(V12+V13+V14)-100*V16/(V15+V16+V17))^2+(100*V14/(V12+V13+V14)-100*V17/(V15+V16+V17))^2))</f>
        <v>93.539223175964466</v>
      </c>
      <c r="W11" s="204"/>
      <c r="X11" s="204">
        <f t="shared" ref="X11" si="10">100-(SQRT((100*X12/(X12+X13+X14)-100*X15/(X15+X16+X17))^2+(100*X13/(X12+X13+X14)-100*X16/(X15+X16+X17))^2+(100*X14/(X12+X13+X14)-100*X17/(X15+X16+X17))^2))</f>
        <v>95.927404523223586</v>
      </c>
      <c r="Y11" s="204"/>
      <c r="Z11" s="204">
        <f t="shared" ref="Z11" si="11">100-(SQRT((100*Z12/(Z12+Z13+Z14)-100*Z15/(Z15+Z16+Z17))^2+(100*Z13/(Z12+Z13+Z14)-100*Z16/(Z15+Z16+Z17))^2+(100*Z14/(Z12+Z13+Z14)-100*Z17/(Z15+Z16+Z17))^2))</f>
        <v>93.333376202739643</v>
      </c>
      <c r="AA11" s="204"/>
      <c r="AB11" s="204">
        <f t="shared" ref="AB11" si="12">100-(SQRT((100*AB12/(AB12+AB13+AB14)-100*AB15/(AB15+AB16+AB17))^2+(100*AB13/(AB12+AB13+AB14)-100*AB16/(AB15+AB16+AB17))^2+(100*AB14/(AB12+AB13+AB14)-100*AB17/(AB15+AB16+AB17))^2))</f>
        <v>95.293391715473177</v>
      </c>
      <c r="AC11" s="204"/>
      <c r="AD11" s="204">
        <f t="shared" ref="AD11" si="13">100-(SQRT((100*AD12/(AD12+AD13+AD14)-100*AD15/(AD15+AD16+AD17))^2+(100*AD13/(AD12+AD13+AD14)-100*AD16/(AD15+AD16+AD17))^2+(100*AD14/(AD12+AD13+AD14)-100*AD17/(AD15+AD16+AD17))^2))</f>
        <v>84.005003166908722</v>
      </c>
      <c r="AE11" s="204"/>
      <c r="AF11" s="204">
        <f t="shared" ref="AF11" si="14">100-(SQRT((100*AF12/(AF12+AF13+AF14)-100*AF15/(AF15+AF16+AF17))^2+(100*AF13/(AF12+AF13+AF14)-100*AF16/(AF15+AF16+AF17))^2+(100*AF14/(AF12+AF13+AF14)-100*AF17/(AF15+AF16+AF17))^2))</f>
        <v>89.235314679462491</v>
      </c>
      <c r="AG11" s="204"/>
      <c r="AH11" s="204">
        <f t="shared" ref="AH11" si="15">100-(SQRT((100*AH12/(AH12+AH13+AH14)-100*AH15/(AH15+AH16+AH17))^2+(100*AH13/(AH12+AH13+AH14)-100*AH16/(AH15+AH16+AH17))^2+(100*AH14/(AH12+AH13+AH14)-100*AH17/(AH15+AH16+AH17))^2))</f>
        <v>81.316240253032134</v>
      </c>
      <c r="AI11" s="204"/>
      <c r="AJ11" s="204">
        <f t="shared" ref="AJ11" si="16">100-(SQRT((100*AJ12/(AJ12+AJ13+AJ14)-100*AJ15/(AJ15+AJ16+AJ17))^2+(100*AJ13/(AJ12+AJ13+AJ14)-100*AJ16/(AJ15+AJ16+AJ17))^2+(100*AJ14/(AJ12+AJ13+AJ14)-100*AJ17/(AJ15+AJ16+AJ17))^2))</f>
        <v>83.667718449734522</v>
      </c>
      <c r="AK11" s="204"/>
      <c r="AL11" s="160" t="s">
        <v>994</v>
      </c>
      <c r="AM11">
        <v>80</v>
      </c>
      <c r="AN11">
        <v>93</v>
      </c>
    </row>
    <row r="12" spans="1:69" ht="14.4" thickBot="1">
      <c r="A12" s="121" t="s">
        <v>853</v>
      </c>
      <c r="B12" s="114">
        <v>45233</v>
      </c>
      <c r="C12" s="155" t="s">
        <v>40</v>
      </c>
      <c r="D12" s="7">
        <f>VLOOKUP(D21,données!$AZ$72:$BK$131,10)</f>
        <v>12</v>
      </c>
      <c r="E12" s="9" t="s">
        <v>1</v>
      </c>
      <c r="F12" s="7">
        <f>VLOOKUP(F21,données!$AZ$72:$BK$131,10)</f>
        <v>12</v>
      </c>
      <c r="G12" s="9">
        <f>F15+1-MIN(F15,F16,F17)</f>
        <v>2.1499999999999915</v>
      </c>
      <c r="H12" s="7">
        <f>VLOOKUP(H21,données!$AZ$72:$BK$131,10)</f>
        <v>13</v>
      </c>
      <c r="I12" s="9">
        <f>H15+1-MIN(H15,H16,H17)</f>
        <v>2.1999999999999886</v>
      </c>
      <c r="J12" s="7">
        <f>VLOOKUP(J21,données!$AZ$72:$BK$131,10)</f>
        <v>12</v>
      </c>
      <c r="K12" s="9">
        <f>J15+1-MIN(J15,J16,J17)</f>
        <v>2.2499999999999858</v>
      </c>
      <c r="L12" s="8">
        <v>12</v>
      </c>
      <c r="M12" s="9">
        <f>L15+1-MIN(L15,L16,L17)</f>
        <v>2.2999999999999972</v>
      </c>
      <c r="N12" s="7">
        <f>VLOOKUP(N21,données!$AZ$72:$BK$131,10)</f>
        <v>13</v>
      </c>
      <c r="O12" s="9">
        <f>N15+1-MIN(N15,N16,N17)</f>
        <v>2.3499999999999801</v>
      </c>
      <c r="P12" s="8">
        <f>VLOOKUP(P21,données!$AZ$72:$BK$131,10)</f>
        <v>12</v>
      </c>
      <c r="Q12" s="9">
        <f>P15+1-MIN(P15,P16,P17)</f>
        <v>2.4000000000000057</v>
      </c>
      <c r="R12" s="7">
        <f>VLOOKUP(R21,données!$AZ$72:$BK$131,10)</f>
        <v>9</v>
      </c>
      <c r="S12" s="9">
        <f>R15+1-MIN(R15,R16,R17)</f>
        <v>2.4499999999999886</v>
      </c>
      <c r="T12" s="8">
        <f>VLOOKUP(T21,données!$AZ$72:$BK$131,10)</f>
        <v>13</v>
      </c>
      <c r="U12" s="9">
        <f>T15+1-MIN(T15,T16,T17)</f>
        <v>2.4499999999999886</v>
      </c>
      <c r="V12" s="7">
        <f>VLOOKUP(V21,données!$AZ$72:$BK$131,10)</f>
        <v>14</v>
      </c>
      <c r="W12" s="9">
        <f>V15+1-MIN(V15,V16,V17)</f>
        <v>2.4500000000000028</v>
      </c>
      <c r="X12" s="8">
        <f>VLOOKUP(X21,données!$AZ$72:$BK$131,10)</f>
        <v>11</v>
      </c>
      <c r="Y12" s="9">
        <f>X15+1-MIN(X15,X16,X17)</f>
        <v>2.4499999999999886</v>
      </c>
      <c r="Z12" s="7">
        <f>VLOOKUP(Z21,données!$AZ$72:$BK$131,10)</f>
        <v>12</v>
      </c>
      <c r="AA12" s="9">
        <f>Z15+1-MIN(Z15,Z16,Z17)</f>
        <v>2.4999999999999858</v>
      </c>
      <c r="AB12" s="8">
        <f>VLOOKUP(AB21,données!$AZ$72:$BK$131,10)</f>
        <v>12</v>
      </c>
      <c r="AC12" s="9">
        <f>AB15+1-MIN(AB15,AB16,AB17)</f>
        <v>2.5499999999999829</v>
      </c>
      <c r="AD12" s="8">
        <f>VLOOKUP(AD21,données!$AZ$72:$BK$131,10)</f>
        <v>5</v>
      </c>
      <c r="AE12" s="9">
        <f>AD15+1-MIN(AD15,AD16,AD17)</f>
        <v>2.5999999999999943</v>
      </c>
      <c r="AF12" s="8">
        <f>VLOOKUP(AF21,données!$AZ$72:$BK$131,10)</f>
        <v>9</v>
      </c>
      <c r="AG12" s="9">
        <f>AF15+1-MIN(AF15,AF16,AF17)</f>
        <v>2.6500000000000057</v>
      </c>
      <c r="AH12" s="7">
        <f>VLOOKUP(AH21,données!$AZ$72:$BK$131,10)</f>
        <v>7</v>
      </c>
      <c r="AI12" s="9">
        <f>AH15+1-MIN(AH15,AH16,AH17)</f>
        <v>2.6499999999999915</v>
      </c>
      <c r="AJ12" s="8">
        <f>VLOOKUP(AJ21,données!$AZ$72:$BK$131,10)</f>
        <v>19</v>
      </c>
      <c r="AK12" s="9">
        <f>AJ15+1-MIN(AJ15,AJ16,AJ17)</f>
        <v>2.6499999999999915</v>
      </c>
      <c r="AL12" s="158" t="str">
        <f>C12</f>
        <v>PMA</v>
      </c>
    </row>
    <row r="13" spans="1:69" ht="15.75" customHeight="1" thickBot="1">
      <c r="A13" s="121" t="s">
        <v>852</v>
      </c>
      <c r="B13" s="115" t="s">
        <v>849</v>
      </c>
      <c r="C13" s="155" t="s">
        <v>41</v>
      </c>
      <c r="D13" s="7">
        <f>VLOOKUP(D21,données!$AZ$72:$BK$131,11)</f>
        <v>9</v>
      </c>
      <c r="E13" s="9" t="s">
        <v>1</v>
      </c>
      <c r="F13" s="7">
        <f>VLOOKUP(F21,données!$AZ$72:$BK$131,11)</f>
        <v>15</v>
      </c>
      <c r="G13" s="9">
        <f>F16+1-MIN(F15,F16,F17)</f>
        <v>3.8500000000000085</v>
      </c>
      <c r="H13" s="7">
        <f>VLOOKUP(H21,données!$AZ$72:$BK$131,11)</f>
        <v>12</v>
      </c>
      <c r="I13" s="9">
        <f>H16+1-MIN(H15,H16,H17)</f>
        <v>3.6000000000000085</v>
      </c>
      <c r="J13" s="7">
        <f>VLOOKUP(J21,données!$AZ$72:$BK$131,11)</f>
        <v>11</v>
      </c>
      <c r="K13" s="9">
        <f>J16+1-MIN(J15,J16,J17)</f>
        <v>3.4000000000000057</v>
      </c>
      <c r="L13" s="8">
        <v>11</v>
      </c>
      <c r="M13" s="9">
        <f>L16+1-MIN(L15,L16,L17)</f>
        <v>3.1500000000000057</v>
      </c>
      <c r="N13" s="7">
        <f>VLOOKUP(N21,données!$AZ$72:$BK$131,11)</f>
        <v>11</v>
      </c>
      <c r="O13" s="9">
        <f>N16+1-MIN(N15,N16,N17)</f>
        <v>2.9499999999999886</v>
      </c>
      <c r="P13" s="8">
        <f>VLOOKUP(P21,données!$AZ$72:$BK$131,11)</f>
        <v>10</v>
      </c>
      <c r="Q13" s="9">
        <f>P16+1-MIN(P15,P16,P17)</f>
        <v>2.7500000000000142</v>
      </c>
      <c r="R13" s="7">
        <f>VLOOKUP(R21,données!$AZ$72:$BK$131,11)</f>
        <v>16</v>
      </c>
      <c r="S13" s="9">
        <f>R16+1-MIN(R15,R16,R17)</f>
        <v>2.5999999999999943</v>
      </c>
      <c r="T13" s="8">
        <f>VLOOKUP(T21,données!$AZ$72:$BK$131,11)</f>
        <v>10</v>
      </c>
      <c r="U13" s="9">
        <f>T16+1-MIN(T15,T16,T17)</f>
        <v>2.4000000000000057</v>
      </c>
      <c r="V13" s="7">
        <f>VLOOKUP(V21,données!$AZ$72:$BK$131,11)</f>
        <v>11</v>
      </c>
      <c r="W13" s="9">
        <f>V16+1-MIN(V15,V16,V17)</f>
        <v>2.2000000000000171</v>
      </c>
      <c r="X13" s="8">
        <f>VLOOKUP(X21,données!$AZ$72:$BK$131,11)</f>
        <v>13</v>
      </c>
      <c r="Y13" s="9">
        <f>X16+1-MIN(X15,X16,X17)</f>
        <v>2.0499999999999972</v>
      </c>
      <c r="Z13" s="7">
        <f>VLOOKUP(Z21,données!$AZ$72:$BK$131,11)</f>
        <v>9</v>
      </c>
      <c r="AA13" s="9">
        <f>Z16+1-MIN(Z15,Z16,Z17)</f>
        <v>1.8999999999999915</v>
      </c>
      <c r="AB13" s="8">
        <f>VLOOKUP(AB21,données!$AZ$72:$BK$131,11)</f>
        <v>12</v>
      </c>
      <c r="AC13" s="9">
        <f>AB16+1-MIN(AB15,AB16,AB17)</f>
        <v>1.75</v>
      </c>
      <c r="AD13" s="8">
        <f>VLOOKUP(AD21,données!$AZ$72:$BK$131,11)</f>
        <v>10</v>
      </c>
      <c r="AE13" s="9">
        <f>AD16+1-MIN(AD15,AD16,AD17)</f>
        <v>1.6500000000000057</v>
      </c>
      <c r="AF13" s="8">
        <f>VLOOKUP(AF21,données!$AZ$72:$BK$131,11)</f>
        <v>14</v>
      </c>
      <c r="AG13" s="9">
        <f>AF16+1-MIN(AF15,AF16,AF17)</f>
        <v>1.5500000000000114</v>
      </c>
      <c r="AH13" s="7">
        <f>VLOOKUP(AH21,données!$AZ$72:$BK$131,11)</f>
        <v>14</v>
      </c>
      <c r="AI13" s="9">
        <f>AH16+1-MIN(AH15,AH16,AH17)</f>
        <v>1.4000000000000057</v>
      </c>
      <c r="AJ13" s="8">
        <f>VLOOKUP(AJ21,données!$AZ$72:$BK$131,11)</f>
        <v>14</v>
      </c>
      <c r="AK13" s="9">
        <f>AJ16+1-MIN(AJ15,AJ16,AJ17)</f>
        <v>1.25</v>
      </c>
      <c r="AL13" s="159" t="str">
        <f t="shared" ref="AL13:AL21" si="17">C13</f>
        <v>circuit</v>
      </c>
    </row>
    <row r="14" spans="1:69" ht="13.8" thickBot="1">
      <c r="A14" t="s">
        <v>904</v>
      </c>
      <c r="B14" s="114">
        <v>45289</v>
      </c>
      <c r="C14" s="157" t="s">
        <v>1</v>
      </c>
      <c r="D14" s="7">
        <f>VLOOKUP(D21,données!$AZ$72:$BK$131,12)</f>
        <v>10</v>
      </c>
      <c r="E14" s="9" t="s">
        <v>1</v>
      </c>
      <c r="F14" s="7">
        <f>VLOOKUP(F21,données!$AZ$72:$BK$131,12)</f>
        <v>10</v>
      </c>
      <c r="G14" s="9">
        <f>F17+1-MIN(F15,F16,F17)</f>
        <v>1</v>
      </c>
      <c r="H14" s="7">
        <f>VLOOKUP(H21,données!$AZ$72:$BK$131,12)</f>
        <v>7</v>
      </c>
      <c r="I14" s="9">
        <f>H17+1-MIN(H15,H16,H17)</f>
        <v>1</v>
      </c>
      <c r="J14" s="7">
        <f>VLOOKUP(J21,données!$AZ$72:$BK$131,12)</f>
        <v>9</v>
      </c>
      <c r="K14" s="9">
        <f>J17+1-MIN(J15,J16,J17)</f>
        <v>1</v>
      </c>
      <c r="L14" s="8">
        <v>20</v>
      </c>
      <c r="M14" s="9">
        <f>L17+1-MIN(L15,L16,L17)</f>
        <v>1</v>
      </c>
      <c r="N14" s="7">
        <f>VLOOKUP(N21,données!$AZ$72:$BK$131,12)</f>
        <v>8</v>
      </c>
      <c r="O14" s="9">
        <f>N17+1-MIN(N15,N16,N17)</f>
        <v>1</v>
      </c>
      <c r="P14" s="8">
        <f>VLOOKUP(P21,données!$AZ$72:$BK$131,12)</f>
        <v>17</v>
      </c>
      <c r="Q14" s="9">
        <f>P17+1-MIN(P15,P16,P17)</f>
        <v>1</v>
      </c>
      <c r="R14" s="7">
        <f>VLOOKUP(R21,données!$AZ$72:$BK$131,12)</f>
        <v>15</v>
      </c>
      <c r="S14" s="9">
        <f>R17+1-MIN(R15,R16,R17)</f>
        <v>1</v>
      </c>
      <c r="T14" s="8">
        <f>VLOOKUP(T21,données!$AZ$72:$BK$131,12)</f>
        <v>14</v>
      </c>
      <c r="U14" s="9">
        <f>T17+1-MIN(T15,T16,T17)</f>
        <v>1</v>
      </c>
      <c r="V14" s="7">
        <f>VLOOKUP(V21,données!$AZ$72:$BK$131,12)</f>
        <v>14</v>
      </c>
      <c r="W14" s="9">
        <f>V17+1-MIN(V15,V16,V17)</f>
        <v>1</v>
      </c>
      <c r="X14" s="8">
        <f>VLOOKUP(X21,données!$AZ$72:$BK$131,12)</f>
        <v>12</v>
      </c>
      <c r="Y14" s="9">
        <f>X17+1-MIN(X15,X16,X17)</f>
        <v>1</v>
      </c>
      <c r="Z14" s="7">
        <f>VLOOKUP(Z21,données!$AZ$72:$BK$131,12)</f>
        <v>11</v>
      </c>
      <c r="AA14" s="9">
        <f>Z17+1-MIN(Z15,Z16,Z17)</f>
        <v>1</v>
      </c>
      <c r="AB14" s="8">
        <f>VLOOKUP(AB21,données!$AZ$72:$BK$131,12)</f>
        <v>14</v>
      </c>
      <c r="AC14" s="9">
        <f>AB17+1-MIN(AB15,AB16,AB17)</f>
        <v>1</v>
      </c>
      <c r="AD14" s="8">
        <f>VLOOKUP(AD21,données!$AZ$72:$BK$131,12)</f>
        <v>9</v>
      </c>
      <c r="AE14" s="9">
        <f>AD17+1-MIN(AD15,AD16,AD17)</f>
        <v>1</v>
      </c>
      <c r="AF14" s="8">
        <f>VLOOKUP(AF21,données!$AZ$72:$BK$131,12)</f>
        <v>11</v>
      </c>
      <c r="AG14" s="9">
        <f>AF17+1-MIN(AF15,AF16,AF17)</f>
        <v>1</v>
      </c>
      <c r="AH14" s="7">
        <f>VLOOKUP(AH21,données!$AZ$72:$BK$131,12)</f>
        <v>8</v>
      </c>
      <c r="AI14" s="9">
        <f>AH17+1-MIN(AH15,AH16,AH17)</f>
        <v>1</v>
      </c>
      <c r="AJ14" s="8">
        <f>VLOOKUP(AJ21,données!$AZ$72:$BK$131,12)</f>
        <v>9</v>
      </c>
      <c r="AK14" s="9">
        <f>AJ17+1-MIN(AJ15,AJ16,AJ17)</f>
        <v>1</v>
      </c>
      <c r="AL14" s="160" t="str">
        <f t="shared" si="17"/>
        <v xml:space="preserve"> </v>
      </c>
    </row>
    <row r="15" spans="1:69">
      <c r="A15" s="4">
        <v>66</v>
      </c>
      <c r="B15" s="114" t="s">
        <v>1</v>
      </c>
      <c r="C15" s="156" t="s">
        <v>40</v>
      </c>
      <c r="D15" s="7">
        <f>D18+VLOOKUP($A$27,données!$AS$14:$AW$24,3,0)*D29+VLOOKUP($A$31,données!$AS$14:$AW$24,3,0)*D33+VLOOKUP($A$35,données!$AS$14:$AW$24,3,0)*D37+VLOOKUP($A$39,données!$AS$14:$AW$24,3,0)*D41+VLOOKUP($A$43,données!$AS$14:$AW$24,3,0)*D45+VLOOKUP($A$47,données!$AS$14:$AW$24,3,0)*D49+VLOOKUP($A$51,données!$AS$14:$AW$24,3,0)*D53+VLOOKUP($A$55,données!$AS$14:$AW$24,3,0)*D57+VLOOKUP($A$59,données!$AS$14:$AW$24,3,0)*D61+VLOOKUP($A$63,données!$AS$14:$AW$24,3,0)*D65+VLOOKUP($A$67,données!$AS$14:$AW$24,3,0)*D69</f>
        <v>80.3</v>
      </c>
      <c r="E15" s="9" t="s">
        <v>1</v>
      </c>
      <c r="F15" s="7">
        <f>IF(COUNT(G15)=0,F18+VLOOKUP($A$27,données!$AS$14:$AW$24,3,0)*F$29+VLOOKUP($A$31,données!$AS$14:$AW$24,3,0)*F$33+VLOOKUP($A$35,données!$AS$14:$AW$24,3,0)*F$37+VLOOKUP($A$39,données!$AS$14:$AW$24,3,0)*F$41+VLOOKUP($A$43,données!$AS$14:$AW$24,3,0)*F$45+VLOOKUP($A$47,données!$AS$14:$AW$24,3,0)*F$49+VLOOKUP($A$51,données!$AS$14:$AW$24,3,0)*F$53+VLOOKUP($A$55,données!$AS$14:$AW$24,3,0)*F$57+VLOOKUP($A$59,données!$AS$14:$AW$24,3,0)*F$61+VLOOKUP($A$63,données!$AS$14:$AW$24,3,0)*F$65+VLOOKUP($A$67,données!$AS$14:$AW$24,3,0)*F$69,G15)</f>
        <v>80.099999999999994</v>
      </c>
      <c r="G15" s="9"/>
      <c r="H15" s="7">
        <f>IF(COUNT(I15)=0,H18+VLOOKUP($A$27,données!$AS$14:$AW$24,3,0)*H$29+VLOOKUP($A$31,données!$AS$14:$AW$24,3,0)*H$33+VLOOKUP($A$35,données!$AS$14:$AW$24,3,0)*H$37+VLOOKUP($A$39,données!$AS$14:$AW$24,3,0)*H$41+VLOOKUP($A$43,données!$AS$14:$AW$24,3,0)*H$45+VLOOKUP($A$47,données!$AS$14:$AW$24,3,0)*H$49+VLOOKUP($A$51,données!$AS$14:$AW$24,3,0)*H$53+VLOOKUP($A$55,données!$AS$14:$AW$24,3,0)*H$57+VLOOKUP($A$59,données!$AS$14:$AW$24,3,0)*H$61+VLOOKUP($A$63,données!$AS$14:$AW$24,3,0)*H$65+VLOOKUP($A$67,données!$AS$14:$AW$24,3,0)*H$69,I15)</f>
        <v>79.899999999999991</v>
      </c>
      <c r="I15" s="9" t="s">
        <v>1</v>
      </c>
      <c r="J15" s="7">
        <f>IF(COUNT(K15)=0,J18+VLOOKUP($A$27,données!$AS$14:$AW$24,3,0)*J$29+VLOOKUP($A$31,données!$AS$14:$AW$24,3,0)*J$33+VLOOKUP($A$35,données!$AS$14:$AW$24,3,0)*J$37+VLOOKUP($A$39,données!$AS$14:$AW$24,3,0)*J$41+VLOOKUP($A$43,données!$AS$14:$AW$24,3,0)*J$45+VLOOKUP($A$47,données!$AS$14:$AW$24,3,0)*J$49+VLOOKUP($A$51,données!$AS$14:$AW$24,3,0)*J$53+VLOOKUP($A$55,données!$AS$14:$AW$24,3,0)*J$57+VLOOKUP($A$59,données!$AS$14:$AW$24,3,0)*J$61+VLOOKUP($A$63,données!$AS$14:$AW$24,3,0)*J$65+VLOOKUP($A$67,données!$AS$14:$AW$24,3,0)*J$69,K15)</f>
        <v>79.699999999999989</v>
      </c>
      <c r="K15" s="9" t="s">
        <v>1</v>
      </c>
      <c r="L15" s="7">
        <f>IF(COUNT(M15)=0,L18+VLOOKUP($A$27,données!$AS$14:$AW$24,3,0)*L$29+VLOOKUP($A$31,données!$AS$14:$AW$24,3,0)*L$33+VLOOKUP($A$35,données!$AS$14:$AW$24,3,0)*L$37+VLOOKUP($A$39,données!$AS$14:$AW$24,3,0)*L$41+VLOOKUP($A$43,données!$AS$14:$AW$24,3,0)*L$45+VLOOKUP($A$47,données!$AS$14:$AW$24,3,0)*L$49+VLOOKUP($A$51,données!$AS$14:$AW$24,3,0)*L$53+VLOOKUP($A$55,données!$AS$14:$AW$24,3,0)*L$57+VLOOKUP($A$59,données!$AS$14:$AW$24,3,0)*L$61+VLOOKUP($A$63,données!$AS$14:$AW$24,3,0)*L$65+VLOOKUP($A$67,données!$AS$14:$AW$24,3,0)*L$69,M15)</f>
        <v>79.55</v>
      </c>
      <c r="M15" s="9" t="s">
        <v>1</v>
      </c>
      <c r="N15" s="7">
        <f>IF(COUNT(O15)=0,N18+VLOOKUP($A$27,données!$AS$14:$AW$24,3,0)*N$29+VLOOKUP($A$31,données!$AS$14:$AW$24,3,0)*N$33+VLOOKUP($A$35,données!$AS$14:$AW$24,3,0)*N$37+VLOOKUP($A$39,données!$AS$14:$AW$24,3,0)*N$41+VLOOKUP($A$43,données!$AS$14:$AW$24,3,0)*N$45+VLOOKUP($A$47,données!$AS$14:$AW$24,3,0)*N$49+VLOOKUP($A$51,données!$AS$14:$AW$24,3,0)*N$53+VLOOKUP($A$55,données!$AS$14:$AW$24,3,0)*N$57+VLOOKUP($A$59,données!$AS$14:$AW$24,3,0)*N$61+VLOOKUP($A$63,données!$AS$14:$AW$24,3,0)*N$65+VLOOKUP($A$67,données!$AS$14:$AW$24,3,0)*N$69,O15)</f>
        <v>79.399999999999991</v>
      </c>
      <c r="O15" s="9" t="s">
        <v>1</v>
      </c>
      <c r="P15" s="7">
        <f>IF(COUNT(Q15)=0,P18+VLOOKUP($A$27,données!$AS$14:$AW$24,3,0)*P$29+VLOOKUP($A$31,données!$AS$14:$AW$24,3,0)*P$33+VLOOKUP($A$35,données!$AS$14:$AW$24,3,0)*P$37+VLOOKUP($A$39,données!$AS$14:$AW$24,3,0)*P$41+VLOOKUP($A$43,données!$AS$14:$AW$24,3,0)*P$45+VLOOKUP($A$47,données!$AS$14:$AW$24,3,0)*P$49+VLOOKUP($A$51,données!$AS$14:$AW$24,3,0)*P$53+VLOOKUP($A$55,données!$AS$14:$AW$24,3,0)*P$57+VLOOKUP($A$59,données!$AS$14:$AW$24,3,0)*P$61+VLOOKUP($A$63,données!$AS$14:$AW$24,3,0)*P$65+VLOOKUP($A$67,données!$AS$14:$AW$24,3,0)*P$69,Q15)</f>
        <v>79.25</v>
      </c>
      <c r="Q15" s="9" t="s">
        <v>1</v>
      </c>
      <c r="R15" s="7">
        <f>IF(COUNT(S15)=0,R18+VLOOKUP($A$27,données!$AS$14:$AW$24,3,0)*R$29+VLOOKUP($A$31,données!$AS$14:$AW$24,3,0)*R$33+VLOOKUP($A$35,données!$AS$14:$AW$24,3,0)*R$37+VLOOKUP($A$39,données!$AS$14:$AW$24,3,0)*R$41+VLOOKUP($A$43,données!$AS$14:$AW$24,3,0)*R$45+VLOOKUP($A$47,données!$AS$14:$AW$24,3,0)*R$49+VLOOKUP($A$51,données!$AS$14:$AW$24,3,0)*R$53+VLOOKUP($A$55,données!$AS$14:$AW$24,3,0)*R$57+VLOOKUP($A$59,données!$AS$14:$AW$24,3,0)*R$61+VLOOKUP($A$63,données!$AS$14:$AW$24,3,0)*R$65+VLOOKUP($A$67,données!$AS$14:$AW$24,3,0)*R$69,S15)</f>
        <v>79.099999999999994</v>
      </c>
      <c r="S15" s="9" t="s">
        <v>1</v>
      </c>
      <c r="T15" s="7">
        <f>IF(COUNT(U15)=0,T18+VLOOKUP($A$27,données!$AS$14:$AW$24,3,0)*T$29+VLOOKUP($A$31,données!$AS$14:$AW$24,3,0)*T$33+VLOOKUP($A$35,données!$AS$14:$AW$24,3,0)*T$37+VLOOKUP($A$39,données!$AS$14:$AW$24,3,0)*T$41+VLOOKUP($A$43,données!$AS$14:$AW$24,3,0)*T$45+VLOOKUP($A$47,données!$AS$14:$AW$24,3,0)*T$49+VLOOKUP($A$51,données!$AS$14:$AW$24,3,0)*T$53+VLOOKUP($A$55,données!$AS$14:$AW$24,3,0)*T$57+VLOOKUP($A$59,données!$AS$14:$AW$24,3,0)*T$61+VLOOKUP($A$63,données!$AS$14:$AW$24,3,0)*T$65+VLOOKUP($A$67,données!$AS$14:$AW$24,3,0)*T$69,U15)</f>
        <v>78.949999999999989</v>
      </c>
      <c r="U15" s="9" t="s">
        <v>1</v>
      </c>
      <c r="V15" s="7">
        <f>IF(COUNT(W15)=0,V18+VLOOKUP($A$27,données!$AS$14:$AW$24,3,0)*V$29+VLOOKUP($A$31,données!$AS$14:$AW$24,3,0)*V$33+VLOOKUP($A$35,données!$AS$14:$AW$24,3,0)*V$37+VLOOKUP($A$39,données!$AS$14:$AW$24,3,0)*V$41+VLOOKUP($A$43,données!$AS$14:$AW$24,3,0)*V$45+VLOOKUP($A$47,données!$AS$14:$AW$24,3,0)*V$49+VLOOKUP($A$51,données!$AS$14:$AW$24,3,0)*V$53+VLOOKUP($A$55,données!$AS$14:$AW$24,3,0)*V$57+VLOOKUP($A$59,données!$AS$14:$AW$24,3,0)*V$61+VLOOKUP($A$63,données!$AS$14:$AW$24,3,0)*V$65+VLOOKUP($A$67,données!$AS$14:$AW$24,3,0)*V$69,W15)</f>
        <v>78.8</v>
      </c>
      <c r="W15" s="9"/>
      <c r="X15" s="7">
        <f>IF(COUNT(Y15)=0,X18+VLOOKUP($A$27,données!$AS$14:$AW$24,3,0)*X$29+VLOOKUP($A$31,données!$AS$14:$AW$24,3,0)*X$33+VLOOKUP($A$35,données!$AS$14:$AW$24,3,0)*X$37+VLOOKUP($A$39,données!$AS$14:$AW$24,3,0)*X$41+VLOOKUP($A$43,données!$AS$14:$AW$24,3,0)*X$45+VLOOKUP($A$47,données!$AS$14:$AW$24,3,0)*X$49+VLOOKUP($A$51,données!$AS$14:$AW$24,3,0)*X$53+VLOOKUP($A$55,données!$AS$14:$AW$24,3,0)*X$57+VLOOKUP($A$59,données!$AS$14:$AW$24,3,0)*X$61+VLOOKUP($A$63,données!$AS$14:$AW$24,3,0)*X$65+VLOOKUP($A$67,données!$AS$14:$AW$24,3,0)*X$69,Y15)</f>
        <v>78.649999999999991</v>
      </c>
      <c r="Y15" s="9" t="s">
        <v>1</v>
      </c>
      <c r="Z15" s="7">
        <f>IF(COUNT(AA15)=0,Z18+VLOOKUP($A$27,données!$AS$14:$AW$24,3,0)*Z$29+VLOOKUP($A$31,données!$AS$14:$AW$24,3,0)*Z$33+VLOOKUP($A$35,données!$AS$14:$AW$24,3,0)*Z$37+VLOOKUP($A$39,données!$AS$14:$AW$24,3,0)*Z$41+VLOOKUP($A$43,données!$AS$14:$AW$24,3,0)*Z$45+VLOOKUP($A$47,données!$AS$14:$AW$24,3,0)*Z$49+VLOOKUP($A$51,données!$AS$14:$AW$24,3,0)*Z$53+VLOOKUP($A$55,données!$AS$14:$AW$24,3,0)*Z$57+VLOOKUP($A$59,données!$AS$14:$AW$24,3,0)*Z$61+VLOOKUP($A$63,données!$AS$14:$AW$24,3,0)*Z$65+VLOOKUP($A$67,données!$AS$14:$AW$24,3,0)*Z$69,AA15)</f>
        <v>78.55</v>
      </c>
      <c r="AA15" s="9" t="s">
        <v>1</v>
      </c>
      <c r="AB15" s="7">
        <f>IF(COUNT(AC15)=0,AB18+VLOOKUP($A$27,données!$AS$14:$AW$24,3,0)*AB$29+VLOOKUP($A$31,données!$AS$14:$AW$24,3,0)*AB$33+VLOOKUP($A$35,données!$AS$14:$AW$24,3,0)*AB$37+VLOOKUP($A$39,données!$AS$14:$AW$24,3,0)*AB$41+VLOOKUP($A$43,données!$AS$14:$AW$24,3,0)*AB$45+VLOOKUP($A$47,données!$AS$14:$AW$24,3,0)*AB$49+VLOOKUP($A$51,données!$AS$14:$AW$24,3,0)*AB$53+VLOOKUP($A$55,données!$AS$14:$AW$24,3,0)*AB$57+VLOOKUP($A$59,données!$AS$14:$AW$24,3,0)*AB$61+VLOOKUP($A$63,données!$AS$14:$AW$24,3,0)*AB$65+VLOOKUP($A$67,données!$AS$14:$AW$24,3,0)*AB$69,AC15)</f>
        <v>78.449999999999989</v>
      </c>
      <c r="AC15" s="9" t="s">
        <v>1</v>
      </c>
      <c r="AD15" s="7">
        <f>IF(COUNT(AE15)=0,AD18+VLOOKUP($A$27,données!$AS$14:$AW$24,3,0)*AD$29+VLOOKUP($A$31,données!$AS$14:$AW$24,3,0)*AD$33+VLOOKUP($A$35,données!$AS$14:$AW$24,3,0)*AD$37+VLOOKUP($A$39,données!$AS$14:$AW$24,3,0)*AD$41+VLOOKUP($A$43,données!$AS$14:$AW$24,3,0)*AD$45+VLOOKUP($A$47,données!$AS$14:$AW$24,3,0)*AD$49+VLOOKUP($A$51,données!$AS$14:$AW$24,3,0)*AD$53+VLOOKUP($A$55,données!$AS$14:$AW$24,3,0)*AD$57+VLOOKUP($A$59,données!$AS$14:$AW$24,3,0)*AD$61+VLOOKUP($A$63,données!$AS$14:$AW$24,3,0)*AD$65+VLOOKUP($A$67,données!$AS$14:$AW$24,3,0)*AD$69,AE15)</f>
        <v>78.349999999999994</v>
      </c>
      <c r="AE15" s="9" t="s">
        <v>1</v>
      </c>
      <c r="AF15" s="7">
        <f>IF(COUNT(AG15)=0,AF18+VLOOKUP($A$27,données!$AS$14:$AW$24,3,0)*AF$29+VLOOKUP($A$31,données!$AS$14:$AW$24,3,0)*AF$33+VLOOKUP($A$35,données!$AS$14:$AW$24,3,0)*AF$37+VLOOKUP($A$39,données!$AS$14:$AW$24,3,0)*AF$41+VLOOKUP($A$43,données!$AS$14:$AW$24,3,0)*AF$45+VLOOKUP($A$47,données!$AS$14:$AW$24,3,0)*AF$49+VLOOKUP($A$51,données!$AS$14:$AW$24,3,0)*AF$53+VLOOKUP($A$55,données!$AS$14:$AW$24,3,0)*AF$57+VLOOKUP($A$59,données!$AS$14:$AW$24,3,0)*AF$61+VLOOKUP($A$63,données!$AS$14:$AW$24,3,0)*AF$65+VLOOKUP($A$67,données!$AS$14:$AW$24,3,0)*AF$69,AG15)</f>
        <v>78.25</v>
      </c>
      <c r="AG15" s="9" t="s">
        <v>1</v>
      </c>
      <c r="AH15" s="7">
        <f>IF(COUNT(AI15)=0,AH18+VLOOKUP($A$27,données!$AS$14:$AW$24,3,0)*AH$29+VLOOKUP($A$31,données!$AS$14:$AW$24,3,0)*AH$33+VLOOKUP($A$35,données!$AS$14:$AW$24,3,0)*AH$37+VLOOKUP($A$39,données!$AS$14:$AW$24,3,0)*AH$41+VLOOKUP($A$43,données!$AS$14:$AW$24,3,0)*AH$45+VLOOKUP($A$47,données!$AS$14:$AW$24,3,0)*AH$49+VLOOKUP($A$51,données!$AS$14:$AW$24,3,0)*AH$53+VLOOKUP($A$55,données!$AS$14:$AW$24,3,0)*AH$57+VLOOKUP($A$59,données!$AS$14:$AW$24,3,0)*AH$61+VLOOKUP($A$63,données!$AS$14:$AW$24,3,0)*AH$65+VLOOKUP($A$67,données!$AS$14:$AW$24,3,0)*AH$69,AI15)</f>
        <v>78.149999999999991</v>
      </c>
      <c r="AI15" s="9" t="s">
        <v>1</v>
      </c>
      <c r="AJ15" s="7">
        <f>IF(COUNT(AK15)=0,AJ18+VLOOKUP($A$27,données!$AS$14:$AW$24,3,0)*AJ$29+VLOOKUP($A$31,données!$AS$14:$AW$24,3,0)*AJ$33+VLOOKUP($A$35,données!$AS$14:$AW$24,3,0)*AJ$37+VLOOKUP($A$39,données!$AS$14:$AW$24,3,0)*AJ$41+VLOOKUP($A$43,données!$AS$14:$AW$24,3,0)*AJ$45+VLOOKUP($A$47,données!$AS$14:$AW$24,3,0)*AJ$49+VLOOKUP($A$51,données!$AS$14:$AW$24,3,0)*AJ$53+VLOOKUP($A$55,données!$AS$14:$AW$24,3,0)*AJ$57+VLOOKUP($A$59,données!$AS$14:$AW$24,3,0)*AJ$61+VLOOKUP($A$63,données!$AS$14:$AW$24,3,0)*AJ$65+VLOOKUP($A$67,données!$AS$14:$AW$24,3,0)*AJ$69,AK15)</f>
        <v>78.05</v>
      </c>
      <c r="AK15" s="9" t="s">
        <v>1</v>
      </c>
      <c r="AL15" s="158" t="str">
        <f t="shared" si="17"/>
        <v>PMA</v>
      </c>
    </row>
    <row r="16" spans="1:69">
      <c r="A16" s="6" t="str">
        <f>A22</f>
        <v>Grobnik</v>
      </c>
      <c r="B16" s="2"/>
      <c r="C16" s="155" t="s">
        <v>988</v>
      </c>
      <c r="D16" s="7">
        <f>D19+VLOOKUP($A$27,données!$AS$14:$AW$24,4,0)*D29+VLOOKUP($A$31,données!$AS$14:$AW$24,4,0)*D33+VLOOKUP($A$35,données!$AS$14:$AW$24,4,0)*D37+VLOOKUP($A$39,données!$AS$14:$AW$24,4,0)*D41+VLOOKUP($A$43,données!$AS$14:$AW$24,4,0)*D45+VLOOKUP($A$47,données!$AS$14:$AW$24,4,0)*D49+VLOOKUP($A$51,données!$AS$14:$AW$24,4,0)*D53+VLOOKUP($A$55,données!$AS$14:$AW$24,4,0)*D57+VLOOKUP($A$59,données!$AS$14:$AW$24,4,0)*D61+VLOOKUP($A$63,données!$AS$14:$AW$24,4,0)*D65+VLOOKUP($A$67,données!$AS$14:$AW$24,4,0)*D69</f>
        <v>82.300000000000011</v>
      </c>
      <c r="E16" s="9" t="s">
        <v>1</v>
      </c>
      <c r="F16" s="7">
        <f>IF(COUNT(G16)=0,F19+VLOOKUP($A$27,données!$AS$14:$AW$24,4,0)*F$29+VLOOKUP($A$31,données!$AS$14:$AW$24,4,0)*F$33+VLOOKUP($A$35,données!$AS$14:$AW$24,4,0)*F$37+VLOOKUP($A$39,données!$AS$14:$AW$24,4,0)*F$41+VLOOKUP($A$43,données!$AS$14:$AW$24,4,0)*F$45+VLOOKUP($A$47,données!$AS$14:$AW$24,4,0)*F$49+VLOOKUP($A$51,données!$AS$14:$AW$24,4,0)*F$53+VLOOKUP($A$55,données!$AS$14:$AW$24,4,0)*F$57+VLOOKUP($A$59,données!$AS$14:$AW$24,4,0)*F$61+VLOOKUP($A$63,données!$AS$14:$AW$24,4,0)*F$65+VLOOKUP($A$67,données!$AS$14:$AW$24,4,0)*F$69,G16)</f>
        <v>81.800000000000011</v>
      </c>
      <c r="G16" s="9"/>
      <c r="H16" s="7">
        <f>IF(COUNT(I16)=0,H19+VLOOKUP($A$27,données!$AS$14:$AW$24,4,0)*H$29+VLOOKUP($A$31,données!$AS$14:$AW$24,4,0)*H$33+VLOOKUP($A$35,données!$AS$14:$AW$24,4,0)*H$37+VLOOKUP($A$39,données!$AS$14:$AW$24,4,0)*H$41+VLOOKUP($A$43,données!$AS$14:$AW$24,4,0)*H$45+VLOOKUP($A$47,données!$AS$14:$AW$24,4,0)*H$49+VLOOKUP($A$51,données!$AS$14:$AW$24,4,0)*H$53+VLOOKUP($A$55,données!$AS$14:$AW$24,4,0)*H$57+VLOOKUP($A$59,données!$AS$14:$AW$24,4,0)*H$61+VLOOKUP($A$63,données!$AS$14:$AW$24,4,0)*H$65+VLOOKUP($A$67,données!$AS$14:$AW$24,4,0)*H$69,I16)</f>
        <v>81.300000000000011</v>
      </c>
      <c r="I16" s="9" t="s">
        <v>1</v>
      </c>
      <c r="J16" s="7">
        <f>IF(COUNT(K16)=0,J19+VLOOKUP($A$27,données!$AS$14:$AW$24,4,0)*J$29+VLOOKUP($A$31,données!$AS$14:$AW$24,4,0)*J$33+VLOOKUP($A$35,données!$AS$14:$AW$24,4,0)*J$37+VLOOKUP($A$39,données!$AS$14:$AW$24,4,0)*J$41+VLOOKUP($A$43,données!$AS$14:$AW$24,4,0)*J$45+VLOOKUP($A$47,données!$AS$14:$AW$24,4,0)*J$49+VLOOKUP($A$51,données!$AS$14:$AW$24,4,0)*J$53+VLOOKUP($A$55,données!$AS$14:$AW$24,4,0)*J$57+VLOOKUP($A$59,données!$AS$14:$AW$24,4,0)*J$61+VLOOKUP($A$63,données!$AS$14:$AW$24,4,0)*J$65+VLOOKUP($A$67,données!$AS$14:$AW$24,4,0)*J$69,K16)</f>
        <v>80.850000000000009</v>
      </c>
      <c r="K16" s="9" t="s">
        <v>1</v>
      </c>
      <c r="L16" s="7">
        <f>IF(COUNT(M16)=0,L19+VLOOKUP($A$27,données!$AS$14:$AW$24,4,0)*L$29+VLOOKUP($A$31,données!$AS$14:$AW$24,4,0)*L$33+VLOOKUP($A$35,données!$AS$14:$AW$24,4,0)*L$37+VLOOKUP($A$39,données!$AS$14:$AW$24,4,0)*L$41+VLOOKUP($A$43,données!$AS$14:$AW$24,4,0)*L$45+VLOOKUP($A$47,données!$AS$14:$AW$24,4,0)*L$49+VLOOKUP($A$51,données!$AS$14:$AW$24,4,0)*L$53+VLOOKUP($A$55,données!$AS$14:$AW$24,4,0)*L$57+VLOOKUP($A$59,données!$AS$14:$AW$24,4,0)*L$61+VLOOKUP($A$63,données!$AS$14:$AW$24,4,0)*L$65+VLOOKUP($A$67,données!$AS$14:$AW$24,4,0)*L$69,M16)</f>
        <v>80.400000000000006</v>
      </c>
      <c r="M16" s="9" t="s">
        <v>1</v>
      </c>
      <c r="N16" s="7">
        <f>IF(COUNT(O16)=0,N19+VLOOKUP($A$27,données!$AS$14:$AW$24,4,0)*N$29+VLOOKUP($A$31,données!$AS$14:$AW$24,4,0)*N$33+VLOOKUP($A$35,données!$AS$14:$AW$24,4,0)*N$37+VLOOKUP($A$39,données!$AS$14:$AW$24,4,0)*N$41+VLOOKUP($A$43,données!$AS$14:$AW$24,4,0)*N$45+VLOOKUP($A$47,données!$AS$14:$AW$24,4,0)*N$49+VLOOKUP($A$51,données!$AS$14:$AW$24,4,0)*N$53+VLOOKUP($A$55,données!$AS$14:$AW$24,4,0)*N$57+VLOOKUP($A$59,données!$AS$14:$AW$24,4,0)*N$61+VLOOKUP($A$63,données!$AS$14:$AW$24,4,0)*N$65+VLOOKUP($A$67,données!$AS$14:$AW$24,4,0)*N$69,O16)</f>
        <v>80</v>
      </c>
      <c r="O16" s="9" t="s">
        <v>1</v>
      </c>
      <c r="P16" s="7">
        <f>IF(COUNT(Q16)=0,P19+VLOOKUP($A$27,données!$AS$14:$AW$24,4,0)*P$29+VLOOKUP($A$31,données!$AS$14:$AW$24,4,0)*P$33+VLOOKUP($A$35,données!$AS$14:$AW$24,4,0)*P$37+VLOOKUP($A$39,données!$AS$14:$AW$24,4,0)*P$41+VLOOKUP($A$43,données!$AS$14:$AW$24,4,0)*P$45+VLOOKUP($A$47,données!$AS$14:$AW$24,4,0)*P$49+VLOOKUP($A$51,données!$AS$14:$AW$24,4,0)*P$53+VLOOKUP($A$55,données!$AS$14:$AW$24,4,0)*P$57+VLOOKUP($A$59,données!$AS$14:$AW$24,4,0)*P$61+VLOOKUP($A$63,données!$AS$14:$AW$24,4,0)*P$65+VLOOKUP($A$67,données!$AS$14:$AW$24,4,0)*P$69,Q16)</f>
        <v>79.600000000000009</v>
      </c>
      <c r="Q16" s="9" t="s">
        <v>1</v>
      </c>
      <c r="R16" s="7">
        <f>IF(COUNT(S16)=0,R19+VLOOKUP($A$27,données!$AS$14:$AW$24,4,0)*R$29+VLOOKUP($A$31,données!$AS$14:$AW$24,4,0)*R$33+VLOOKUP($A$35,données!$AS$14:$AW$24,4,0)*R$37+VLOOKUP($A$39,données!$AS$14:$AW$24,4,0)*R$41+VLOOKUP($A$43,données!$AS$14:$AW$24,4,0)*R$45+VLOOKUP($A$47,données!$AS$14:$AW$24,4,0)*R$49+VLOOKUP($A$51,données!$AS$14:$AW$24,4,0)*R$53+VLOOKUP($A$55,données!$AS$14:$AW$24,4,0)*R$57+VLOOKUP($A$59,données!$AS$14:$AW$24,4,0)*R$61+VLOOKUP($A$63,données!$AS$14:$AW$24,4,0)*R$65+VLOOKUP($A$67,données!$AS$14:$AW$24,4,0)*R$69,S16)</f>
        <v>79.25</v>
      </c>
      <c r="S16" s="9" t="s">
        <v>1</v>
      </c>
      <c r="T16" s="7">
        <f>IF(COUNT(U16)=0,T19+VLOOKUP($A$27,données!$AS$14:$AW$24,4,0)*T$29+VLOOKUP($A$31,données!$AS$14:$AW$24,4,0)*T$33+VLOOKUP($A$35,données!$AS$14:$AW$24,4,0)*T$37+VLOOKUP($A$39,données!$AS$14:$AW$24,4,0)*T$41+VLOOKUP($A$43,données!$AS$14:$AW$24,4,0)*T$45+VLOOKUP($A$47,données!$AS$14:$AW$24,4,0)*T$49+VLOOKUP($A$51,données!$AS$14:$AW$24,4,0)*T$53+VLOOKUP($A$55,données!$AS$14:$AW$24,4,0)*T$57+VLOOKUP($A$59,données!$AS$14:$AW$24,4,0)*T$61+VLOOKUP($A$63,données!$AS$14:$AW$24,4,0)*T$65+VLOOKUP($A$67,données!$AS$14:$AW$24,4,0)*T$69,U16)</f>
        <v>78.900000000000006</v>
      </c>
      <c r="U16" s="9" t="s">
        <v>1</v>
      </c>
      <c r="V16" s="7">
        <f>IF(COUNT(W16)=0,V19+VLOOKUP($A$27,données!$AS$14:$AW$24,4,0)*V$29+VLOOKUP($A$31,données!$AS$14:$AW$24,4,0)*V$33+VLOOKUP($A$35,données!$AS$14:$AW$24,4,0)*V$37+VLOOKUP($A$39,données!$AS$14:$AW$24,4,0)*V$41+VLOOKUP($A$43,données!$AS$14:$AW$24,4,0)*V$45+VLOOKUP($A$47,données!$AS$14:$AW$24,4,0)*V$49+VLOOKUP($A$51,données!$AS$14:$AW$24,4,0)*V$53+VLOOKUP($A$55,données!$AS$14:$AW$24,4,0)*V$57+VLOOKUP($A$59,données!$AS$14:$AW$24,4,0)*V$61+VLOOKUP($A$63,données!$AS$14:$AW$24,4,0)*V$65+VLOOKUP($A$67,données!$AS$14:$AW$24,4,0)*V$69,W16)</f>
        <v>78.550000000000011</v>
      </c>
      <c r="W16" s="9" t="s">
        <v>1</v>
      </c>
      <c r="X16" s="7">
        <f>IF(COUNT(Y16)=0,X19+VLOOKUP($A$27,données!$AS$14:$AW$24,4,0)*X$29+VLOOKUP($A$31,données!$AS$14:$AW$24,4,0)*X$33+VLOOKUP($A$35,données!$AS$14:$AW$24,4,0)*X$37+VLOOKUP($A$39,données!$AS$14:$AW$24,4,0)*X$41+VLOOKUP($A$43,données!$AS$14:$AW$24,4,0)*X$45+VLOOKUP($A$47,données!$AS$14:$AW$24,4,0)*X$49+VLOOKUP($A$51,données!$AS$14:$AW$24,4,0)*X$53+VLOOKUP($A$55,données!$AS$14:$AW$24,4,0)*X$57+VLOOKUP($A$59,données!$AS$14:$AW$24,4,0)*X$61+VLOOKUP($A$63,données!$AS$14:$AW$24,4,0)*X$65+VLOOKUP($A$67,données!$AS$14:$AW$24,4,0)*X$69,Y16)</f>
        <v>78.25</v>
      </c>
      <c r="Y16" s="9" t="s">
        <v>1</v>
      </c>
      <c r="Z16" s="7">
        <f>IF(COUNT(AA16)=0,Z19+VLOOKUP($A$27,données!$AS$14:$AW$24,4,0)*Z$29+VLOOKUP($A$31,données!$AS$14:$AW$24,4,0)*Z$33+VLOOKUP($A$35,données!$AS$14:$AW$24,4,0)*Z$37+VLOOKUP($A$39,données!$AS$14:$AW$24,4,0)*Z$41+VLOOKUP($A$43,données!$AS$14:$AW$24,4,0)*Z$45+VLOOKUP($A$47,données!$AS$14:$AW$24,4,0)*Z$49+VLOOKUP($A$51,données!$AS$14:$AW$24,4,0)*Z$53+VLOOKUP($A$55,données!$AS$14:$AW$24,4,0)*Z$57+VLOOKUP($A$59,données!$AS$14:$AW$24,4,0)*Z$61+VLOOKUP($A$63,données!$AS$14:$AW$24,4,0)*Z$65+VLOOKUP($A$67,données!$AS$14:$AW$24,4,0)*Z$69,AA16)</f>
        <v>77.95</v>
      </c>
      <c r="AA16" s="9" t="s">
        <v>1</v>
      </c>
      <c r="AB16" s="7">
        <f>IF(COUNT(AC16)=0,AB19+VLOOKUP($A$27,données!$AS$14:$AW$24,4,0)*AB$29+VLOOKUP($A$31,données!$AS$14:$AW$24,4,0)*AB$33+VLOOKUP($A$35,données!$AS$14:$AW$24,4,0)*AB$37+VLOOKUP($A$39,données!$AS$14:$AW$24,4,0)*AB$41+VLOOKUP($A$43,données!$AS$14:$AW$24,4,0)*AB$45+VLOOKUP($A$47,données!$AS$14:$AW$24,4,0)*AB$49+VLOOKUP($A$51,données!$AS$14:$AW$24,4,0)*AB$53+VLOOKUP($A$55,données!$AS$14:$AW$24,4,0)*AB$57+VLOOKUP($A$59,données!$AS$14:$AW$24,4,0)*AB$61+VLOOKUP($A$63,données!$AS$14:$AW$24,4,0)*AB$65+VLOOKUP($A$67,données!$AS$14:$AW$24,4,0)*AB$69,AC16)</f>
        <v>77.650000000000006</v>
      </c>
      <c r="AC16" s="9" t="s">
        <v>1</v>
      </c>
      <c r="AD16" s="7">
        <f>IF(COUNT(AE16)=0,AD19+VLOOKUP($A$27,données!$AS$14:$AW$24,4,0)*AD$29+VLOOKUP($A$31,données!$AS$14:$AW$24,4,0)*AD$33+VLOOKUP($A$35,données!$AS$14:$AW$24,4,0)*AD$37+VLOOKUP($A$39,données!$AS$14:$AW$24,4,0)*AD$41+VLOOKUP($A$43,données!$AS$14:$AW$24,4,0)*AD$45+VLOOKUP($A$47,données!$AS$14:$AW$24,4,0)*AD$49+VLOOKUP($A$51,données!$AS$14:$AW$24,4,0)*AD$53+VLOOKUP($A$55,données!$AS$14:$AW$24,4,0)*AD$57+VLOOKUP($A$59,données!$AS$14:$AW$24,4,0)*AD$61+VLOOKUP($A$63,données!$AS$14:$AW$24,4,0)*AD$65+VLOOKUP($A$67,données!$AS$14:$AW$24,4,0)*AD$69,AE16)</f>
        <v>77.400000000000006</v>
      </c>
      <c r="AE16" s="9" t="s">
        <v>1</v>
      </c>
      <c r="AF16" s="7">
        <f>IF(COUNT(AG16)=0,AF19+VLOOKUP($A$27,données!$AS$14:$AW$24,4,0)*AF$29+VLOOKUP($A$31,données!$AS$14:$AW$24,4,0)*AF$33+VLOOKUP($A$35,données!$AS$14:$AW$24,4,0)*AF$37+VLOOKUP($A$39,données!$AS$14:$AW$24,4,0)*AF$41+VLOOKUP($A$43,données!$AS$14:$AW$24,4,0)*AF$45+VLOOKUP($A$47,données!$AS$14:$AW$24,4,0)*AF$49+VLOOKUP($A$51,données!$AS$14:$AW$24,4,0)*AF$53+VLOOKUP($A$55,données!$AS$14:$AW$24,4,0)*AF$57+VLOOKUP($A$59,données!$AS$14:$AW$24,4,0)*AF$61+VLOOKUP($A$63,données!$AS$14:$AW$24,4,0)*AF$65+VLOOKUP($A$67,données!$AS$14:$AW$24,4,0)*AF$69,AG16)</f>
        <v>77.150000000000006</v>
      </c>
      <c r="AG16" s="9" t="s">
        <v>1</v>
      </c>
      <c r="AH16" s="7">
        <f>IF(COUNT(AI16)=0,AH19+VLOOKUP($A$27,données!$AS$14:$AW$24,4,0)*AH$29+VLOOKUP($A$31,données!$AS$14:$AW$24,4,0)*AH$33+VLOOKUP($A$35,données!$AS$14:$AW$24,4,0)*AH$37+VLOOKUP($A$39,données!$AS$14:$AW$24,4,0)*AH$41+VLOOKUP($A$43,données!$AS$14:$AW$24,4,0)*AH$45+VLOOKUP($A$47,données!$AS$14:$AW$24,4,0)*AH$49+VLOOKUP($A$51,données!$AS$14:$AW$24,4,0)*AH$53+VLOOKUP($A$55,données!$AS$14:$AW$24,4,0)*AH$57+VLOOKUP($A$59,données!$AS$14:$AW$24,4,0)*AH$61+VLOOKUP($A$63,données!$AS$14:$AW$24,4,0)*AH$65+VLOOKUP($A$67,données!$AS$14:$AW$24,4,0)*AH$69,AI16)</f>
        <v>76.900000000000006</v>
      </c>
      <c r="AI16" s="9" t="s">
        <v>1</v>
      </c>
      <c r="AJ16" s="7">
        <f>IF(COUNT(AK16)=0,AJ19+VLOOKUP($A$27,données!$AS$14:$AW$24,4,0)*AJ$29+VLOOKUP($A$31,données!$AS$14:$AW$24,4,0)*AJ$33+VLOOKUP($A$35,données!$AS$14:$AW$24,4,0)*AJ$37+VLOOKUP($A$39,données!$AS$14:$AW$24,4,0)*AJ$41+VLOOKUP($A$43,données!$AS$14:$AW$24,4,0)*AJ$45+VLOOKUP($A$47,données!$AS$14:$AW$24,4,0)*AJ$49+VLOOKUP($A$51,données!$AS$14:$AW$24,4,0)*AJ$53+VLOOKUP($A$55,données!$AS$14:$AW$24,4,0)*AJ$57+VLOOKUP($A$59,données!$AS$14:$AW$24,4,0)*AJ$61+VLOOKUP($A$63,données!$AS$14:$AW$24,4,0)*AJ$65+VLOOKUP($A$67,données!$AS$14:$AW$24,4,0)*AJ$69,AK16)</f>
        <v>76.650000000000006</v>
      </c>
      <c r="AK16" s="9" t="s">
        <v>1</v>
      </c>
      <c r="AL16" s="159" t="str">
        <f t="shared" si="17"/>
        <v>voiture</v>
      </c>
      <c r="AN16">
        <v>12</v>
      </c>
      <c r="AO16">
        <v>37</v>
      </c>
    </row>
    <row r="17" spans="1:45" ht="13.8" thickBot="1">
      <c r="A17" s="6" t="s">
        <v>845</v>
      </c>
      <c r="B17" s="2"/>
      <c r="C17" s="157"/>
      <c r="D17" s="7">
        <f>D20+VLOOKUP($A$27,données!$AS$14:$AW$24,5,0)*D29+VLOOKUP($A$31,données!$AS$14:$AW$24,5,0)*D33+VLOOKUP($A$35,données!$AS$14:$AW$24,5,0)*D37+VLOOKUP($A$39,données!$AS$14:$AW$24,5,0)*D41+VLOOKUP($A$43,données!$AS$14:$AW$24,5,0)*D45+VLOOKUP($A$47,données!$AS$14:$AW$24,5,0)*D49+VLOOKUP($A$51,données!$AS$14:$AW$24,5,0)*D53+VLOOKUP($A$55,données!$AS$14:$AW$24,5,0)*D57+VLOOKUP($A$59,données!$AS$14:$AW$24,5,0)*D61+VLOOKUP($A$63,données!$AS$14:$AW$24,5,0)*D65+VLOOKUP($A$67,données!$AS$14:$AW$24,5,0)*D69</f>
        <v>79.2</v>
      </c>
      <c r="E17" s="9" t="s">
        <v>1</v>
      </c>
      <c r="F17" s="7">
        <f>IF(COUNT(G17)=0,F20+VLOOKUP($A$27,données!$AS$14:$AW$24,5,0)*F$29+VLOOKUP($A$31,données!$AS$14:$AW$24,5,0)*F$33+VLOOKUP($A$35,données!$AS$14:$AW$24,5,0)*F$37+VLOOKUP($A$39,données!$AS$14:$AW$24,5,0)*F$41+VLOOKUP($A$43,données!$AS$14:$AW$24,5,0)*F$45+VLOOKUP($A$47,données!$AS$14:$AW$24,5,0)*F$49+VLOOKUP($A$51,données!$AS$14:$AW$24,5,0)*F$53+VLOOKUP($A$55,données!$AS$14:$AW$24,5,0)*F$57+VLOOKUP($A$59,données!$AS$14:$AW$24,5,0)*F$61+VLOOKUP($A$63,données!$AS$14:$AW$24,5,0)*F$65+VLOOKUP($A$67,données!$AS$14:$AW$24,5,0)*F$69,G17)</f>
        <v>78.95</v>
      </c>
      <c r="G17" s="9"/>
      <c r="H17" s="7">
        <f>IF(COUNT(I17)=0,H20+VLOOKUP($A$27,données!$AS$14:$AW$24,5,0)*H$29+VLOOKUP($A$31,données!$AS$14:$AW$24,5,0)*H$33+VLOOKUP($A$35,données!$AS$14:$AW$24,5,0)*H$37+VLOOKUP($A$39,données!$AS$14:$AW$24,5,0)*H$41+VLOOKUP($A$43,données!$AS$14:$AW$24,5,0)*H$45+VLOOKUP($A$47,données!$AS$14:$AW$24,5,0)*H$49+VLOOKUP($A$51,données!$AS$14:$AW$24,5,0)*H$53+VLOOKUP($A$55,données!$AS$14:$AW$24,5,0)*H$57+VLOOKUP($A$59,données!$AS$14:$AW$24,5,0)*H$61+VLOOKUP($A$63,données!$AS$14:$AW$24,5,0)*H$65+VLOOKUP($A$67,données!$AS$14:$AW$24,5,0)*H$69,I17)</f>
        <v>78.7</v>
      </c>
      <c r="I17" s="9" t="s">
        <v>1</v>
      </c>
      <c r="J17" s="7">
        <f>IF(COUNT(K17)=0,J20+VLOOKUP($A$27,données!$AS$14:$AW$24,5,0)*J$29+VLOOKUP($A$31,données!$AS$14:$AW$24,5,0)*J$33+VLOOKUP($A$35,données!$AS$14:$AW$24,5,0)*J$37+VLOOKUP($A$39,données!$AS$14:$AW$24,5,0)*J$41+VLOOKUP($A$43,données!$AS$14:$AW$24,5,0)*J$45+VLOOKUP($A$47,données!$AS$14:$AW$24,5,0)*J$49+VLOOKUP($A$51,données!$AS$14:$AW$24,5,0)*J$53+VLOOKUP($A$55,données!$AS$14:$AW$24,5,0)*J$57+VLOOKUP($A$59,données!$AS$14:$AW$24,5,0)*J$61+VLOOKUP($A$63,données!$AS$14:$AW$24,5,0)*J$65+VLOOKUP($A$67,données!$AS$14:$AW$24,5,0)*J$69,K17)</f>
        <v>78.45</v>
      </c>
      <c r="K17" s="9" t="s">
        <v>1</v>
      </c>
      <c r="L17" s="7">
        <f>IF(COUNT(M17)=0,L20+VLOOKUP($A$27,données!$AS$14:$AW$24,5,0)*L$29+VLOOKUP($A$31,données!$AS$14:$AW$24,5,0)*L$33+VLOOKUP($A$35,données!$AS$14:$AW$24,5,0)*L$37+VLOOKUP($A$39,données!$AS$14:$AW$24,5,0)*L$41+VLOOKUP($A$43,données!$AS$14:$AW$24,5,0)*L$45+VLOOKUP($A$47,données!$AS$14:$AW$24,5,0)*L$49+VLOOKUP($A$51,données!$AS$14:$AW$24,5,0)*L$53+VLOOKUP($A$55,données!$AS$14:$AW$24,5,0)*L$57+VLOOKUP($A$59,données!$AS$14:$AW$24,5,0)*L$61+VLOOKUP($A$63,données!$AS$14:$AW$24,5,0)*L$65+VLOOKUP($A$67,données!$AS$14:$AW$24,5,0)*L$69,M17)</f>
        <v>78.25</v>
      </c>
      <c r="M17" s="9" t="s">
        <v>1</v>
      </c>
      <c r="N17" s="7">
        <f>IF(COUNT(O17)=0,N20+VLOOKUP($A$27,données!$AS$14:$AW$24,5,0)*N$29+VLOOKUP($A$31,données!$AS$14:$AW$24,5,0)*N$33+VLOOKUP($A$35,données!$AS$14:$AW$24,5,0)*N$37+VLOOKUP($A$39,données!$AS$14:$AW$24,5,0)*N$41+VLOOKUP($A$43,données!$AS$14:$AW$24,5,0)*N$45+VLOOKUP($A$47,données!$AS$14:$AW$24,5,0)*N$49+VLOOKUP($A$51,données!$AS$14:$AW$24,5,0)*N$53+VLOOKUP($A$55,données!$AS$14:$AW$24,5,0)*N$57+VLOOKUP($A$59,données!$AS$14:$AW$24,5,0)*N$61+VLOOKUP($A$63,données!$AS$14:$AW$24,5,0)*N$65+VLOOKUP($A$67,données!$AS$14:$AW$24,5,0)*N$69,O17)</f>
        <v>78.050000000000011</v>
      </c>
      <c r="O17" s="9" t="s">
        <v>1</v>
      </c>
      <c r="P17" s="7">
        <f>IF(COUNT(Q17)=0,P20+VLOOKUP($A$27,données!$AS$14:$AW$24,5,0)*P$29+VLOOKUP($A$31,données!$AS$14:$AW$24,5,0)*P$33+VLOOKUP($A$35,données!$AS$14:$AW$24,5,0)*P$37+VLOOKUP($A$39,données!$AS$14:$AW$24,5,0)*P$41+VLOOKUP($A$43,données!$AS$14:$AW$24,5,0)*P$45+VLOOKUP($A$47,données!$AS$14:$AW$24,5,0)*P$49+VLOOKUP($A$51,données!$AS$14:$AW$24,5,0)*P$53+VLOOKUP($A$55,données!$AS$14:$AW$24,5,0)*P$57+VLOOKUP($A$59,données!$AS$14:$AW$24,5,0)*P$61+VLOOKUP($A$63,données!$AS$14:$AW$24,5,0)*P$65+VLOOKUP($A$67,données!$AS$14:$AW$24,5,0)*P$69,Q17)</f>
        <v>77.849999999999994</v>
      </c>
      <c r="Q17" s="9" t="s">
        <v>1</v>
      </c>
      <c r="R17" s="7">
        <f>IF(COUNT(S17)=0,R20+VLOOKUP($A$27,données!$AS$14:$AW$24,5,0)*R$29+VLOOKUP($A$31,données!$AS$14:$AW$24,5,0)*R$33+VLOOKUP($A$35,données!$AS$14:$AW$24,5,0)*R$37+VLOOKUP($A$39,données!$AS$14:$AW$24,5,0)*R$41+VLOOKUP($A$43,données!$AS$14:$AW$24,5,0)*R$45+VLOOKUP($A$47,données!$AS$14:$AW$24,5,0)*R$49+VLOOKUP($A$51,données!$AS$14:$AW$24,5,0)*R$53+VLOOKUP($A$55,données!$AS$14:$AW$24,5,0)*R$57+VLOOKUP($A$59,données!$AS$14:$AW$24,5,0)*R$61+VLOOKUP($A$63,données!$AS$14:$AW$24,5,0)*R$65+VLOOKUP($A$67,données!$AS$14:$AW$24,5,0)*R$69,S17)</f>
        <v>77.650000000000006</v>
      </c>
      <c r="S17" s="9" t="s">
        <v>1</v>
      </c>
      <c r="T17" s="7">
        <f>IF(COUNT(U17)=0,T20+VLOOKUP($A$27,données!$AS$14:$AW$24,5,0)*T$29+VLOOKUP($A$31,données!$AS$14:$AW$24,5,0)*T$33+VLOOKUP($A$35,données!$AS$14:$AW$24,5,0)*T$37+VLOOKUP($A$39,données!$AS$14:$AW$24,5,0)*T$41+VLOOKUP($A$43,données!$AS$14:$AW$24,5,0)*T$45+VLOOKUP($A$47,données!$AS$14:$AW$24,5,0)*T$49+VLOOKUP($A$51,données!$AS$14:$AW$24,5,0)*T$53+VLOOKUP($A$55,données!$AS$14:$AW$24,5,0)*T$57+VLOOKUP($A$59,données!$AS$14:$AW$24,5,0)*T$61+VLOOKUP($A$63,données!$AS$14:$AW$24,5,0)*T$65+VLOOKUP($A$67,données!$AS$14:$AW$24,5,0)*T$69,U17)</f>
        <v>77.5</v>
      </c>
      <c r="U17" s="9" t="s">
        <v>1</v>
      </c>
      <c r="V17" s="7">
        <f>IF(COUNT(W17)=0,V20+VLOOKUP($A$27,données!$AS$14:$AW$24,5,0)*V$29+VLOOKUP($A$31,données!$AS$14:$AW$24,5,0)*V$33+VLOOKUP($A$35,données!$AS$14:$AW$24,5,0)*V$37+VLOOKUP($A$39,données!$AS$14:$AW$24,5,0)*V$41+VLOOKUP($A$43,données!$AS$14:$AW$24,5,0)*V$45+VLOOKUP($A$47,données!$AS$14:$AW$24,5,0)*V$49+VLOOKUP($A$51,données!$AS$14:$AW$24,5,0)*V$53+VLOOKUP($A$55,données!$AS$14:$AW$24,5,0)*V$57+VLOOKUP($A$59,données!$AS$14:$AW$24,5,0)*V$61+VLOOKUP($A$63,données!$AS$14:$AW$24,5,0)*V$65+VLOOKUP($A$67,données!$AS$14:$AW$24,5,0)*V$69,W17)</f>
        <v>77.349999999999994</v>
      </c>
      <c r="W17" s="9" t="s">
        <v>1</v>
      </c>
      <c r="X17" s="7">
        <f>IF(COUNT(Y17)=0,X20+VLOOKUP($A$27,données!$AS$14:$AW$24,5,0)*X$29+VLOOKUP($A$31,données!$AS$14:$AW$24,5,0)*X$33+VLOOKUP($A$35,données!$AS$14:$AW$24,5,0)*X$37+VLOOKUP($A$39,données!$AS$14:$AW$24,5,0)*X$41+VLOOKUP($A$43,données!$AS$14:$AW$24,5,0)*X$45+VLOOKUP($A$47,données!$AS$14:$AW$24,5,0)*X$49+VLOOKUP($A$51,données!$AS$14:$AW$24,5,0)*X$53+VLOOKUP($A$55,données!$AS$14:$AW$24,5,0)*X$57+VLOOKUP($A$59,données!$AS$14:$AW$24,5,0)*X$61+VLOOKUP($A$63,données!$AS$14:$AW$24,5,0)*X$65+VLOOKUP($A$67,données!$AS$14:$AW$24,5,0)*X$69,Y17)</f>
        <v>77.2</v>
      </c>
      <c r="Y17" s="9" t="s">
        <v>1</v>
      </c>
      <c r="Z17" s="7">
        <f>IF(COUNT(AA17)=0,Z20+VLOOKUP($A$27,données!$AS$14:$AW$24,5,0)*Z$29+VLOOKUP($A$31,données!$AS$14:$AW$24,5,0)*Z$33+VLOOKUP($A$35,données!$AS$14:$AW$24,5,0)*Z$37+VLOOKUP($A$39,données!$AS$14:$AW$24,5,0)*Z$41+VLOOKUP($A$43,données!$AS$14:$AW$24,5,0)*Z$45+VLOOKUP($A$47,données!$AS$14:$AW$24,5,0)*Z$49+VLOOKUP($A$51,données!$AS$14:$AW$24,5,0)*Z$53+VLOOKUP($A$55,données!$AS$14:$AW$24,5,0)*Z$57+VLOOKUP($A$59,données!$AS$14:$AW$24,5,0)*Z$61+VLOOKUP($A$63,données!$AS$14:$AW$24,5,0)*Z$65+VLOOKUP($A$67,données!$AS$14:$AW$24,5,0)*Z$69,AA17)</f>
        <v>77.050000000000011</v>
      </c>
      <c r="AA17" s="9" t="s">
        <v>1</v>
      </c>
      <c r="AB17" s="7">
        <f>IF(COUNT(AC17)=0,AB20+VLOOKUP($A$27,données!$AS$14:$AW$24,5,0)*AB$29+VLOOKUP($A$31,données!$AS$14:$AW$24,5,0)*AB$33+VLOOKUP($A$35,données!$AS$14:$AW$24,5,0)*AB$37+VLOOKUP($A$39,données!$AS$14:$AW$24,5,0)*AB$41+VLOOKUP($A$43,données!$AS$14:$AW$24,5,0)*AB$45+VLOOKUP($A$47,données!$AS$14:$AW$24,5,0)*AB$49+VLOOKUP($A$51,données!$AS$14:$AW$24,5,0)*AB$53+VLOOKUP($A$55,données!$AS$14:$AW$24,5,0)*AB$57+VLOOKUP($A$59,données!$AS$14:$AW$24,5,0)*AB$61+VLOOKUP($A$63,données!$AS$14:$AW$24,5,0)*AB$65+VLOOKUP($A$67,données!$AS$14:$AW$24,5,0)*AB$69,AC17)</f>
        <v>76.900000000000006</v>
      </c>
      <c r="AC17" s="9" t="s">
        <v>1</v>
      </c>
      <c r="AD17" s="7">
        <f>IF(COUNT(AE17)=0,AD20+VLOOKUP($A$27,données!$AS$14:$AW$24,5,0)*AD$29+VLOOKUP($A$31,données!$AS$14:$AW$24,5,0)*AD$33+VLOOKUP($A$35,données!$AS$14:$AW$24,5,0)*AD$37+VLOOKUP($A$39,données!$AS$14:$AW$24,5,0)*AD$41+VLOOKUP($A$43,données!$AS$14:$AW$24,5,0)*AD$45+VLOOKUP($A$47,données!$AS$14:$AW$24,5,0)*AD$49+VLOOKUP($A$51,données!$AS$14:$AW$24,5,0)*AD$53+VLOOKUP($A$55,données!$AS$14:$AW$24,5,0)*AD$57+VLOOKUP($A$59,données!$AS$14:$AW$24,5,0)*AD$61+VLOOKUP($A$63,données!$AS$14:$AW$24,5,0)*AD$65+VLOOKUP($A$67,données!$AS$14:$AW$24,5,0)*AD$69,AE17)</f>
        <v>76.75</v>
      </c>
      <c r="AE17" s="9" t="s">
        <v>1</v>
      </c>
      <c r="AF17" s="7">
        <f>IF(COUNT(AG17)=0,AF20+VLOOKUP($A$27,données!$AS$14:$AW$24,5,0)*AF$29+VLOOKUP($A$31,données!$AS$14:$AW$24,5,0)*AF$33+VLOOKUP($A$35,données!$AS$14:$AW$24,5,0)*AF$37+VLOOKUP($A$39,données!$AS$14:$AW$24,5,0)*AF$41+VLOOKUP($A$43,données!$AS$14:$AW$24,5,0)*AF$45+VLOOKUP($A$47,données!$AS$14:$AW$24,5,0)*AF$49+VLOOKUP($A$51,données!$AS$14:$AW$24,5,0)*AF$53+VLOOKUP($A$55,données!$AS$14:$AW$24,5,0)*AF$57+VLOOKUP($A$59,données!$AS$14:$AW$24,5,0)*AF$61+VLOOKUP($A$63,données!$AS$14:$AW$24,5,0)*AF$65+VLOOKUP($A$67,données!$AS$14:$AW$24,5,0)*AF$69,AG17)</f>
        <v>76.599999999999994</v>
      </c>
      <c r="AG17" s="9" t="s">
        <v>1</v>
      </c>
      <c r="AH17" s="7">
        <f>IF(COUNT(AI17)=0,AH20+VLOOKUP($A$27,données!$AS$14:$AW$24,5,0)*AH$29+VLOOKUP($A$31,données!$AS$14:$AW$24,5,0)*AH$33+VLOOKUP($A$35,données!$AS$14:$AW$24,5,0)*AH$37+VLOOKUP($A$39,données!$AS$14:$AW$24,5,0)*AH$41+VLOOKUP($A$43,données!$AS$14:$AW$24,5,0)*AH$45+VLOOKUP($A$47,données!$AS$14:$AW$24,5,0)*AH$49+VLOOKUP($A$51,données!$AS$14:$AW$24,5,0)*AH$53+VLOOKUP($A$55,données!$AS$14:$AW$24,5,0)*AH$57+VLOOKUP($A$59,données!$AS$14:$AW$24,5,0)*AH$61+VLOOKUP($A$63,données!$AS$14:$AW$24,5,0)*AH$65+VLOOKUP($A$67,données!$AS$14:$AW$24,5,0)*AH$69,AI17)</f>
        <v>76.5</v>
      </c>
      <c r="AI17" s="9" t="s">
        <v>1</v>
      </c>
      <c r="AJ17" s="7">
        <f>IF(COUNT(AK17)=0,AJ20+VLOOKUP($A$27,données!$AS$14:$AW$24,5,0)*AJ$29+VLOOKUP($A$31,données!$AS$14:$AW$24,5,0)*AJ$33+VLOOKUP($A$35,données!$AS$14:$AW$24,5,0)*AJ$37+VLOOKUP($A$39,données!$AS$14:$AW$24,5,0)*AJ$41+VLOOKUP($A$43,données!$AS$14:$AW$24,5,0)*AJ$45+VLOOKUP($A$47,données!$AS$14:$AW$24,5,0)*AJ$49+VLOOKUP($A$51,données!$AS$14:$AW$24,5,0)*AJ$53+VLOOKUP($A$55,données!$AS$14:$AW$24,5,0)*AJ$57+VLOOKUP($A$59,données!$AS$14:$AW$24,5,0)*AJ$61+VLOOKUP($A$63,données!$AS$14:$AW$24,5,0)*AJ$65+VLOOKUP($A$67,données!$AS$14:$AW$24,5,0)*AJ$69,AK17)</f>
        <v>76.400000000000006</v>
      </c>
      <c r="AK17" s="9" t="s">
        <v>1</v>
      </c>
      <c r="AL17" s="160" t="s">
        <v>1</v>
      </c>
      <c r="AM17" t="s">
        <v>1</v>
      </c>
      <c r="AN17">
        <f>AN16*AO17/AO16</f>
        <v>32.432432432432435</v>
      </c>
      <c r="AO17">
        <v>100</v>
      </c>
    </row>
    <row r="18" spans="1:45">
      <c r="A18" s="6">
        <f>VLOOKUP(A22,données!$AZ$72:$BK$131,10)</f>
        <v>13</v>
      </c>
      <c r="B18" s="6" t="s">
        <v>140</v>
      </c>
      <c r="C18" s="156" t="s">
        <v>40</v>
      </c>
      <c r="D18" s="184">
        <v>4</v>
      </c>
      <c r="E18" s="185"/>
      <c r="F18" s="12">
        <f>IF(COUNT(G18)=0,D18-VLOOKUP(ROUND(D18,0),données!$DA$22:$DC$72,3,0),G18)</f>
        <v>3.8</v>
      </c>
      <c r="G18" s="11" t="s">
        <v>1</v>
      </c>
      <c r="H18" s="12">
        <f>IF(COUNT(I18)=0,F18-VLOOKUP(ROUND(F18,0),données!$DA$22:$DC$72,3,0),I18)</f>
        <v>3.5999999999999996</v>
      </c>
      <c r="I18" s="11" t="s">
        <v>1</v>
      </c>
      <c r="J18" s="12">
        <f>IF(COUNT(K18)=0,H18-VLOOKUP(ROUND(H18,0),données!$DA$22:$DC$72,3,0)+D$23/100*(VLOOKUP(D$22,données!$DA$5:$DE$11,3,0)),K18)</f>
        <v>3.3999999999999995</v>
      </c>
      <c r="K18" s="11" t="s">
        <v>1</v>
      </c>
      <c r="L18" s="12">
        <f>IF(COUNT(M18)=0,J18-VLOOKUP(ROUND(J18,0),données!$DA$22:$DC$72,3,0)+F$23/100*(VLOOKUP(F$22,données!$DA$5:$DE$11,3,0)),M18)</f>
        <v>3.2499999999999996</v>
      </c>
      <c r="M18" s="13" t="s">
        <v>1</v>
      </c>
      <c r="N18" s="12">
        <f>IF(COUNT(O18)=0,L18-VLOOKUP(ROUND(L18,0),données!$DA$22:$DC$72,3,0)+H$23/100*(VLOOKUP(H$22,données!$DA$5:$DE$11,3,0)),O18)</f>
        <v>3.0999999999999996</v>
      </c>
      <c r="O18" s="11" t="s">
        <v>1</v>
      </c>
      <c r="P18" s="12">
        <f>IF(COUNT(Q18)=0,N18-VLOOKUP(ROUND(N18,0),données!$DA$22:$DC$72,3,0)+J$23/100*(VLOOKUP(J$22,données!$DA$5:$DE$11,3,0)),Q18)</f>
        <v>2.9499999999999997</v>
      </c>
      <c r="Q18" s="13" t="s">
        <v>1</v>
      </c>
      <c r="R18" s="12">
        <f>IF(COUNT(S18)=0,P18-VLOOKUP(ROUND(P18,0),données!$DA$22:$DC$72,3,0)+L$23/100*(VLOOKUP(L$22,données!$DA$5:$DE$11,3,0)),S18)</f>
        <v>2.8</v>
      </c>
      <c r="S18" s="11" t="s">
        <v>1</v>
      </c>
      <c r="T18" s="12">
        <f>IF(COUNT(U18)=0,R18-VLOOKUP(ROUND(R18,0),données!$DA$22:$DC$72,3,0)+N$23/100*(VLOOKUP(N$22,données!$DA$5:$DE$11,3,0)),U18)</f>
        <v>2.65</v>
      </c>
      <c r="U18" s="13" t="s">
        <v>1</v>
      </c>
      <c r="V18" s="12">
        <f>IF(COUNT(W18)=0,T18-VLOOKUP(ROUND(T18,0),données!$DA$22:$DC$72,3,0)+P$23/100*(VLOOKUP(P$22,données!$DA$5:$DE$11,3,0)),W18)</f>
        <v>2.5</v>
      </c>
      <c r="W18" s="11" t="s">
        <v>1</v>
      </c>
      <c r="X18" s="12">
        <f>IF(COUNT(Y18)=0,V18-VLOOKUP(ROUND(V18,0),données!$DA$22:$DC$72,3,0)+R$23/100*(VLOOKUP(R$22,données!$DA$5:$DE$11,3,0)),Y18)</f>
        <v>2.35</v>
      </c>
      <c r="Y18" s="13" t="s">
        <v>1</v>
      </c>
      <c r="Z18" s="12">
        <f>IF(COUNT(AA18)=0,X18-VLOOKUP(ROUND(X18,0),données!$DA$22:$DC$72,3,0)+T$23/100*(VLOOKUP(T$22,données!$DA$5:$DE$11,3,0)),AA18)</f>
        <v>2.25</v>
      </c>
      <c r="AA18" s="11"/>
      <c r="AB18" s="12">
        <f>IF(COUNT(AC18)=0,Z18-VLOOKUP(ROUND(Z18,0),données!$DA$22:$DC$72,3,0)+V$23/100*(VLOOKUP(V$22,données!$DA$5:$DE$11,3,0)),AC18)</f>
        <v>2.15</v>
      </c>
      <c r="AC18" s="13" t="s">
        <v>1</v>
      </c>
      <c r="AD18" s="12">
        <f>IF(COUNT(AE18)=0,AB18-VLOOKUP(ROUND(AB18,0),données!$DA$22:$DC$72,3,0)+X$23/100*(VLOOKUP(X$22,données!$DA$5:$DE$11,3,0)),AE18)</f>
        <v>2.0499999999999998</v>
      </c>
      <c r="AE18" s="11" t="s">
        <v>1</v>
      </c>
      <c r="AF18" s="12">
        <f>IF(COUNT(AG18)=0,AD18-VLOOKUP(ROUND(AD18,0),données!$DA$22:$DC$72,3,0)+Z$23/100*(VLOOKUP(Z$22,données!$DA$5:$DE$11,3,0)),AG18)</f>
        <v>1.9499999999999997</v>
      </c>
      <c r="AG18" s="13" t="s">
        <v>1</v>
      </c>
      <c r="AH18" s="12">
        <f>IF(COUNT(AI18)=0,AF18-VLOOKUP(ROUND(AF18,0),données!$DA$22:$DC$72,3,0)+AB$23/100*(VLOOKUP(AB$22,données!$DA$5:$DE$11,3,0)),AI18)</f>
        <v>1.8499999999999996</v>
      </c>
      <c r="AI18" s="11" t="s">
        <v>1</v>
      </c>
      <c r="AJ18" s="12">
        <f>IF(COUNT(AK18)=0,AH18-VLOOKUP(ROUND(AH18,0),données!$DA$22:$DC$72,3,0)+AD$23/100*(VLOOKUP(AD$22,données!$DA$5:$DE$11,3,0)),AK18)</f>
        <v>1.7499999999999996</v>
      </c>
      <c r="AK18" s="13" t="s">
        <v>1</v>
      </c>
      <c r="AL18" s="158" t="str">
        <f t="shared" si="17"/>
        <v>PMA</v>
      </c>
      <c r="AN18">
        <v>34</v>
      </c>
      <c r="AO18">
        <v>12</v>
      </c>
    </row>
    <row r="19" spans="1:45">
      <c r="A19" s="6">
        <f>VLOOKUP(A22,données!$AZ$72:$BK$131,11)</f>
        <v>11</v>
      </c>
      <c r="B19" s="6" t="s">
        <v>141</v>
      </c>
      <c r="C19" s="155" t="s">
        <v>42</v>
      </c>
      <c r="D19" s="184">
        <v>10</v>
      </c>
      <c r="E19" s="185"/>
      <c r="F19" s="12">
        <f>IF(COUNT(G19)=0,D19-VLOOKUP(ROUND(D19,0),données!$DA$22:$DC$72,3,0),G19)</f>
        <v>9.5</v>
      </c>
      <c r="G19" s="11" t="s">
        <v>1</v>
      </c>
      <c r="H19" s="12">
        <f>IF(COUNT(I19)=0,F19-VLOOKUP(ROUND(F19,0),données!$DA$22:$DC$72,3,0),I19)</f>
        <v>9</v>
      </c>
      <c r="I19" s="11" t="s">
        <v>1</v>
      </c>
      <c r="J19" s="12">
        <f>IF(COUNT(K19)=0,H19-VLOOKUP(ROUND(H19,0),données!$DA$22:$DC$72,3,0)+D$23/100*(VLOOKUP(D$22,données!$DA$5:$DE$11,4,0)),K19)</f>
        <v>8.5500000000000007</v>
      </c>
      <c r="K19" s="11" t="s">
        <v>1</v>
      </c>
      <c r="L19" s="12">
        <f>IF(COUNT(M19)=0,J19-VLOOKUP(ROUND(J19,0),données!$DA$22:$DC$72,3,0)+F$23/100*(VLOOKUP(F$22,données!$DA$5:$DE$11,4,0)),M19)</f>
        <v>8.1000000000000014</v>
      </c>
      <c r="M19" s="13" t="s">
        <v>1</v>
      </c>
      <c r="N19" s="12">
        <f>IF(COUNT(O19)=0,L19-VLOOKUP(ROUND(L19,0),données!$DA$22:$DC$72,3,0)+H$23/100*(VLOOKUP(H$22,données!$DA$5:$DE$11,4,0)),O19)</f>
        <v>7.7000000000000011</v>
      </c>
      <c r="O19" s="11" t="s">
        <v>1</v>
      </c>
      <c r="P19" s="12">
        <f>IF(COUNT(Q19)=0,N19-VLOOKUP(ROUND(N19,0),données!$DA$22:$DC$72,3,0)+J$23/100*(VLOOKUP(J$22,données!$DA$5:$DE$11,4,0)),Q19)</f>
        <v>7.3000000000000007</v>
      </c>
      <c r="Q19" s="13" t="s">
        <v>1</v>
      </c>
      <c r="R19" s="12">
        <f>IF(COUNT(S19)=0,P19-VLOOKUP(ROUND(P19,0),données!$DA$22:$DC$72,3,0)+L$23/100*(VLOOKUP(L$22,données!$DA$5:$DE$11,4,0)),S19)</f>
        <v>6.9500000000000011</v>
      </c>
      <c r="S19" s="11" t="s">
        <v>1</v>
      </c>
      <c r="T19" s="12">
        <f>IF(COUNT(U19)=0,R19-VLOOKUP(ROUND(R19,0),données!$DA$22:$DC$72,3,0)+N$23/100*(VLOOKUP(N$22,données!$DA$5:$DE$11,4,0)),U19)</f>
        <v>6.6000000000000014</v>
      </c>
      <c r="U19" s="13" t="s">
        <v>1</v>
      </c>
      <c r="V19" s="12">
        <f>IF(COUNT(W19)=0,T19-VLOOKUP(ROUND(T19,0),données!$DA$22:$DC$72,3,0)+P$23/100*(VLOOKUP(P$22,données!$DA$5:$DE$11,4,0)),W19)</f>
        <v>6.2500000000000018</v>
      </c>
      <c r="W19" s="11" t="s">
        <v>1</v>
      </c>
      <c r="X19" s="12">
        <f>IF(COUNT(Y19)=0,V19-VLOOKUP(ROUND(V19,0),données!$DA$22:$DC$72,3,0)+R$23/100*(VLOOKUP(R$22,données!$DA$5:$DE$11,4,0)),Y19)</f>
        <v>5.950000000000002</v>
      </c>
      <c r="Y19" s="13" t="s">
        <v>1</v>
      </c>
      <c r="Z19" s="12">
        <f>IF(COUNT(AA19)=0,X19-VLOOKUP(ROUND(X19,0),données!$DA$22:$DC$72,3,0)+T$23/100*(VLOOKUP(T$22,données!$DA$5:$DE$11,4,0)),AA19)</f>
        <v>5.6500000000000021</v>
      </c>
      <c r="AA19" s="11"/>
      <c r="AB19" s="12">
        <f>IF(COUNT(AC19)=0,Z19-VLOOKUP(ROUND(Z19,0),données!$DA$22:$DC$72,3,0)+V$23/100*(VLOOKUP(V$22,données!$DA$5:$DE$11,4,0)),AC19)</f>
        <v>5.3500000000000023</v>
      </c>
      <c r="AC19" s="13" t="s">
        <v>1</v>
      </c>
      <c r="AD19" s="12">
        <f>IF(COUNT(AE19)=0,AB19-VLOOKUP(ROUND(AB19,0),données!$DA$22:$DC$72,3,0)+X$23/100*(VLOOKUP(X$22,données!$DA$5:$DE$11,4,0)),AE19)</f>
        <v>5.1000000000000023</v>
      </c>
      <c r="AE19" s="11" t="s">
        <v>1</v>
      </c>
      <c r="AF19" s="12">
        <f>IF(COUNT(AG19)=0,AD19-VLOOKUP(ROUND(AD19,0),données!$DA$22:$DC$72,3,0)+Z$23/100*(VLOOKUP(Z$22,données!$DA$5:$DE$11,4,0)),AG19)</f>
        <v>4.8500000000000023</v>
      </c>
      <c r="AG19" s="13" t="s">
        <v>1</v>
      </c>
      <c r="AH19" s="12">
        <f>IF(COUNT(AI19)=0,AF19-VLOOKUP(ROUND(AF19,0),données!$DA$22:$DC$72,3,0)+AB$23/100*(VLOOKUP(AB$22,données!$DA$5:$DE$11,4,0)),AI19)</f>
        <v>4.6000000000000023</v>
      </c>
      <c r="AI19" s="11" t="s">
        <v>1</v>
      </c>
      <c r="AJ19" s="12">
        <f>IF(COUNT(AK19)=0,AH19-VLOOKUP(ROUND(AH19,0),données!$DA$22:$DC$72,3,0)+AD$23/100*(VLOOKUP(AD$22,données!$DA$5:$DE$11,4,0)),AK19)</f>
        <v>4.3500000000000023</v>
      </c>
      <c r="AK19" s="13" t="s">
        <v>1</v>
      </c>
      <c r="AL19" s="159" t="str">
        <f t="shared" si="17"/>
        <v>testing</v>
      </c>
      <c r="AN19">
        <f>AN18*AO19/AO18</f>
        <v>90.666666666666671</v>
      </c>
      <c r="AO19">
        <v>32</v>
      </c>
    </row>
    <row r="20" spans="1:45" ht="13.8" thickBot="1">
      <c r="A20" s="6">
        <f>VLOOKUP(A22,données!$AZ$72:$BK$131,12)</f>
        <v>8</v>
      </c>
      <c r="B20" s="6" t="s">
        <v>142</v>
      </c>
      <c r="C20" s="157"/>
      <c r="D20" s="184">
        <v>5</v>
      </c>
      <c r="E20" s="185"/>
      <c r="F20" s="12">
        <f>IF(COUNT(G20)=0,D20-VLOOKUP(ROUND(D20,0),données!$DA$22:$DC$72,3,0),G20)</f>
        <v>4.75</v>
      </c>
      <c r="G20" s="11" t="s">
        <v>1</v>
      </c>
      <c r="H20" s="12">
        <f>IF(COUNT(I20)=0,F20-VLOOKUP(ROUND(F20,0),données!$DA$22:$DC$72,3,0),I20)</f>
        <v>4.5</v>
      </c>
      <c r="I20" s="11" t="s">
        <v>1</v>
      </c>
      <c r="J20" s="12">
        <f>IF(COUNT(K20)=0,H20-VLOOKUP(ROUND(H20,0),données!$DA$22:$DC$72,3,0)+D$23/100*(VLOOKUP(D$22,données!$DA$5:$DE$11,5,0)),K20)</f>
        <v>4.25</v>
      </c>
      <c r="K20" s="11" t="s">
        <v>1</v>
      </c>
      <c r="L20" s="12">
        <f>IF(COUNT(M20)=0,J20-VLOOKUP(ROUND(J20,0),données!$DA$22:$DC$72,3,0)+F$23/100*(VLOOKUP(F$22,données!$DA$5:$DE$11,5,0)),M20)</f>
        <v>4.05</v>
      </c>
      <c r="M20" s="13" t="s">
        <v>1</v>
      </c>
      <c r="N20" s="12">
        <f>IF(COUNT(O20)=0,L20-VLOOKUP(ROUND(L20,0),données!$DA$22:$DC$72,3,0)+H$23/100*(VLOOKUP(H$22,données!$DA$5:$DE$11,5,0)),O20)</f>
        <v>3.8499999999999996</v>
      </c>
      <c r="O20" s="11" t="s">
        <v>1</v>
      </c>
      <c r="P20" s="12">
        <f>IF(COUNT(Q20)=0,N20-VLOOKUP(ROUND(N20,0),données!$DA$22:$DC$72,3,0)+J$23/100*(VLOOKUP(J$22,données!$DA$5:$DE$11,5,0)),Q20)</f>
        <v>3.6499999999999995</v>
      </c>
      <c r="Q20" s="13" t="s">
        <v>1</v>
      </c>
      <c r="R20" s="12">
        <f>IF(COUNT(S20)=0,P20-VLOOKUP(ROUND(P20,0),données!$DA$22:$DC$72,3,0)+L$23/100*(VLOOKUP(L$22,données!$DA$5:$DE$11,5,0)),S20)</f>
        <v>3.4499999999999993</v>
      </c>
      <c r="S20" s="11" t="s">
        <v>1</v>
      </c>
      <c r="T20" s="12">
        <f>IF(COUNT(U20)=0,R20-VLOOKUP(ROUND(R20,0),données!$DA$22:$DC$72,3,0)+N$23/100*(VLOOKUP(N$22,données!$DA$5:$DE$11,5,0)),U20)</f>
        <v>3.2999999999999994</v>
      </c>
      <c r="U20" s="13" t="s">
        <v>1</v>
      </c>
      <c r="V20" s="12">
        <f>IF(COUNT(W20)=0,T20-VLOOKUP(ROUND(T20,0),données!$DA$22:$DC$72,3,0)+P$23/100*(VLOOKUP(P$22,données!$DA$5:$DE$11,5,0)),W20)</f>
        <v>3.1499999999999995</v>
      </c>
      <c r="W20" s="11" t="s">
        <v>1</v>
      </c>
      <c r="X20" s="12">
        <f>IF(COUNT(Y20)=0,V20-VLOOKUP(ROUND(V20,0),données!$DA$22:$DC$72,3,0)+R$23/100*(VLOOKUP(R$22,données!$DA$5:$DE$11,5,0)),Y20)</f>
        <v>2.9999999999999996</v>
      </c>
      <c r="Y20" s="13" t="s">
        <v>1</v>
      </c>
      <c r="Z20" s="12">
        <f>IF(COUNT(AA20)=0,X20-VLOOKUP(ROUND(X20,0),données!$DA$22:$DC$72,3,0)+T$23/100*(VLOOKUP(T$22,données!$DA$5:$DE$11,5,0)),AA20)</f>
        <v>2.8499999999999996</v>
      </c>
      <c r="AA20" s="11"/>
      <c r="AB20" s="12">
        <f>IF(COUNT(AC20)=0,Z20-VLOOKUP(ROUND(Z20,0),données!$DA$22:$DC$72,3,0)+V$23/100*(VLOOKUP(V$22,données!$DA$5:$DE$11,5,0)),AC20)</f>
        <v>2.6999999999999997</v>
      </c>
      <c r="AC20" s="13" t="s">
        <v>1</v>
      </c>
      <c r="AD20" s="12">
        <f>IF(COUNT(AE20)=0,AB20-VLOOKUP(ROUND(AB20,0),données!$DA$22:$DC$72,3,0)+X$23/100*(VLOOKUP(X$22,données!$DA$5:$DE$11,5,0)),AE20)</f>
        <v>2.5499999999999998</v>
      </c>
      <c r="AE20" s="11" t="s">
        <v>1</v>
      </c>
      <c r="AF20" s="12">
        <f>IF(COUNT(AG20)=0,AD20-VLOOKUP(ROUND(AD20,0),données!$DA$22:$DC$72,3,0)+Z$23/100*(VLOOKUP(Z$22,données!$DA$5:$DE$11,5,0)),AG20)</f>
        <v>2.4</v>
      </c>
      <c r="AG20" s="13" t="s">
        <v>1</v>
      </c>
      <c r="AH20" s="12">
        <f>IF(COUNT(AI20)=0,AF20-VLOOKUP(ROUND(AF20,0),données!$DA$22:$DC$72,3,0)+AB$23/100*(VLOOKUP(AB$22,données!$DA$5:$DE$11,5,0)),AI20)</f>
        <v>2.2999999999999998</v>
      </c>
      <c r="AI20" s="11" t="s">
        <v>1</v>
      </c>
      <c r="AJ20" s="12">
        <f>IF(COUNT(AK20)=0,AH20-VLOOKUP(ROUND(AH20,0),données!$DA$22:$DC$72,3,0)+AD$23/100*(VLOOKUP(AD$22,données!$DA$5:$DE$11,5,0)),AK20)</f>
        <v>2.1999999999999997</v>
      </c>
      <c r="AK20" s="13" t="s">
        <v>1</v>
      </c>
      <c r="AL20" s="160" t="s">
        <v>1</v>
      </c>
    </row>
    <row r="21" spans="1:45" ht="13.8" thickBot="1">
      <c r="B21" s="5"/>
      <c r="C21" s="156" t="s">
        <v>41</v>
      </c>
      <c r="D21" s="200" t="str">
        <f>D4</f>
        <v>Interlagos</v>
      </c>
      <c r="E21" s="200"/>
      <c r="F21" s="202" t="str">
        <f>F4</f>
        <v>Melbourne</v>
      </c>
      <c r="G21" s="203"/>
      <c r="H21" s="200" t="str">
        <f>H4</f>
        <v>Mexico City</v>
      </c>
      <c r="I21" s="200"/>
      <c r="J21" s="200" t="str">
        <f>J4</f>
        <v>Buenos Aires</v>
      </c>
      <c r="K21" s="200"/>
      <c r="L21" s="200" t="str">
        <f>L4</f>
        <v>Las Vegas</v>
      </c>
      <c r="M21" s="200"/>
      <c r="N21" s="200" t="str">
        <f>N4</f>
        <v>Fuji</v>
      </c>
      <c r="O21" s="200"/>
      <c r="P21" s="200" t="str">
        <f>P4</f>
        <v>Yas Marina</v>
      </c>
      <c r="Q21" s="200"/>
      <c r="R21" s="200" t="str">
        <f>R4</f>
        <v>Shanghai</v>
      </c>
      <c r="S21" s="200"/>
      <c r="T21" s="200" t="str">
        <f>T4</f>
        <v>Istanbul</v>
      </c>
      <c r="U21" s="200"/>
      <c r="V21" s="200" t="str">
        <f>V4</f>
        <v>Sepang</v>
      </c>
      <c r="W21" s="200"/>
      <c r="X21" s="200" t="str">
        <f>X4</f>
        <v>Mugello</v>
      </c>
      <c r="Y21" s="200"/>
      <c r="Z21" s="199" t="str">
        <f>Z4</f>
        <v>Hockenheim</v>
      </c>
      <c r="AA21" s="199"/>
      <c r="AB21" s="200" t="str">
        <f>AB4</f>
        <v>Brno</v>
      </c>
      <c r="AC21" s="200"/>
      <c r="AD21" s="200" t="str">
        <f>AD4</f>
        <v>Serres</v>
      </c>
      <c r="AE21" s="200"/>
      <c r="AF21" s="200" t="str">
        <f>AF4</f>
        <v>Portimao</v>
      </c>
      <c r="AG21" s="200"/>
      <c r="AH21" s="200" t="str">
        <f>AH4</f>
        <v>Poznan</v>
      </c>
      <c r="AI21" s="200"/>
      <c r="AJ21" s="200" t="str">
        <f>AJ4</f>
        <v>Oesterreichring</v>
      </c>
      <c r="AK21" s="200"/>
      <c r="AL21" s="161" t="str">
        <f t="shared" si="17"/>
        <v>circuit</v>
      </c>
      <c r="AN21" s="197"/>
      <c r="AO21" s="197"/>
    </row>
    <row r="22" spans="1:45" ht="16.2" thickBot="1">
      <c r="A22" s="154" t="s">
        <v>277</v>
      </c>
      <c r="B22" s="165" t="s">
        <v>44</v>
      </c>
      <c r="C22" s="163"/>
      <c r="D22" s="198" t="s">
        <v>45</v>
      </c>
      <c r="E22" s="195"/>
      <c r="F22" s="195" t="s">
        <v>45</v>
      </c>
      <c r="G22" s="195"/>
      <c r="H22" s="195" t="s">
        <v>45</v>
      </c>
      <c r="I22" s="195"/>
      <c r="J22" s="195" t="s">
        <v>45</v>
      </c>
      <c r="K22" s="195"/>
      <c r="L22" s="195" t="s">
        <v>45</v>
      </c>
      <c r="M22" s="195"/>
      <c r="N22" s="195" t="s">
        <v>45</v>
      </c>
      <c r="O22" s="195"/>
      <c r="P22" s="195" t="s">
        <v>45</v>
      </c>
      <c r="Q22" s="195"/>
      <c r="R22" s="195" t="s">
        <v>45</v>
      </c>
      <c r="S22" s="195"/>
      <c r="T22" s="195" t="s">
        <v>45</v>
      </c>
      <c r="U22" s="195"/>
      <c r="V22" s="195" t="s">
        <v>45</v>
      </c>
      <c r="W22" s="195"/>
      <c r="X22" s="195" t="s">
        <v>45</v>
      </c>
      <c r="Y22" s="195"/>
      <c r="Z22" s="195" t="s">
        <v>45</v>
      </c>
      <c r="AA22" s="195"/>
      <c r="AB22" s="195" t="s">
        <v>45</v>
      </c>
      <c r="AC22" s="195"/>
      <c r="AD22" s="195" t="s">
        <v>45</v>
      </c>
      <c r="AE22" s="195"/>
      <c r="AF22" s="195" t="s">
        <v>45</v>
      </c>
      <c r="AG22" s="195"/>
      <c r="AH22" s="195" t="s">
        <v>45</v>
      </c>
      <c r="AI22" s="195"/>
      <c r="AJ22" s="196" t="s">
        <v>45</v>
      </c>
      <c r="AK22" s="196"/>
      <c r="AL22" s="162" t="s">
        <v>992</v>
      </c>
      <c r="AO22" t="s">
        <v>49</v>
      </c>
    </row>
    <row r="23" spans="1:45" ht="16.2" thickBot="1">
      <c r="A23" s="167" t="s">
        <v>42</v>
      </c>
      <c r="B23" s="166" t="s">
        <v>50</v>
      </c>
      <c r="C23" s="164"/>
      <c r="D23" s="193">
        <v>0</v>
      </c>
      <c r="E23" s="194"/>
      <c r="F23" s="194">
        <v>0</v>
      </c>
      <c r="G23" s="194"/>
      <c r="H23" s="194">
        <v>0</v>
      </c>
      <c r="I23" s="194"/>
      <c r="J23" s="194">
        <v>0</v>
      </c>
      <c r="K23" s="194"/>
      <c r="L23" s="194">
        <v>0</v>
      </c>
      <c r="M23" s="194"/>
      <c r="N23" s="194">
        <v>0</v>
      </c>
      <c r="O23" s="194"/>
      <c r="P23" s="194">
        <v>0</v>
      </c>
      <c r="Q23" s="194"/>
      <c r="R23" s="194">
        <v>0</v>
      </c>
      <c r="S23" s="194"/>
      <c r="T23" s="194">
        <v>0</v>
      </c>
      <c r="U23" s="194"/>
      <c r="V23" s="194">
        <v>0</v>
      </c>
      <c r="W23" s="194"/>
      <c r="X23" s="194">
        <v>0</v>
      </c>
      <c r="Y23" s="194"/>
      <c r="Z23" s="194">
        <v>0</v>
      </c>
      <c r="AA23" s="194"/>
      <c r="AB23" s="194">
        <v>0</v>
      </c>
      <c r="AC23" s="194"/>
      <c r="AD23" s="194">
        <v>0</v>
      </c>
      <c r="AE23" s="194"/>
      <c r="AF23" s="194">
        <v>0</v>
      </c>
      <c r="AG23" s="194"/>
      <c r="AH23" s="194">
        <v>0</v>
      </c>
      <c r="AI23" s="194"/>
      <c r="AJ23" s="194">
        <v>0</v>
      </c>
      <c r="AK23" s="194"/>
      <c r="AL23" s="160" t="s">
        <v>993</v>
      </c>
      <c r="AN23">
        <v>70</v>
      </c>
      <c r="AO23" t="s">
        <v>51</v>
      </c>
      <c r="AP23" t="s">
        <v>52</v>
      </c>
    </row>
    <row r="24" spans="1:45" ht="16.2" thickBot="1">
      <c r="A24" s="167" t="s">
        <v>53</v>
      </c>
      <c r="B24" s="166" t="s">
        <v>991</v>
      </c>
      <c r="C24" s="164"/>
      <c r="D24" s="193">
        <v>0</v>
      </c>
      <c r="E24" s="194"/>
      <c r="F24" s="193">
        <v>0</v>
      </c>
      <c r="G24" s="194"/>
      <c r="H24" s="193">
        <v>0</v>
      </c>
      <c r="I24" s="194"/>
      <c r="J24" s="193">
        <v>0</v>
      </c>
      <c r="K24" s="194"/>
      <c r="L24" s="193">
        <v>0</v>
      </c>
      <c r="M24" s="194"/>
      <c r="N24" s="193">
        <v>0</v>
      </c>
      <c r="O24" s="194"/>
      <c r="P24" s="193">
        <v>0</v>
      </c>
      <c r="Q24" s="194"/>
      <c r="R24" s="193">
        <v>0</v>
      </c>
      <c r="S24" s="194"/>
      <c r="T24" s="193">
        <v>0</v>
      </c>
      <c r="U24" s="194"/>
      <c r="V24" s="193">
        <v>0</v>
      </c>
      <c r="W24" s="194"/>
      <c r="X24" s="193">
        <v>0</v>
      </c>
      <c r="Y24" s="194"/>
      <c r="Z24" s="193">
        <v>0</v>
      </c>
      <c r="AA24" s="194"/>
      <c r="AB24" s="193">
        <v>0</v>
      </c>
      <c r="AC24" s="194"/>
      <c r="AD24" s="193">
        <v>0</v>
      </c>
      <c r="AE24" s="194"/>
      <c r="AF24" s="193">
        <v>0</v>
      </c>
      <c r="AG24" s="194"/>
      <c r="AH24" s="193">
        <v>0</v>
      </c>
      <c r="AI24" s="194"/>
      <c r="AJ24" s="193">
        <v>0</v>
      </c>
      <c r="AK24" s="194"/>
      <c r="AL24" s="160" t="s">
        <v>53</v>
      </c>
      <c r="AN24">
        <f ca="1">OFFSET(données!BM7,0,'tableau financier'!AN29)</f>
        <v>3041.0790000000002</v>
      </c>
      <c r="AO24">
        <v>4</v>
      </c>
      <c r="AS24" t="s">
        <v>995</v>
      </c>
    </row>
    <row r="25" spans="1:45" ht="13.8" thickBot="1">
      <c r="A25" s="126" t="s">
        <v>903</v>
      </c>
      <c r="B25" s="126"/>
      <c r="C25" s="127"/>
      <c r="D25" s="129">
        <f>IF(COUNT(D26)=0,100,D26)</f>
        <v>100</v>
      </c>
      <c r="E25" s="130">
        <f>IF(COUNT(E26)=0,D25-(données!$D$53+VLOOKUP(D4,'constantes gp'!$AT$13:$AW$76,4))*(données!$D$54+données!$D$55*D2/100)*(1+données!$D$56*D96/250)*(1+données!$D$57*D92/250)*(1+données!$D$58*D99)*(1+données!$D$59*D94/250)*(1+données!$D$60*D97/250)*(1+données!$D$61*D98/250)*(1+données!$D$62*D95/200)*(1+données!$D$63*(D93-20)/230),E26)</f>
        <v>94.211422807996541</v>
      </c>
      <c r="F25" s="128">
        <f>IF(IF(COUNT(F26)=0,E25+$A$15+IF(AND(RIGHT($D106,2)&lt;=F1,RIGHT($D107,2)&gt;=F1),IF(B106="Spa",données!$M8,0),IF(AND(RIGHT($G106,2)&lt;=F1,RIGHT($G107,2)&gt;=F1),IF(E106="Spa",données!$M8,0),IF(AND(RIGHT($J106,2)&lt;=F1,RIGHT($J107,2)&gt;=F1),IF(H106="Spa",données!$M8,0)))),F26)&gt;100,100,IF(COUNT(F26)=0,E25+$A$15+IF(AND(RIGHT($D106,2)&lt;=F1,RIGHT($D107,2)&gt;=F1),IF(B106="Spa",données!$M8,0),IF(AND(RIGHT($G106,2)&lt;=F1,RIGHT($G107,2)&gt;=F1),IF(E106="Spa",données!$M8,0),IF(AND(RIGHT($J106,2)&lt;=F1,RIGHT($J107,2)&gt;=F1),IF(H106="Spa",données!$M8,0)))),F26))</f>
        <v>100</v>
      </c>
      <c r="G25" s="130">
        <f>IF(COUNT(G26)=0,F25-(données!$D$53+VLOOKUP(F4,'constantes gp'!$AT$13:$AW$76,4))*(données!$D$54+données!$D$55*F2/100)*(1+données!$D$56*F96/250)*(1+données!$D$57*F92/250)*(1+données!$D$58*F99)*(1+données!$D$59*F94/250)*(1+données!$D$60*F97/250)*(1+données!$D$61*F98/250)*(1+données!$D$62*F95/200)*(1+données!$D$63*(F93-20)/230),G26)</f>
        <v>94.141800901169901</v>
      </c>
      <c r="H25" s="128">
        <f>IF(IF(COUNT(H26)=0,G25+$A$15+IF(AND(RIGHT($D106,2)&lt;=H1,RIGHT($D107,2)&gt;=H1),IF(D106="Spa",données!$M8,0),IF(AND(RIGHT($G106,2)&lt;=H1,RIGHT($G107,2)&gt;=H1),IF(G106="Spa",données!$M8,0),IF(AND(RIGHT($J106,2)&lt;=H1,RIGHT($J107,2)&gt;=H1),IF(J106="Spa",données!$M8,0)))),H26)&gt;100,100,IF(COUNT(H26)=0,G25+$A$15+IF(AND(RIGHT($D106,2)&lt;=H1,RIGHT($D107,2)&gt;=H1),IF(D106="Spa",données!$M8,0),IF(AND(RIGHT($G106,2)&lt;=H1,RIGHT($G107,2)&gt;=H1),IF(G106="Spa",données!$M8,0),IF(AND(RIGHT($J106,2)&lt;=H1,RIGHT($J107,2)&gt;=H1),IF(J106="Spa",données!$M8,0)))),H26))</f>
        <v>100</v>
      </c>
      <c r="I25" s="130">
        <f>IF(COUNT(I26)=0,H25-(données!$D$53+VLOOKUP(H4,'constantes gp'!$AT$13:$AW$76,4))*(données!$D$54+données!$D$55*H2/100)*(1+données!$D$56*H96/250)*(1+données!$D$57*H92/250)*(1+données!$D$58*H99)*(1+données!$D$59*H94/250)*(1+données!$D$60*H97/250)*(1+données!$D$61*H98/250)*(1+données!$D$62*H95/200)*(1+données!$D$63*(H93-20)/230),I26)</f>
        <v>94.94278091203411</v>
      </c>
      <c r="J25" s="128">
        <f>IF(IF(COUNT(J26)=0,I25+$A$15+IF(AND(RIGHT($D106,2)&lt;=J1,RIGHT($D107,2)&gt;=J1),IF(F106="Spa",données!$M8,0),IF(AND(RIGHT($G106,2)&lt;=J1,RIGHT($G107,2)&gt;=J1),IF(I106="Spa",données!$M8,0),IF(AND(RIGHT($J106,2)&lt;=J1,RIGHT($J107,2)&gt;=J1),IF(L106="Spa",données!$M8,0)))),J26)&gt;100,100,IF(COUNT(J26)=0,I25+$A$15+IF(AND(RIGHT($D106,2)&lt;=J1,RIGHT($D107,2)&gt;=J1),IF(F106="Spa",données!$M8,0),IF(AND(RIGHT($G106,2)&lt;=J1,RIGHT($G107,2)&gt;=J1),IF(I106="Spa",données!$M8,0),IF(AND(RIGHT($J106,2)&lt;=J1,RIGHT($J107,2)&gt;=J1),IF(L106="Spa",données!$M8,0)))),J26))</f>
        <v>100</v>
      </c>
      <c r="K25" s="130">
        <f>IF(COUNT(K26)=0,J25-(données!$D$53+VLOOKUP(J4,'constantes gp'!$AT$13:$AW$76,4))*(données!$D$54+données!$D$55*J2/100)*(1+données!$D$56*J96/250)*(1+données!$D$57*J92/250)*(1+données!$D$58*J99)*(1+données!$D$59*J94/250)*(1+données!$D$60*J97/250)*(1+données!$D$61*J98/250)*(1+données!$D$62*J95/200)*(1+données!$D$63*(J93-20)/230),K26)</f>
        <v>58.973602967302625</v>
      </c>
      <c r="L25" s="128">
        <f>IF(IF(COUNT(L26)=0,K25+$A$15+IF(AND(RIGHT($D106,2)&lt;=L1,RIGHT($D107,2)&gt;=L1),IF(H106="Spa",données!$M8,0),IF(AND(RIGHT($G106,2)&lt;=L1,RIGHT($G107,2)&gt;=L1),IF(K106="Spa",données!$M8,0),IF(AND(RIGHT($J106,2)&lt;=L1,RIGHT($J107,2)&gt;=L1),IF(N106="Spa",données!$M8,0)))),L26)&gt;100,100,IF(COUNT(L26)=0,K25+$A$15+IF(AND(RIGHT($D106,2)&lt;=L1,RIGHT($D107,2)&gt;=L1),IF(H106="Spa",données!$M8,0),IF(AND(RIGHT($G106,2)&lt;=L1,RIGHT($G107,2)&gt;=L1),IF(K106="Spa",données!$M8,0),IF(AND(RIGHT($J106,2)&lt;=L1,RIGHT($J107,2)&gt;=L1),IF(N106="Spa",données!$M8,0)))),L26))</f>
        <v>100</v>
      </c>
      <c r="M25" s="130">
        <f>IF(COUNT(M26)=0,L25-(données!$D$53+VLOOKUP(L4,'constantes gp'!$AT$13:$AW$76,4))*(données!$D$54+données!$D$55*L2/100)*(1+données!$D$56*L96/250)*(1+données!$D$57*L92/250)*(1+données!$D$58*L99)*(1+données!$D$59*L94/250)*(1+données!$D$60*L97/250)*(1+données!$D$61*L98/250)*(1+données!$D$62*L95/200)*(1+données!$D$63*(L93-20)/230),M26)</f>
        <v>59.820027816036621</v>
      </c>
      <c r="N25" s="128">
        <f>IF(IF(COUNT(N26)=0,M25+$A$15+IF(AND(RIGHT($D106,2)&lt;=N1,RIGHT($D107,2)&gt;=N1),IF(J106="Spa",données!$M8,0),IF(AND(RIGHT($G106,2)&lt;=N1,RIGHT($G107,2)&gt;=N1),IF(M106="Spa",données!$M8,0),IF(AND(RIGHT($J106,2)&lt;=N1,RIGHT($J107,2)&gt;=N1),IF(P106="Spa",données!$M8,0)))),N26)&gt;100,100,IF(COUNT(N26)=0,M25+$A$15+IF(AND(RIGHT($D106,2)&lt;=N1,RIGHT($D107,2)&gt;=N1),IF(J106="Spa",données!$M8,0),IF(AND(RIGHT($G106,2)&lt;=N1,RIGHT($G107,2)&gt;=N1),IF(M106="Spa",données!$M8,0),IF(AND(RIGHT($J106,2)&lt;=N1,RIGHT($J107,2)&gt;=N1),IF(P106="Spa",données!$M8,0)))),N26))</f>
        <v>100</v>
      </c>
      <c r="O25" s="130">
        <f>IF(COUNT(O26)=0,N25-(données!$D$53+VLOOKUP(N4,'constantes gp'!$AT$13:$AW$76,4))*(données!$D$54+données!$D$55*N2/100)*(1+données!$D$56*N96/250)*(1+données!$D$57*N92/250)*(1+données!$D$58*N99)*(1+données!$D$59*N94/250)*(1+données!$D$60*N97/250)*(1+données!$D$61*N98/250)*(1+données!$D$62*N95/200)*(1+données!$D$63*(N93-20)/230),O26)</f>
        <v>62.197837960080747</v>
      </c>
      <c r="P25" s="128">
        <f>IF(IF(COUNT(P26)=0,O25+$A$15+IF(AND(RIGHT($D106,2)&lt;=P1,RIGHT($D107,2)&gt;=P1),IF(L106="Spa",données!$M8,0),IF(AND(RIGHT($G106,2)&lt;=P1,RIGHT($G107,2)&gt;=P1),IF(O106="Spa",données!$M8,0),IF(AND(RIGHT($J106,2)&lt;=P1,RIGHT($J107,2)&gt;=P1),IF(R106="Spa",données!$M8,0)))),P26)&gt;100,100,IF(COUNT(P26)=0,O25+$A$15+IF(AND(RIGHT($D106,2)&lt;=P1,RIGHT($D107,2)&gt;=P1),IF(L106="Spa",données!$M8,0),IF(AND(RIGHT($G106,2)&lt;=P1,RIGHT($G107,2)&gt;=P1),IF(O106="Spa",données!$M8,0),IF(AND(RIGHT($J106,2)&lt;=P1,RIGHT($J107,2)&gt;=P1),IF(R106="Spa",données!$M8,0)))),P26))</f>
        <v>100</v>
      </c>
      <c r="Q25" s="130">
        <f>IF(COUNT(Q26)=0,P25-(données!$D$53+VLOOKUP(P4,'constantes gp'!$AT$13:$AW$76,4))*(données!$D$54+données!$D$55*P2/100)*(1+données!$D$56*P96/250)*(1+données!$D$57*P92/250)*(1+données!$D$58*P99)*(1+données!$D$59*P94/250)*(1+données!$D$60*P97/250)*(1+données!$D$61*P98/250)*(1+données!$D$62*P95/200)*(1+données!$D$63*(P93-20)/230),Q26)</f>
        <v>48.172248301545089</v>
      </c>
      <c r="R25" s="128">
        <f>IF(IF(COUNT(R26)=0,Q25+$A$15+IF(AND(RIGHT($D106,2)&lt;=R1,RIGHT($D107,2)&gt;=R1),IF(N106="Spa",données!$M8,0),IF(AND(RIGHT($G106,2)&lt;=R1,RIGHT($G107,2)&gt;=R1),IF(Q106="Spa",données!$M8,0),IF(AND(RIGHT($J106,2)&lt;=R1,RIGHT($J107,2)&gt;=R1),IF(T106="Spa",données!$M8,0)))),R26)&gt;100,100,IF(COUNT(R26)=0,Q25+$A$15+IF(AND(RIGHT($D106,2)&lt;=R1,RIGHT($D107,2)&gt;=R1),IF(N106="Spa",données!$M8,0),IF(AND(RIGHT($G106,2)&lt;=R1,RIGHT($G107,2)&gt;=R1),IF(Q106="Spa",données!$M8,0),IF(AND(RIGHT($J106,2)&lt;=R1,RIGHT($J107,2)&gt;=R1),IF(T106="Spa",données!$M8,0)))),R26))</f>
        <v>100</v>
      </c>
      <c r="S25" s="130">
        <f>IF(COUNT(S26)=0,R25-(données!$D$53+VLOOKUP(R4,'constantes gp'!$AT$13:$AW$76,4))*(données!$D$54+données!$D$55*R2/100)*(1+données!$D$56*R96/250)*(1+données!$D$57*R92/250)*(1+données!$D$58*R99)*(1+données!$D$59*R94/250)*(1+données!$D$60*R97/250)*(1+données!$D$61*R98/250)*(1+données!$D$62*R95/200)*(1+données!$D$63*(R93-20)/230),S26)</f>
        <v>55.18937651176568</v>
      </c>
      <c r="T25" s="128">
        <f>IF(IF(COUNT(T26)=0,S25+$A$15+IF(AND(RIGHT($D106,2)&lt;=T1,RIGHT($D107,2)&gt;=T1),IF(P106="Spa",données!$M8,0),IF(AND(RIGHT($G106,2)&lt;=T1,RIGHT($G107,2)&gt;=T1),IF(S106="Spa",données!$M8,0),IF(AND(RIGHT($J106,2)&lt;=T1,RIGHT($J107,2)&gt;=T1),IF(V106="Spa",données!$M8,0)))),T26)&gt;100,100,IF(COUNT(T26)=0,S25+$A$15+IF(AND(RIGHT($D106,2)&lt;=T1,RIGHT($D107,2)&gt;=T1),IF(P106="Spa",données!$M8,0),IF(AND(RIGHT($G106,2)&lt;=T1,RIGHT($G107,2)&gt;=T1),IF(S106="Spa",données!$M8,0),IF(AND(RIGHT($J106,2)&lt;=T1,RIGHT($J107,2)&gt;=T1),IF(V106="Spa",données!$M8,0)))),T26))</f>
        <v>100</v>
      </c>
      <c r="U25" s="130">
        <f>IF(COUNT(U26)=0,T25-(données!$D$53+VLOOKUP(T4,'constantes gp'!$AT$13:$AW$76,4))*(données!$D$54+données!$D$55*T2/100)*(1+données!$D$56*T96/250)*(1+données!$D$57*T92/250)*(1+données!$D$58*T99)*(1+données!$D$59*T94/250)*(1+données!$D$60*T97/250)*(1+données!$D$61*T98/250)*(1+données!$D$62*T95/200)*(1+données!$D$63*(T93-20)/230),U26)</f>
        <v>54.927914148447478</v>
      </c>
      <c r="V25" s="128">
        <f>IF(IF(COUNT(V26)=0,U25+$A$15+IF(AND(RIGHT($D106,2)&lt;=V1,RIGHT($D107,2)&gt;=V1),IF(R106="Spa",données!$M8,0),IF(AND(RIGHT($G106,2)&lt;=V1,RIGHT($G107,2)&gt;=V1),IF(U106="Spa",données!$M8,0),IF(AND(RIGHT($J106,2)&lt;=V1,RIGHT($J107,2)&gt;=V1),IF(X106="Spa",données!$M8,0)))),V26)&gt;100,100,IF(COUNT(V26)=0,U25+$A$15+IF(AND(RIGHT($D106,2)&lt;=V1,RIGHT($D107,2)&gt;=V1),IF(R106="Spa",données!$M8,0),IF(AND(RIGHT($G106,2)&lt;=V1,RIGHT($G107,2)&gt;=V1),IF(U106="Spa",données!$M8,0),IF(AND(RIGHT($J106,2)&lt;=V1,RIGHT($J107,2)&gt;=V1),IF(X106="Spa",données!$M8,0)))),V26))</f>
        <v>100</v>
      </c>
      <c r="W25" s="130">
        <f>IF(COUNT(W26)=0,V25-(données!$D$53+VLOOKUP(V4,'constantes gp'!$AT$13:$AW$76,4))*(données!$D$54+données!$D$55*V2/100)*(1+données!$D$56*V96/250)*(1+données!$D$57*V92/250)*(1+données!$D$58*V99)*(1+données!$D$59*V94/250)*(1+données!$D$60*V97/250)*(1+données!$D$61*V98/250)*(1+données!$D$62*V95/200)*(1+données!$D$63*(V93-20)/230),W26)</f>
        <v>50.457328700104597</v>
      </c>
      <c r="X25" s="128">
        <f>IF(IF(COUNT(X26)=0,W25+$A$15+IF(AND(RIGHT($D106,2)&lt;=X1,RIGHT($D107,2)&gt;=X1),IF(T106="Spa",données!$M8,0),IF(AND(RIGHT($G106,2)&lt;=X1,RIGHT($G107,2)&gt;=X1),IF(W106="Spa",données!$M8,0),IF(AND(RIGHT($J106,2)&lt;=X1,RIGHT($J107,2)&gt;=X1),IF(Z106="Spa",données!$M8,0)))),X26)&gt;100,100,IF(COUNT(X26)=0,W25+$A$15+IF(AND(RIGHT($D106,2)&lt;=X1,RIGHT($D107,2)&gt;=X1),IF(T106="Spa",données!$M8,0),IF(AND(RIGHT($G106,2)&lt;=X1,RIGHT($G107,2)&gt;=X1),IF(W106="Spa",données!$M8,0),IF(AND(RIGHT($J106,2)&lt;=X1,RIGHT($J107,2)&gt;=X1),IF(Z106="Spa",données!$M8,0)))),X26))</f>
        <v>100</v>
      </c>
      <c r="Y25" s="130">
        <f>IF(COUNT(Y26)=0,X25-(données!$D$53+VLOOKUP(X4,'constantes gp'!$AT$13:$AW$76,4))*(données!$D$54+données!$D$55*X2/100)*(1+données!$D$56*X96/250)*(1+données!$D$57*X92/250)*(1+données!$D$58*X99)*(1+données!$D$59*X94/250)*(1+données!$D$60*X97/250)*(1+données!$D$61*X98/250)*(1+données!$D$62*X95/200)*(1+données!$D$63*(X93-20)/230),Y26)</f>
        <v>45.157062905343842</v>
      </c>
      <c r="Z25" s="128">
        <f>IF(IF(COUNT(Z26)=0,Y25+$A$15+IF(AND(RIGHT($D106,2)&lt;=Z1,RIGHT($D107,2)&gt;=Z1),IF(V106="Spa",données!$M8,0),IF(AND(RIGHT($G106,2)&lt;=Z1,RIGHT($G107,2)&gt;=Z1),IF(Y106="Spa",données!$M8,0),IF(AND(RIGHT($J106,2)&lt;=Z1,RIGHT($J107,2)&gt;=Z1),IF(AB106="Spa",données!$M8,0)))),Z26)&gt;100,100,IF(COUNT(Z26)=0,Y25+$A$15+IF(AND(RIGHT($D106,2)&lt;=Z1,RIGHT($D107,2)&gt;=Z1),IF(V106="Spa",données!$M8,0),IF(AND(RIGHT($G106,2)&lt;=Z1,RIGHT($G107,2)&gt;=Z1),IF(Y106="Spa",données!$M8,0),IF(AND(RIGHT($J106,2)&lt;=Z1,RIGHT($J107,2)&gt;=Z1),IF(AB106="Spa",données!$M8,0)))),Z26))</f>
        <v>100</v>
      </c>
      <c r="AA25" s="130">
        <f>IF(COUNT(AA26)=0,Z25-(données!$D$53+VLOOKUP(Z4,'constantes gp'!$AT$13:$AW$76,4))*(données!$D$54+données!$D$55*Z2/100)*(1+données!$D$56*Z96/250)*(1+données!$D$57*Z92/250)*(1+données!$D$58*Z99)*(1+données!$D$59*Z94/250)*(1+données!$D$60*Z97/250)*(1+données!$D$61*Z98/250)*(1+données!$D$62*Z95/200)*(1+données!$D$63*(Z93-20)/230),AA26)</f>
        <v>50.03517107105089</v>
      </c>
      <c r="AB25" s="128">
        <f>IF(IF(COUNT(AB26)=0,AA25+$A$15+IF(AND(RIGHT($D106,2)&lt;=AB1,RIGHT($D107,2)&gt;=AB1),IF(X106="Spa",données!$M8,0),IF(AND(RIGHT($G106,2)&lt;=AB1,RIGHT($G107,2)&gt;=AB1),IF(AA106="Spa",données!$M8,0),IF(AND(RIGHT($J106,2)&lt;=AB1,RIGHT($J107,2)&gt;=AB1),IF(AD106="Spa",données!$M8,0)))),AB26)&gt;100,100,IF(COUNT(AB26)=0,AA25+$A$15+IF(AND(RIGHT($D106,2)&lt;=AB1,RIGHT($D107,2)&gt;=AB1),IF(X106="Spa",données!$M8,0),IF(AND(RIGHT($G106,2)&lt;=AB1,RIGHT($G107,2)&gt;=AB1),IF(AA106="Spa",données!$M8,0),IF(AND(RIGHT($J106,2)&lt;=AB1,RIGHT($J107,2)&gt;=AB1),IF(AD106="Spa",données!$M8,0)))),AB26))</f>
        <v>100</v>
      </c>
      <c r="AC25" s="130">
        <f>IF(COUNT(AC26)=0,AB25-(données!$D$53+VLOOKUP(AB4,'constantes gp'!$AT$13:$AW$76,4))*(données!$D$54+données!$D$55*AB2/100)*(1+données!$D$56*AB96/250)*(1+données!$D$57*AB92/250)*(1+données!$D$58*AB99)*(1+données!$D$59*AB94/250)*(1+données!$D$60*AB97/250)*(1+données!$D$61*AB98/250)*(1+données!$D$62*AB95/200)*(1+données!$D$63*(AB93-20)/230),AC26)</f>
        <v>45.299735299140728</v>
      </c>
      <c r="AD25" s="128">
        <f>IF(IF(COUNT(AD26)=0,AC25+$A$15+IF(AND(RIGHT($D106,2)&lt;=AD1,RIGHT($D107,2)&gt;=AD1),IF(Z106="Spa",données!$M8,0),IF(AND(RIGHT($G106,2)&lt;=AD1,RIGHT($G107,2)&gt;=AD1),IF(AC106="Spa",données!$M8,0),IF(AND(RIGHT($J106,2)&lt;=AD1,RIGHT($J107,2)&gt;=AD1),IF(AF106="Spa",données!$M8,0)))),AD26)&gt;100,100,IF(COUNT(AD26)=0,AC25+$A$15+IF(AND(RIGHT($D106,2)&lt;=AD1,RIGHT($D107,2)&gt;=AD1),IF(Z106="Spa",données!$M8,0),IF(AND(RIGHT($G106,2)&lt;=AD1,RIGHT($G107,2)&gt;=AD1),IF(AC106="Spa",données!$M8,0),IF(AND(RIGHT($J106,2)&lt;=AD1,RIGHT($J107,2)&gt;=AD1),IF(AF106="Spa",données!$M8,0)))),AD26))</f>
        <v>100</v>
      </c>
      <c r="AE25" s="130">
        <f>IF(COUNT(AE26)=0,AD25-(données!$D$53+VLOOKUP(AD4,'constantes gp'!$AT$13:$AW$76,4))*(données!$D$54+données!$D$55*AD2/100)*(1+données!$D$56*AD96/250)*(1+données!$D$57*AD92/250)*(1+données!$D$58*AD99)*(1+données!$D$59*AD94/250)*(1+données!$D$60*AD97/250)*(1+données!$D$61*AD98/250)*(1+données!$D$62*AD95/200)*(1+données!$D$63*(AD93-20)/230),AE26)</f>
        <v>47.962655952840777</v>
      </c>
      <c r="AF25" s="128">
        <f>IF(IF(COUNT(AF26)=0,AE25+$A$15+IF(AND(RIGHT($D106,2)&lt;=AF1,RIGHT($D107,2)&gt;=AF1),IF(AB106="Spa",données!$M8,0),IF(AND(RIGHT($G106,2)&lt;=AF1,RIGHT($G107,2)&gt;=AF1),IF(AE106="Spa",données!$M8,0),IF(AND(RIGHT($J106,2)&lt;=AF1,RIGHT($J107,2)&gt;=AF1),IF(AH106="Spa",données!$M8,0)))),AF26)&gt;100,100,IF(COUNT(AF26)=0,AE25+$A$15+IF(AND(RIGHT($D106,2)&lt;=AF1,RIGHT($D107,2)&gt;=AF1),IF(AB106="Spa",données!$M8,0),IF(AND(RIGHT($G106,2)&lt;=AF1,RIGHT($G107,2)&gt;=AF1),IF(AE106="Spa",données!$M8,0),IF(AND(RIGHT($J106,2)&lt;=AF1,RIGHT($J107,2)&gt;=AF1),IF(AH106="Spa",données!$M8,0)))),AF26))</f>
        <v>100</v>
      </c>
      <c r="AG25" s="130">
        <f>IF(COUNT(AG26)=0,AF25-(données!$D$53+VLOOKUP(AF4,'constantes gp'!$AT$13:$AW$76,4))*(données!$D$54+données!$D$55*AF2/100)*(1+données!$D$56*AF96/250)*(1+données!$D$57*AF92/250)*(1+données!$D$58*AF99)*(1+données!$D$59*AF94/250)*(1+données!$D$60*AF97/250)*(1+données!$D$61*AF98/250)*(1+données!$D$62*AF95/200)*(1+données!$D$63*(AF93-20)/230),AG26)</f>
        <v>50.63636571529468</v>
      </c>
      <c r="AH25" s="128">
        <f>IF(IF(COUNT(AH26)=0,AG25+$A$15+IF(AND(RIGHT($D106,2)&lt;=AH1,RIGHT($D107,2)&gt;=AH1),IF(AD106="Spa",données!$M8,0),IF(AND(RIGHT($G106,2)&lt;=AH1,RIGHT($G107,2)&gt;=AH1),IF(AG106="Spa",données!$M8,0),IF(AND(RIGHT($J106,2)&lt;=AH1,RIGHT($J107,2)&gt;=AH1),IF(AJ106="Spa",données!$M8,0)))),AH26)&gt;100,100,IF(COUNT(AH26)=0,AG25+$A$15+IF(AND(RIGHT($D106,2)&lt;=AH1,RIGHT($D107,2)&gt;=AH1),IF(AD106="Spa",données!$M8,0),IF(AND(RIGHT($G106,2)&lt;=AH1,RIGHT($G107,2)&gt;=AH1),IF(AG106="Spa",données!$M8,0),IF(AND(RIGHT($J106,2)&lt;=AH1,RIGHT($J107,2)&gt;=AH1),IF(AJ106="Spa",données!$M8,0)))),AH26))</f>
        <v>100</v>
      </c>
      <c r="AI25" s="130">
        <f>IF(COUNT(AI26)=0,AH25-(données!$D$53+VLOOKUP(AH4,'constantes gp'!$AT$13:$AW$76,4))*(données!$D$54+données!$D$55*AH2/100)*(1+données!$D$56*AH96/250)*(1+données!$D$57*AH92/250)*(1+données!$D$58*AH99)*(1+données!$D$59*AH94/250)*(1+données!$D$60*AH97/250)*(1+données!$D$61*AH98/250)*(1+données!$D$62*AH95/200)*(1+données!$D$63*(AH93-20)/230),AI26)</f>
        <v>48.020812121264726</v>
      </c>
      <c r="AJ25" s="128">
        <f>IF(IF(COUNT(AJ26)=0,AI25+$A$15+IF(AND(RIGHT($D106,2)&lt;=AJ1,RIGHT($D107,2)&gt;=AJ1),IF(AF106="Spa",données!$M8,0),IF(AND(RIGHT($G106,2)&lt;=AJ1,RIGHT($G107,2)&gt;=AJ1),IF(AI106="Spa",données!$M8,0),IF(AND(RIGHT($J106,2)&lt;=AJ1,RIGHT($J107,2)&gt;=AJ1),IF(AL106="Spa",données!$M8,0)))),AJ26)&gt;100,100,IF(COUNT(AJ26)=0,AI25+$A$15+IF(AND(RIGHT($D106,2)&lt;=AJ1,RIGHT($D107,2)&gt;=AJ1),IF(AF106="Spa",données!$M8,0),IF(AND(RIGHT($G106,2)&lt;=AJ1,RIGHT($G107,2)&gt;=AJ1),IF(AI106="Spa",données!$M8,0),IF(AND(RIGHT($J106,2)&lt;=AJ1,RIGHT($J107,2)&gt;=AJ1),IF(AL106="Spa",données!$M8,0)))),AJ26))</f>
        <v>100</v>
      </c>
      <c r="AK25" s="130">
        <f>IF(COUNT(AK26)=0,AJ25-(données!$D$53+VLOOKUP(AJ4,'constantes gp'!$AT$13:$AW$76,4))*(données!$D$54+données!$D$55*AJ2/100)*(1+données!$D$56*AJ96/250)*(1+données!$D$57*AJ92/250)*(1+données!$D$58*AJ99)*(1+données!$D$59*AJ94/250)*(1+données!$D$60*AJ97/250)*(1+données!$D$61*AJ98/250)*(1+données!$D$62*AJ95/200)*(1+données!$D$63*(AJ93-20)/230),AK26)</f>
        <v>95.284594585147502</v>
      </c>
      <c r="AL25" s="158" t="s">
        <v>989</v>
      </c>
      <c r="AS25">
        <v>1</v>
      </c>
    </row>
    <row r="26" spans="1:45" ht="13.8" thickBot="1">
      <c r="A26" s="126" t="s">
        <v>902</v>
      </c>
      <c r="B26" s="126"/>
      <c r="C26" s="127"/>
      <c r="D26" s="141"/>
      <c r="E26" s="140"/>
      <c r="F26" s="142" t="s">
        <v>1</v>
      </c>
      <c r="G26" s="143" t="s">
        <v>1</v>
      </c>
      <c r="H26" s="144" t="s">
        <v>1</v>
      </c>
      <c r="I26" s="143" t="s">
        <v>1</v>
      </c>
      <c r="J26" s="139"/>
      <c r="K26" s="140"/>
      <c r="L26" s="139"/>
      <c r="M26" s="140"/>
      <c r="N26" s="139"/>
      <c r="O26" s="140"/>
      <c r="P26" s="139"/>
      <c r="Q26" s="140"/>
      <c r="R26" s="139"/>
      <c r="S26" s="140"/>
      <c r="T26" s="139"/>
      <c r="U26" s="140"/>
      <c r="V26" s="139"/>
      <c r="W26" s="140"/>
      <c r="X26" s="139"/>
      <c r="Y26" s="140"/>
      <c r="Z26" s="139"/>
      <c r="AA26" s="140"/>
      <c r="AB26" s="139"/>
      <c r="AC26" s="140"/>
      <c r="AD26" s="139"/>
      <c r="AE26" s="140"/>
      <c r="AF26" s="139"/>
      <c r="AG26" s="140"/>
      <c r="AH26" s="139"/>
      <c r="AI26" s="140"/>
      <c r="AJ26" s="139"/>
      <c r="AK26" s="140"/>
      <c r="AL26" s="160" t="s">
        <v>990</v>
      </c>
      <c r="AS26">
        <v>12</v>
      </c>
    </row>
    <row r="27" spans="1:45">
      <c r="A27" s="16" t="s">
        <v>54</v>
      </c>
      <c r="B27" s="16" t="s">
        <v>55</v>
      </c>
      <c r="C27" s="17" t="s">
        <v>1</v>
      </c>
      <c r="D27" s="18">
        <v>0</v>
      </c>
      <c r="E27" s="17"/>
      <c r="F27" s="18">
        <f>IF(F30="Inchangé",IF(COUNT(E28)=0,D28,E28),IF(F30="Down 1",IF(COUNT(E28)=0,D28,E28)-VLOOKUP(IF(COUNT(E28)=0,D28,E28),upgrade!$A$4:$B$102,2),IF(F30="Down 2",IF(COUNT(E28)=0,D28,E28)-2*VLOOKUP(IF(COUNT(E28)=0,D28,E28),upgrade!$A$4:$B$102,2),0)))</f>
        <v>24.433568776304089</v>
      </c>
      <c r="G27" s="17" t="s">
        <v>1</v>
      </c>
      <c r="H27" s="18">
        <f>IF(H30="Inchangé",IF(COUNT(G28)=0,F28,G28),IF(H30="Down 1",IF(COUNT(G28)=0,F28,G28)-VLOOKUP(IF(COUNT(G28)=0,F28,G28),upgrade!$A$4:$B$102,2),IF(H30="Down 2",IF(COUNT(G28)=0,F28,G28)-2*VLOOKUP(IF(COUNT(G28)=0,F28,G28),upgrade!$A$4:$B$102,2),0)))</f>
        <v>39.1955551078497</v>
      </c>
      <c r="I27" s="17" t="s">
        <v>1</v>
      </c>
      <c r="J27" s="18">
        <f>IF(J30="Inchangé",IF(COUNT(I28)=0,H28,I28),IF(J30="Down 1",IF(COUNT(I28)=0,H28,I28)-VLOOKUP(IF(COUNT(I28)=0,H28,I28),upgrade!$A$4:$B$102,2),IF(J30="Down 2",IF(COUNT(I28)=0,H28,I28)-2*VLOOKUP(IF(COUNT(I28)=0,H28,I28),upgrade!$A$4:$B$102,2),0)))</f>
        <v>48.004102567135284</v>
      </c>
      <c r="K27" s="17" t="s">
        <v>1</v>
      </c>
      <c r="L27" s="18">
        <f>IF(L30="Inchangé",IF(COUNT(K28)=0,J28,K28),IF(L30="Down 1",IF(COUNT(K28)=0,J28,K28)-VLOOKUP(IF(COUNT(K28)=0,J28,K28),upgrade!$A$4:$B$102,2),IF(L30="Down 2",IF(COUNT(K28)=0,J28,K28)-2*VLOOKUP(IF(COUNT(K28)=0,J28,K28),upgrade!$A$4:$B$102,2),0)))</f>
        <v>68.375854291002611</v>
      </c>
      <c r="M27" s="17" t="s">
        <v>1</v>
      </c>
      <c r="N27" s="18">
        <f>IF(N30="Inchangé",IF(COUNT(M28)=0,L28,M28),IF(N30="Down 1",IF(COUNT(M28)=0,L28,M28)-VLOOKUP(IF(COUNT(M28)=0,L28,M28),upgrade!$A$4:$B$102,2),IF(N30="Down 2",IF(COUNT(M28)=0,L28,M28)-2*VLOOKUP(IF(COUNT(M28)=0,L28,M28),upgrade!$A$4:$B$102,2),0)))</f>
        <v>69.875854291002611</v>
      </c>
      <c r="O27" s="17" t="s">
        <v>1</v>
      </c>
      <c r="P27" s="18">
        <f>IF(P30="Inchangé",IF(COUNT(O28)=0,N28,O28),IF(P30="Down 1",IF(COUNT(O28)=0,N28,O28)-VLOOKUP(IF(COUNT(O28)=0,N28,O28),upgrade!$A$4:$B$102,2),IF(P30="Down 2",IF(COUNT(O28)=0,N28,O28)-2*VLOOKUP(IF(COUNT(O28)=0,N28,O28),upgrade!$A$4:$B$102,2),0)))</f>
        <v>90.84816106197286</v>
      </c>
      <c r="Q27" s="17" t="s">
        <v>1</v>
      </c>
      <c r="R27" s="18">
        <f>IF(R30="Inchangé",IF(COUNT(Q28)=0,P28,Q28),IF(R30="Down 1",IF(COUNT(Q28)=0,P28,Q28)-VLOOKUP(IF(COUNT(Q28)=0,P28,Q28),upgrade!$A$4:$B$102,2),IF(R30="Down 2",IF(COUNT(Q28)=0,P28,Q28)-2*VLOOKUP(IF(COUNT(Q28)=0,P28,Q28),upgrade!$A$4:$B$102,2),0)))</f>
        <v>106.535002055576</v>
      </c>
      <c r="S27" s="17" t="s">
        <v>1</v>
      </c>
      <c r="T27" s="18">
        <f>IF(T30="Inchangé",IF(COUNT(S28)=0,R28,S28),IF(T30="Down 1",IF(COUNT(S28)=0,R28,S28)-VLOOKUP(IF(COUNT(S28)=0,R28,S28),upgrade!$A$4:$B$102,2),IF(T30="Down 2",IF(COUNT(S28)=0,R28,S28)-2*VLOOKUP(IF(COUNT(S28)=0,R28,S28),upgrade!$A$4:$B$102,2),0)))</f>
        <v>120.9641500084232</v>
      </c>
      <c r="U27" s="17" t="s">
        <v>1</v>
      </c>
      <c r="V27" s="18">
        <f>IF(V30="Inchangé",IF(COUNT(U28)=0,T28,U28),IF(V30="Down 1",IF(COUNT(U28)=0,T28,U28)-VLOOKUP(IF(COUNT(U28)=0,T28,U28),upgrade!$A$4:$B$102,2),IF(V30="Down 2",IF(COUNT(U28)=0,T28,U28)-2*VLOOKUP(IF(COUNT(U28)=0,T28,U28),upgrade!$A$4:$B$102,2),0)))</f>
        <v>139.50853292420703</v>
      </c>
      <c r="W27" s="17" t="s">
        <v>1</v>
      </c>
      <c r="X27" s="18">
        <f>IF(X30="Inchangé",IF(COUNT(W28)=0,V28,W28),IF(X30="Down 1",IF(COUNT(W28)=0,V28,W28)-VLOOKUP(IF(COUNT(W28)=0,V28,W28),upgrade!$A$4:$B$102,2),IF(X30="Down 2",IF(COUNT(W28)=0,V28,W28)-2*VLOOKUP(IF(COUNT(W28)=0,V28,W28),upgrade!$A$4:$B$102,2),0)))</f>
        <v>156.76532061052978</v>
      </c>
      <c r="Y27" s="17" t="s">
        <v>1</v>
      </c>
      <c r="Z27" s="18">
        <f>IF(Z30="Inchangé",IF(COUNT(Y28)=0,X28,Y28),IF(Z30="Down 1",IF(COUNT(Y28)=0,X28,Y28)-VLOOKUP(IF(COUNT(Y28)=0,X28,Y28),upgrade!$A$4:$B$102,2),IF(Z30="Down 2",IF(COUNT(Y28)=0,X28,Y28)-2*VLOOKUP(IF(COUNT(Y28)=0,X28,Y28),upgrade!$A$4:$B$102,2),0)))</f>
        <v>172.251711358672</v>
      </c>
      <c r="AA27" s="17" t="s">
        <v>1</v>
      </c>
      <c r="AB27" s="18">
        <f>IF(AB30="Inchangé",IF(COUNT(AA28)=0,Z28,AA28),IF(AB30="Down 1",IF(COUNT(AA28)=0,Z28,AA28)-VLOOKUP(IF(COUNT(AA28)=0,Z28,AA28),upgrade!$A$4:$B$102,2),IF(AB30="Down 2",IF(COUNT(AA28)=0,Z28,AA28)-2*VLOOKUP(IF(COUNT(AA28)=0,Z28,AA28),upgrade!$A$4:$B$102,2),0)))</f>
        <v>192.12210186258835</v>
      </c>
      <c r="AC27" s="17" t="s">
        <v>1</v>
      </c>
      <c r="AD27" s="18">
        <f>IF(AD30="Inchangé",IF(COUNT(AC28)=0,AB28,AC28),IF(AD30="Down 1",IF(COUNT(AC28)=0,AB28,AC28)-VLOOKUP(IF(COUNT(AC28)=0,AB28,AC28),upgrade!$A$4:$B$102,2),IF(AD30="Down 2",IF(COUNT(AC28)=0,AB28,AC28)-2*VLOOKUP(IF(COUNT(AC28)=0,AB28,AC28),upgrade!$A$4:$B$102,2),0)))</f>
        <v>210.04598486829406</v>
      </c>
      <c r="AE27" s="17" t="s">
        <v>1</v>
      </c>
      <c r="AF27" s="18">
        <f>IF(AF30="Inchangé",IF(COUNT(AE28)=0,AD28,AE28),IF(AF30="Down 1",IF(COUNT(AE28)=0,AD28,AE28)-VLOOKUP(IF(COUNT(AE28)=0,AD28,AE28),upgrade!$A$4:$B$102,2),IF(AF30="Down 2",IF(COUNT(AE28)=0,AD28,AE28)-2*VLOOKUP(IF(COUNT(AE28)=0,AD28,AE28),upgrade!$A$4:$B$102,2),0)))</f>
        <v>226.99400183701428</v>
      </c>
      <c r="AG27" s="17" t="s">
        <v>1</v>
      </c>
      <c r="AH27" s="18">
        <f>IF(AH30="Inchangé",IF(COUNT(AG28)=0,AF28,AG28),IF(AH30="Down 1",IF(COUNT(AG28)=0,AF28,AG28)-VLOOKUP(IF(COUNT(AG28)=0,AF28,AG28),upgrade!$A$4:$B$102,2),IF(AH30="Down 2",IF(COUNT(AG28)=0,AF28,AG28)-2*VLOOKUP(IF(COUNT(AG28)=0,AF28,AG28),upgrade!$A$4:$B$102,2),0)))</f>
        <v>243.46710909433887</v>
      </c>
      <c r="AI27" s="17" t="s">
        <v>1</v>
      </c>
      <c r="AJ27" s="18">
        <f>IF(AJ30="Inchangé",IF(COUNT(AI28)=0,AH28,AI28),IF(AJ30="Down 1",IF(COUNT(AI28)=0,AH28,AI28)-VLOOKUP(IF(COUNT(AI28)=0,AH28,AI28),upgrade!$A$4:$B$102,2),IF(AJ30="Down 2",IF(COUNT(AI28)=0,AH28,AI28)-2*VLOOKUP(IF(COUNT(AI28)=0,AH28,AI28),upgrade!$A$4:$B$102,2),0)))</f>
        <v>263.27076514051112</v>
      </c>
      <c r="AK27" s="17" t="s">
        <v>1</v>
      </c>
      <c r="AL27" s="19" t="str">
        <f>données!BM7</f>
        <v>châssis</v>
      </c>
      <c r="AN27">
        <v>308</v>
      </c>
      <c r="AO27">
        <f>données!C14*AO28</f>
        <v>40</v>
      </c>
      <c r="AP27">
        <f>AO27+AN27</f>
        <v>348</v>
      </c>
    </row>
    <row r="28" spans="1:45">
      <c r="A28" s="5" t="s">
        <v>1</v>
      </c>
      <c r="B28" s="5" t="s">
        <v>56</v>
      </c>
      <c r="C28" s="20"/>
      <c r="D28" s="8">
        <f>D27+IF(D$22="Aucun",0,données!$C$14*D$23/100)+données!E14</f>
        <v>24.433568776304089</v>
      </c>
      <c r="E28" s="9" t="s">
        <v>1</v>
      </c>
      <c r="F28" s="8">
        <f>F27+IF(F$22="Aucun",0,données!$C$14*F$23/100)+données!G14</f>
        <v>39.1955551078497</v>
      </c>
      <c r="G28" s="9" t="s">
        <v>1</v>
      </c>
      <c r="H28" s="8">
        <f>H27+IF(H$22="Aucun",0,données!$C$14*H$23/100)+données!I14</f>
        <v>48.004102567135284</v>
      </c>
      <c r="I28" s="9" t="s">
        <v>1</v>
      </c>
      <c r="J28" s="8">
        <f>J27+IF(J$22="Aucun",0,données!$C$14*J$23/100)+données!K14</f>
        <v>68.375854291002611</v>
      </c>
      <c r="K28" s="9" t="s">
        <v>1</v>
      </c>
      <c r="L28" s="8">
        <f>L27+IF(L$22="Aucun",0,données!$C$14*L$23/100)+données!M14</f>
        <v>69.875854291002611</v>
      </c>
      <c r="M28" s="9" t="s">
        <v>1</v>
      </c>
      <c r="N28" s="8">
        <f>N27+IF(N$22="Aucun",0,données!$C$14*N$23/100)+données!O14</f>
        <v>90.84816106197286</v>
      </c>
      <c r="O28" s="9" t="s">
        <v>1</v>
      </c>
      <c r="P28" s="8">
        <f>P27+IF(P$22="Aucun",0,données!$C$14*P$23/100)+données!Q14</f>
        <v>106.535002055576</v>
      </c>
      <c r="Q28" s="9" t="s">
        <v>1</v>
      </c>
      <c r="R28" s="8">
        <f>R27+IF(R$22="Aucun",0,données!$C$14*R$23/100)+données!S14</f>
        <v>120.9641500084232</v>
      </c>
      <c r="S28" s="9" t="s">
        <v>1</v>
      </c>
      <c r="T28" s="8">
        <f>T27+IF(T$22="Aucun",0,données!$C$14*T$23/100)+données!U14</f>
        <v>139.50853292420703</v>
      </c>
      <c r="U28" s="9" t="s">
        <v>1</v>
      </c>
      <c r="V28" s="8">
        <f>V27+IF(V$22="Aucun",0,données!$C$14*V$23/100)+données!W14</f>
        <v>156.76532061052978</v>
      </c>
      <c r="W28" s="9" t="s">
        <v>1</v>
      </c>
      <c r="X28" s="8">
        <f>X27+IF(X$22="Aucun",0,données!$C$14*X$23/100)+données!Y14</f>
        <v>172.251711358672</v>
      </c>
      <c r="Y28" s="9" t="s">
        <v>1</v>
      </c>
      <c r="Z28" s="8">
        <f>Z27+IF(Z$22="Aucun",0,données!$C$14*Z$23/100)+données!AA14</f>
        <v>192.12210186258835</v>
      </c>
      <c r="AA28" s="9" t="s">
        <v>1</v>
      </c>
      <c r="AB28" s="8">
        <f>AB27+IF(AB$22="Aucun",0,données!$C$14*AB$23/100)+données!AC14</f>
        <v>210.04598486829406</v>
      </c>
      <c r="AC28" s="9" t="s">
        <v>1</v>
      </c>
      <c r="AD28" s="8">
        <f>AD27+IF(AD$22="Aucun",0,données!$C$14*AD$23/100)+données!AE14</f>
        <v>226.99400183701428</v>
      </c>
      <c r="AE28" s="9" t="s">
        <v>1</v>
      </c>
      <c r="AF28" s="8">
        <f>AF27+IF(AF$22="Aucun",0,données!$C$14*AF$23/100)+données!AG14</f>
        <v>243.46710909433887</v>
      </c>
      <c r="AG28" s="9" t="s">
        <v>1</v>
      </c>
      <c r="AH28" s="8">
        <f>AH27+IF(AH$22="Aucun",0,données!$C$14*AH$23/100)+données!AI14</f>
        <v>263.27076514051112</v>
      </c>
      <c r="AI28" s="9" t="s">
        <v>1</v>
      </c>
      <c r="AJ28" s="8">
        <f>AJ27+IF(AJ$22="Aucun",0,données!$C$14*AJ$23/100)+données!AK14</f>
        <v>277.19075157869037</v>
      </c>
      <c r="AK28" s="9" t="s">
        <v>1</v>
      </c>
      <c r="AL28" s="15">
        <v>3</v>
      </c>
      <c r="AM28" t="s">
        <v>57</v>
      </c>
      <c r="AN28" s="10">
        <v>3</v>
      </c>
      <c r="AO28">
        <f>AO24</f>
        <v>4</v>
      </c>
      <c r="AP28">
        <v>4</v>
      </c>
      <c r="AQ28">
        <v>313</v>
      </c>
      <c r="AR28">
        <v>301</v>
      </c>
      <c r="AS28" s="20" t="e">
        <f>E28-D28+G28-F28+I28-H28+K28-J28+M28-L28+O28-N28+Q28-P28+S28-R28+U28-T28+W28-V28+Y28-X28+AA28-Z28</f>
        <v>#VALUE!</v>
      </c>
    </row>
    <row r="29" spans="1:45">
      <c r="A29" s="5" t="s">
        <v>1</v>
      </c>
      <c r="B29" s="5" t="s">
        <v>58</v>
      </c>
      <c r="C29" s="10">
        <v>6</v>
      </c>
      <c r="D29" s="8">
        <f>C29</f>
        <v>6</v>
      </c>
      <c r="E29" s="20"/>
      <c r="F29" s="8">
        <f>IF(F30="Down 1",D29-1,IF(F30="Down 2",D29-2,IF(F30="Upgrade",D29+1,IF(F30="Inchangé",D29,VLOOKUP(F30,données!$CY$11:$CZ$19,2)))))</f>
        <v>6</v>
      </c>
      <c r="G29" s="20"/>
      <c r="H29" s="8">
        <f>IF(H30="Down 1",F29-1,IF(H30="Down 2",F29-2,IF(H30="Upgrade",F29+1,IF(H30="Inchangé",F29,VLOOKUP(H30,données!$CY$11:$CZ$19,2)))))</f>
        <v>6</v>
      </c>
      <c r="I29" s="20"/>
      <c r="J29" s="8">
        <f>IF(J30="Down 1",H29-1,IF(J30="Down 2",H29-2,IF(J30="Upgrade",H29+1,IF(J30="Inchangé",H29,VLOOKUP(J30,données!$CY$11:$CZ$19,2)))))</f>
        <v>6</v>
      </c>
      <c r="K29" s="20"/>
      <c r="L29" s="8">
        <f>IF(L30="Down 1",J29-1,IF(L30="Down 2",J29-2,IF(L30="Upgrade",J29+1,IF(L30="Inchangé",J29,VLOOKUP(L30,données!$CY$11:$CZ$19,2)))))</f>
        <v>6</v>
      </c>
      <c r="M29" s="20"/>
      <c r="N29" s="8">
        <f>IF(N30="Down 1",L29-1,IF(N30="Down 2",L29-2,IF(N30="Upgrade",L29+1,IF(N30="Inchangé",L29,VLOOKUP(N30,données!$CY$11:$CZ$19,2)))))</f>
        <v>6</v>
      </c>
      <c r="O29" s="20"/>
      <c r="P29" s="8">
        <f>IF(P30="Down 1",N29-1,IF(P30="Down 2",N29-2,IF(P30="Upgrade",N29+1,IF(P30="Inchangé",N29,VLOOKUP(P30,données!$CY$11:$CZ$19,2)))))</f>
        <v>6</v>
      </c>
      <c r="Q29" s="20"/>
      <c r="R29" s="8">
        <f>IF(R30="Down 1",P29-1,IF(R30="Down 2",P29-2,IF(R30="Upgrade",P29+1,IF(R30="Inchangé",P29,VLOOKUP(R30,données!$CY$11:$CZ$19,2)))))</f>
        <v>6</v>
      </c>
      <c r="S29" s="20"/>
      <c r="T29" s="8">
        <f>IF(T30="Down 1",R29-1,IF(T30="Down 2",R29-2,IF(T30="Upgrade",R29+1,IF(T30="Inchangé",R29,VLOOKUP(T30,données!$CY$11:$CZ$19,2)))))</f>
        <v>6</v>
      </c>
      <c r="U29" s="20"/>
      <c r="V29" s="8">
        <f>IF(V30="Down 1",T29-1,IF(V30="Down 2",T29-2,IF(V30="Upgrade",T29+1,IF(V30="Inchangé",T29,VLOOKUP(V30,données!$CY$11:$CZ$19,2)))))</f>
        <v>6</v>
      </c>
      <c r="W29" s="20"/>
      <c r="X29" s="8">
        <f>IF(X30="Down 1",V29-1,IF(X30="Down 2",V29-2,IF(X30="Upgrade",V29+1,IF(X30="Inchangé",V29,VLOOKUP(X30,données!$CY$11:$CZ$19,2)))))</f>
        <v>6</v>
      </c>
      <c r="Y29" s="20"/>
      <c r="Z29" s="8">
        <f>IF(Z30="Down 1",X29-1,IF(Z30="Down 2",X29-2,IF(Z30="Upgrade",X29+1,IF(Z30="Inchangé",X29,VLOOKUP(Z30,données!$CY$11:$CZ$19,2)))))</f>
        <v>6</v>
      </c>
      <c r="AA29" s="20"/>
      <c r="AB29" s="8">
        <f>IF(AB30="Down 1",Z29-1,IF(AB30="Down 2",Z29-2,IF(AB30="Upgrade",Z29+1,IF(AB30="Inchangé",Z29,VLOOKUP(AB30,données!$CY$11:$CZ$19,2)))))</f>
        <v>6</v>
      </c>
      <c r="AC29" s="20"/>
      <c r="AD29" s="8">
        <f>IF(AD30="Down 1",AB29-1,IF(AD30="Down 2",AB29-2,IF(AD30="Upgrade",AB29+1,IF(AD30="Inchangé",AB29,VLOOKUP(AD30,données!$CY$11:$CZ$19,2)))))</f>
        <v>6</v>
      </c>
      <c r="AE29" s="20"/>
      <c r="AF29" s="8">
        <f>IF(AF30="Down 1",AD29-1,IF(AF30="Down 2",AD29-2,IF(AF30="Upgrade",AD29+1,IF(AF30="Inchangé",AD29,VLOOKUP(AF30,données!$CY$11:$CZ$19,2)))))</f>
        <v>6</v>
      </c>
      <c r="AG29" s="20"/>
      <c r="AH29" s="8">
        <f>IF(AH30="Down 1",AF29-1,IF(AH30="Down 2",AF29-2,IF(AH30="Upgrade",AF29+1,IF(AH30="Inchangé",AF29,VLOOKUP(AH30,données!$CY$11:$CZ$19,2)))))</f>
        <v>6</v>
      </c>
      <c r="AI29" s="20"/>
      <c r="AJ29" s="8">
        <f>IF(AJ30="Down 1",AH29-1,IF(AJ30="Down 2",AH29-2,IF(AJ30="Upgrade",AH29+1,IF(AJ30="Inchangé",AH29,VLOOKUP(AJ30,données!$CY$11:$CZ$19,2)))))</f>
        <v>6</v>
      </c>
      <c r="AK29" s="20"/>
      <c r="AL29" s="15">
        <v>5</v>
      </c>
      <c r="AM29" t="s">
        <v>59</v>
      </c>
      <c r="AN29" s="11">
        <v>5</v>
      </c>
      <c r="AP29">
        <v>7</v>
      </c>
    </row>
    <row r="30" spans="1:45">
      <c r="A30" s="5"/>
      <c r="B30" s="5" t="s">
        <v>60</v>
      </c>
      <c r="C30" s="20"/>
      <c r="D30" s="21"/>
      <c r="E30" s="22"/>
      <c r="F30" s="23" t="s">
        <v>61</v>
      </c>
      <c r="G30" s="22"/>
      <c r="H30" s="23" t="s">
        <v>61</v>
      </c>
      <c r="I30" s="22"/>
      <c r="J30" s="23" t="s">
        <v>61</v>
      </c>
      <c r="K30" s="22"/>
      <c r="L30" s="23" t="s">
        <v>61</v>
      </c>
      <c r="M30" s="22"/>
      <c r="N30" s="23" t="s">
        <v>61</v>
      </c>
      <c r="O30" s="22"/>
      <c r="P30" s="23" t="s">
        <v>61</v>
      </c>
      <c r="Q30" s="22"/>
      <c r="R30" s="23" t="s">
        <v>61</v>
      </c>
      <c r="S30" s="22"/>
      <c r="T30" s="23" t="s">
        <v>61</v>
      </c>
      <c r="U30" s="22"/>
      <c r="V30" s="23" t="s">
        <v>61</v>
      </c>
      <c r="W30" s="22"/>
      <c r="X30" s="23" t="s">
        <v>61</v>
      </c>
      <c r="Y30" s="22"/>
      <c r="Z30" s="23" t="s">
        <v>61</v>
      </c>
      <c r="AA30" s="22"/>
      <c r="AB30" s="23" t="s">
        <v>61</v>
      </c>
      <c r="AC30" s="22"/>
      <c r="AD30" s="23" t="s">
        <v>61</v>
      </c>
      <c r="AE30" s="22"/>
      <c r="AF30" s="23" t="s">
        <v>61</v>
      </c>
      <c r="AG30" s="22"/>
      <c r="AH30" s="23" t="s">
        <v>61</v>
      </c>
      <c r="AI30" s="22"/>
      <c r="AJ30" s="23" t="s">
        <v>61</v>
      </c>
      <c r="AK30" s="22"/>
      <c r="AL30" s="15">
        <f ca="1">OFFSET(données!$BM$7,0,AL29)*AL28</f>
        <v>9123.237000000001</v>
      </c>
      <c r="AM30" t="s">
        <v>52</v>
      </c>
      <c r="AN30">
        <f ca="1">OFFSET(données!$BM$7,0,AN29)*AN28</f>
        <v>9123.237000000001</v>
      </c>
      <c r="AP30">
        <f ca="1">OFFSET(données!$BM$7,0,AP29)*AP28</f>
        <v>18658.628000000001</v>
      </c>
    </row>
    <row r="31" spans="1:45">
      <c r="A31" s="19" t="s">
        <v>63</v>
      </c>
      <c r="B31" s="16" t="s">
        <v>55</v>
      </c>
      <c r="C31" s="17" t="s">
        <v>1</v>
      </c>
      <c r="D31" s="18">
        <v>0</v>
      </c>
      <c r="E31" s="17" t="s">
        <v>1</v>
      </c>
      <c r="F31" s="18">
        <f>IF(F34="Inchangé",IF(COUNT(E32)=0,D32,E32),IF(F34="Down 1",IF(COUNT(E32)=0,D32,E32)-VLOOKUP(IF(COUNT(E32)=0,D32,E32),upgrade!$A$4:$B$102,2),IF(F34="Down 2",IF(COUNT(E32)=0,D32,E32)-2*VLOOKUP(IF(COUNT(E32)=0,D32,E32),upgrade!$A$4:$B$102,2),0)))</f>
        <v>32.695953301100388</v>
      </c>
      <c r="G31" s="17" t="s">
        <v>1</v>
      </c>
      <c r="H31" s="18">
        <f>IF(H34="Inchangé",IF(COUNT(G32)=0,F32,G32),IF(H34="Down 1",IF(COUNT(G32)=0,F32,G32)-VLOOKUP(IF(COUNT(G32)=0,F32,G32),upgrade!$A$4:$B$102,2),IF(H34="Down 2",IF(COUNT(G32)=0,F32,G32)-2*VLOOKUP(IF(COUNT(G32)=0,F32,G32),upgrade!$A$4:$B$102,2),0)))</f>
        <v>61.612160885472193</v>
      </c>
      <c r="I31" s="17" t="s">
        <v>1</v>
      </c>
      <c r="J31" s="18">
        <f>IF(J34="Inchangé",IF(COUNT(I32)=0,H32,I32),IF(J34="Down 1",IF(COUNT(I32)=0,H32,I32)-VLOOKUP(IF(COUNT(I32)=0,H32,I32),upgrade!$A$4:$B$102,2),IF(J34="Down 2",IF(COUNT(I32)=0,H32,I32)-2*VLOOKUP(IF(COUNT(I32)=0,H32,I32),upgrade!$A$4:$B$102,2),0)))</f>
        <v>77.144940080197429</v>
      </c>
      <c r="K31" s="17" t="s">
        <v>1</v>
      </c>
      <c r="L31" s="18">
        <f>IF(L34="Inchangé",IF(COUNT(K32)=0,J32,K32),IF(L34="Down 1",IF(COUNT(K32)=0,J32,K32)-VLOOKUP(IF(COUNT(K32)=0,J32,K32),upgrade!$A$4:$B$102,2),IF(L34="Down 2",IF(COUNT(K32)=0,J32,K32)-2*VLOOKUP(IF(COUNT(K32)=0,J32,K32),upgrade!$A$4:$B$102,2),0)))</f>
        <v>113.54702312596561</v>
      </c>
      <c r="M31" s="17" t="s">
        <v>1</v>
      </c>
      <c r="N31" s="18">
        <f>IF(N34="Inchangé",IF(COUNT(M32)=0,L32,M32),IF(N34="Down 1",IF(COUNT(M32)=0,L32,M32)-VLOOKUP(IF(COUNT(M32)=0,L32,M32),upgrade!$A$4:$B$102,2),IF(N34="Down 2",IF(COUNT(M32)=0,L32,M32)-2*VLOOKUP(IF(COUNT(M32)=0,L32,M32),upgrade!$A$4:$B$102,2),0)))</f>
        <v>115.04702312596561</v>
      </c>
      <c r="O31" s="17" t="s">
        <v>1</v>
      </c>
      <c r="P31" s="18">
        <f>IF(P34="Inchangé",IF(COUNT(O32)=0,N32,O32),IF(P34="Down 1",IF(COUNT(O32)=0,N32,O32)-VLOOKUP(IF(COUNT(O32)=0,N32,O32),upgrade!$A$4:$B$102,2),IF(P34="Down 2",IF(COUNT(O32)=0,N32,O32)-2*VLOOKUP(IF(COUNT(O32)=0,N32,O32),upgrade!$A$4:$B$102,2),0)))</f>
        <v>139.13526853221464</v>
      </c>
      <c r="Q31" s="17" t="s">
        <v>1</v>
      </c>
      <c r="R31" s="18">
        <f>IF(R34="Inchangé",IF(COUNT(Q32)=0,P32,Q32),IF(R34="Down 1",IF(COUNT(Q32)=0,P32,Q32)-VLOOKUP(IF(COUNT(Q32)=0,P32,Q32),upgrade!$A$4:$B$102,2),IF(R34="Down 2",IF(COUNT(Q32)=0,P32,Q32)-2*VLOOKUP(IF(COUNT(Q32)=0,P32,Q32),upgrade!$A$4:$B$102,2),0)))</f>
        <v>150.03825488323508</v>
      </c>
      <c r="S31" s="17" t="s">
        <v>1</v>
      </c>
      <c r="T31" s="18">
        <f>IF(T34="Inchangé",IF(COUNT(S32)=0,R32,S32),IF(T34="Down 1",IF(COUNT(S32)=0,R32,S32)-VLOOKUP(IF(COUNT(S32)=0,R32,S32),upgrade!$A$4:$B$102,2),IF(T34="Down 2",IF(COUNT(S32)=0,R32,S32)-2*VLOOKUP(IF(COUNT(S32)=0,R32,S32),upgrade!$A$4:$B$102,2),0)))</f>
        <v>187.74299591008338</v>
      </c>
      <c r="U31" s="17" t="s">
        <v>1</v>
      </c>
      <c r="V31" s="18">
        <f>IF(V34="Inchangé",IF(COUNT(U32)=0,T32,U32),IF(V34="Down 1",IF(COUNT(U32)=0,T32,U32)-VLOOKUP(IF(COUNT(U32)=0,T32,U32),upgrade!$A$4:$B$102,2),IF(V34="Down 2",IF(COUNT(U32)=0,T32,U32)-2*VLOOKUP(IF(COUNT(U32)=0,T32,U32),upgrade!$A$4:$B$102,2),0)))</f>
        <v>207.81399309171422</v>
      </c>
      <c r="W31" s="17" t="s">
        <v>1</v>
      </c>
      <c r="X31" s="18">
        <f>IF(X34="Inchangé",IF(COUNT(W32)=0,V32,W32),IF(X34="Down 1",IF(COUNT(W32)=0,V32,W32)-VLOOKUP(IF(COUNT(W32)=0,V32,W32),upgrade!$A$4:$B$102,2),IF(X34="Down 2",IF(COUNT(W32)=0,V32,W32)-2*VLOOKUP(IF(COUNT(W32)=0,V32,W32),upgrade!$A$4:$B$102,2),0)))</f>
        <v>237.35826981057591</v>
      </c>
      <c r="Y31" s="17" t="s">
        <v>1</v>
      </c>
      <c r="Z31" s="18">
        <f>IF(Z34="Inchangé",IF(COUNT(Y32)=0,X32,Y32),IF(Z34="Down 1",IF(COUNT(Y32)=0,X32,Y32)-VLOOKUP(IF(COUNT(Y32)=0,X32,Y32),upgrade!$A$4:$B$102,2),IF(Z34="Down 2",IF(COUNT(Y32)=0,X32,Y32)-2*VLOOKUP(IF(COUNT(Y32)=0,X32,Y32),upgrade!$A$4:$B$102,2),0)))</f>
        <v>252.3659985878538</v>
      </c>
      <c r="AA31" s="17" t="s">
        <v>1</v>
      </c>
      <c r="AB31" s="18">
        <f>IF(AB34="Inchangé",IF(COUNT(AA32)=0,Z32,AA32),IF(AB34="Down 1",IF(COUNT(AA32)=0,Z32,AA32)-VLOOKUP(IF(COUNT(AA32)=0,Z32,AA32),upgrade!$A$4:$B$102,2),IF(AB34="Down 2",IF(COUNT(AA32)=0,Z32,AA32)-2*VLOOKUP(IF(COUNT(AA32)=0,Z32,AA32),upgrade!$A$4:$B$102,2),0)))</f>
        <v>292.05359001190885</v>
      </c>
      <c r="AC31" s="17" t="s">
        <v>1</v>
      </c>
      <c r="AD31" s="18">
        <f>IF(AD34="Inchangé",IF(COUNT(AC32)=0,AB32,AC32),IF(AD34="Down 1",IF(COUNT(AC32)=0,AB32,AC32)-VLOOKUP(IF(COUNT(AC32)=0,AB32,AC32),upgrade!$A$4:$B$102,2),IF(AD34="Down 2",IF(COUNT(AC32)=0,AB32,AC32)-2*VLOOKUP(IF(COUNT(AC32)=0,AB32,AC32),upgrade!$A$4:$B$102,2),0)))</f>
        <v>321.88025841188113</v>
      </c>
      <c r="AE31" s="17" t="s">
        <v>1</v>
      </c>
      <c r="AF31" s="18">
        <f>IF(AF34="Inchangé",IF(COUNT(AE32)=0,AD32,AE32),IF(AF34="Down 1",IF(COUNT(AE32)=0,AD32,AE32)-VLOOKUP(IF(COUNT(AE32)=0,AD32,AE32),upgrade!$A$4:$B$102,2),IF(AF34="Down 2",IF(COUNT(AE32)=0,AD32,AE32)-2*VLOOKUP(IF(COUNT(AE32)=0,AD32,AE32),upgrade!$A$4:$B$102,2),0)))</f>
        <v>342.35417032601674</v>
      </c>
      <c r="AG31" s="17" t="s">
        <v>1</v>
      </c>
      <c r="AH31" s="18">
        <f>IF(AH34="Inchangé",IF(COUNT(AG32)=0,AF32,AG32),IF(AH34="Down 1",IF(COUNT(AG32)=0,AF32,AG32)-VLOOKUP(IF(COUNT(AG32)=0,AF32,AG32),upgrade!$A$4:$B$102,2),IF(AH34="Down 2",IF(COUNT(AG32)=0,AF32,AG32)-2*VLOOKUP(IF(COUNT(AG32)=0,AF32,AG32),upgrade!$A$4:$B$102,2),0)))</f>
        <v>357.459562642381</v>
      </c>
      <c r="AI31" s="17" t="s">
        <v>1</v>
      </c>
      <c r="AJ31" s="18">
        <f>IF(AJ34="Inchangé",IF(COUNT(AI32)=0,AH32,AI32),IF(AJ34="Down 1",IF(COUNT(AI32)=0,AH32,AI32)-VLOOKUP(IF(COUNT(AI32)=0,AH32,AI32),upgrade!$A$4:$B$102,2),IF(AJ34="Down 2",IF(COUNT(AI32)=0,AH32,AI32)-2*VLOOKUP(IF(COUNT(AI32)=0,AH32,AI32),upgrade!$A$4:$B$102,2),0)))</f>
        <v>384.38456689885749</v>
      </c>
      <c r="AK31" s="17" t="s">
        <v>1</v>
      </c>
      <c r="AL31" s="19" t="str">
        <f>données!BM8</f>
        <v>moteur</v>
      </c>
      <c r="AN31">
        <v>496</v>
      </c>
      <c r="AO31">
        <f>données!C15*AO32</f>
        <v>40</v>
      </c>
      <c r="AP31">
        <f>AO31+AN31</f>
        <v>536</v>
      </c>
      <c r="AS31" s="20" t="s">
        <v>1</v>
      </c>
    </row>
    <row r="32" spans="1:45">
      <c r="A32" s="15" t="s">
        <v>1</v>
      </c>
      <c r="B32" s="5" t="s">
        <v>56</v>
      </c>
      <c r="C32" s="20"/>
      <c r="D32" s="8">
        <f>D31+IF(D$22="Aucun",0,données!$C$15*D$23/100)+données!E15+5*D24/9</f>
        <v>32.695953301100388</v>
      </c>
      <c r="E32" s="9" t="s">
        <v>1</v>
      </c>
      <c r="F32" s="8">
        <f>F31+IF(F$22="Aucun",0,données!$C$15*F$23/100)+données!G15+5*F24/9</f>
        <v>61.612160885472193</v>
      </c>
      <c r="G32" s="9" t="s">
        <v>1</v>
      </c>
      <c r="H32" s="8">
        <f>H31+IF(H$22="Aucun",0,données!$C$15*H$23/100)+données!I15+5*H24/9</f>
        <v>77.144940080197429</v>
      </c>
      <c r="I32" s="9" t="s">
        <v>1</v>
      </c>
      <c r="J32" s="8">
        <f>J31+IF(J$22="Aucun",0,données!$C$15*J$23/100)+données!K15+5*J24/9</f>
        <v>113.54702312596561</v>
      </c>
      <c r="K32" s="9" t="s">
        <v>1</v>
      </c>
      <c r="L32" s="8">
        <f>L31+IF(L$22="Aucun",0,données!$C$15*L$23/100)+données!M15+5*L24/9</f>
        <v>115.04702312596561</v>
      </c>
      <c r="M32" s="9" t="s">
        <v>1</v>
      </c>
      <c r="N32" s="8">
        <f>N31+IF(N$22="Aucun",0,données!$C$15*N$23/100)+données!O15+5*N24/9</f>
        <v>139.13526853221464</v>
      </c>
      <c r="O32" s="9" t="s">
        <v>1</v>
      </c>
      <c r="P32" s="8">
        <f>P31+IF(P$22="Aucun",0,données!$C$15*P$23/100)+données!Q15+5*P24/9</f>
        <v>150.03825488323508</v>
      </c>
      <c r="Q32" s="9" t="s">
        <v>1</v>
      </c>
      <c r="R32" s="8">
        <f>R31+IF(R$22="Aucun",0,données!$C$15*R$23/100)+données!S15+5*R24/9</f>
        <v>187.74299591008338</v>
      </c>
      <c r="S32" s="9" t="s">
        <v>1</v>
      </c>
      <c r="T32" s="8">
        <f>T31+IF(T$22="Aucun",0,données!$C$15*T$23/100)+données!U15+5*T24/9</f>
        <v>207.81399309171422</v>
      </c>
      <c r="U32" s="9" t="s">
        <v>1</v>
      </c>
      <c r="V32" s="8">
        <f>V31+IF(V$22="Aucun",0,données!$C$15*V$23/100)+données!W15+5*V24/9</f>
        <v>237.35826981057591</v>
      </c>
      <c r="W32" s="9" t="s">
        <v>1</v>
      </c>
      <c r="X32" s="8">
        <f>X31+IF(X$22="Aucun",0,données!$C$15*X$23/100)+données!Y15+5*X24/9</f>
        <v>252.3659985878538</v>
      </c>
      <c r="Y32" s="9" t="s">
        <v>1</v>
      </c>
      <c r="Z32" s="8">
        <f>Z31+IF(Z$22="Aucun",0,données!$C$15*Z$23/100)+données!AA15+5*Z24/9</f>
        <v>292.05359001190885</v>
      </c>
      <c r="AA32" s="9" t="s">
        <v>1</v>
      </c>
      <c r="AB32" s="8">
        <f>AB31+IF(AB$22="Aucun",0,données!$C$15*AB$23/100)+données!AC15+5*AB24/9</f>
        <v>321.88025841188113</v>
      </c>
      <c r="AC32" s="9" t="s">
        <v>1</v>
      </c>
      <c r="AD32" s="8">
        <f>AD31+IF(AD$22="Aucun",0,données!$C$15*AD$23/100)+données!AE15+5*AD24/9</f>
        <v>342.35417032601674</v>
      </c>
      <c r="AE32" s="9" t="s">
        <v>1</v>
      </c>
      <c r="AF32" s="8">
        <f>AF31+IF(AF$22="Aucun",0,données!$C$15*AF$23/100)+données!AG15+5*AF24/9</f>
        <v>357.459562642381</v>
      </c>
      <c r="AG32" s="9" t="s">
        <v>1</v>
      </c>
      <c r="AH32" s="8">
        <f>AH31+IF(AH$22="Aucun",0,données!$C$15*AH$23/100)+données!AI15+5*AH24/9</f>
        <v>384.38456689885749</v>
      </c>
      <c r="AI32" s="9" t="s">
        <v>1</v>
      </c>
      <c r="AJ32" s="8">
        <f>AJ31+IF(AJ$22="Aucun",0,données!$C$15*AJ$23/100)+données!AK15+5*AJ24/9</f>
        <v>413.48484940273153</v>
      </c>
      <c r="AK32" s="9" t="s">
        <v>1</v>
      </c>
      <c r="AL32" s="15">
        <v>5</v>
      </c>
      <c r="AM32" t="s">
        <v>57</v>
      </c>
      <c r="AN32" s="10">
        <v>5</v>
      </c>
      <c r="AO32">
        <f>AO28</f>
        <v>4</v>
      </c>
      <c r="AP32">
        <v>5</v>
      </c>
      <c r="AQ32">
        <v>540</v>
      </c>
      <c r="AR32">
        <v>519</v>
      </c>
      <c r="AS32" s="20" t="e">
        <f>E32-D32+G32-F32+I32-H32+K32-J32+M32-L32+O32-N32+Q32-P32+S32-R32+U32-T32+W32-V32+Y32-X32+AA32-Z32</f>
        <v>#VALUE!</v>
      </c>
    </row>
    <row r="33" spans="1:45">
      <c r="A33" s="15" t="s">
        <v>1</v>
      </c>
      <c r="B33" s="5" t="s">
        <v>58</v>
      </c>
      <c r="C33" s="10">
        <v>6</v>
      </c>
      <c r="D33" s="8">
        <f>C33</f>
        <v>6</v>
      </c>
      <c r="E33" s="20"/>
      <c r="F33" s="8">
        <f>IF(F34="Down 1",D33-1,IF(F34="Down 2",D33-2,IF(F34="Upgrade",D33+1,IF(F34="Inchangé",D33,VLOOKUP(F34,données!$CY$11:$CZ$19,2)))))</f>
        <v>6</v>
      </c>
      <c r="G33" s="20" t="s">
        <v>1</v>
      </c>
      <c r="H33" s="8">
        <f>IF(H34="Down 1",F33-1,IF(H34="Down 2",F33-2,IF(H34="Upgrade",F33+1,IF(H34="Inchangé",F33,VLOOKUP(H34,données!$CY$11:$CZ$19,2)))))</f>
        <v>6</v>
      </c>
      <c r="I33" s="20" t="s">
        <v>1</v>
      </c>
      <c r="J33" s="8">
        <f>IF(J34="Down 1",H33-1,IF(J34="Down 2",H33-2,IF(J34="Upgrade",H33+1,IF(J34="Inchangé",H33,VLOOKUP(J34,données!$CY$11:$CZ$19,2)))))</f>
        <v>6</v>
      </c>
      <c r="K33" s="20" t="s">
        <v>1</v>
      </c>
      <c r="L33" s="8">
        <f>IF(L34="Down 1",J33-1,IF(L34="Down 2",J33-2,IF(L34="Upgrade",J33+1,IF(L34="Inchangé",J33,VLOOKUP(L34,données!$CY$11:$CZ$19,2)))))</f>
        <v>6</v>
      </c>
      <c r="M33" s="20" t="s">
        <v>1</v>
      </c>
      <c r="N33" s="8">
        <f>IF(N34="Down 1",L33-1,IF(N34="Down 2",L33-2,IF(N34="Upgrade",L33+1,IF(N34="Inchangé",L33,VLOOKUP(N34,données!$CY$11:$CZ$19,2)))))</f>
        <v>6</v>
      </c>
      <c r="O33" s="20" t="s">
        <v>1</v>
      </c>
      <c r="P33" s="8">
        <f>IF(P34="Down 1",N33-1,IF(P34="Down 2",N33-2,IF(P34="Upgrade",N33+1,IF(P34="Inchangé",N33,VLOOKUP(P34,données!$CY$11:$CZ$19,2)))))</f>
        <v>6</v>
      </c>
      <c r="Q33" s="20" t="s">
        <v>1</v>
      </c>
      <c r="R33" s="8">
        <f>IF(R34="Down 1",P33-1,IF(R34="Down 2",P33-2,IF(R34="Upgrade",P33+1,IF(R34="Inchangé",P33,VLOOKUP(R34,données!$CY$11:$CZ$19,2)))))</f>
        <v>6</v>
      </c>
      <c r="S33" s="20" t="s">
        <v>1</v>
      </c>
      <c r="T33" s="8">
        <f>IF(T34="Down 1",R33-1,IF(T34="Down 2",R33-2,IF(T34="Upgrade",R33+1,IF(T34="Inchangé",R33,VLOOKUP(T34,données!$CY$11:$CZ$19,2)))))</f>
        <v>6</v>
      </c>
      <c r="U33" s="20" t="s">
        <v>1</v>
      </c>
      <c r="V33" s="8">
        <f>IF(V34="Down 1",T33-1,IF(V34="Down 2",T33-2,IF(V34="Upgrade",T33+1,IF(V34="Inchangé",T33,VLOOKUP(V34,données!$CY$11:$CZ$19,2)))))</f>
        <v>6</v>
      </c>
      <c r="W33" s="20" t="s">
        <v>1</v>
      </c>
      <c r="X33" s="8">
        <f>IF(X34="Down 1",V33-1,IF(X34="Down 2",V33-2,IF(X34="Upgrade",V33+1,IF(X34="Inchangé",V33,VLOOKUP(X34,données!$CY$11:$CZ$19,2)))))</f>
        <v>6</v>
      </c>
      <c r="Y33" s="20" t="s">
        <v>1</v>
      </c>
      <c r="Z33" s="8">
        <f>IF(Z34="Down 1",X33-1,IF(Z34="Down 2",X33-2,IF(Z34="Upgrade",X33+1,IF(Z34="Inchangé",X33,VLOOKUP(Z34,données!$CY$11:$CZ$19,2)))))</f>
        <v>6</v>
      </c>
      <c r="AA33" s="20" t="s">
        <v>1</v>
      </c>
      <c r="AB33" s="8">
        <f>IF(AB34="Down 1",Z33-1,IF(AB34="Down 2",Z33-2,IF(AB34="Upgrade",Z33+1,IF(AB34="Inchangé",Z33,VLOOKUP(AB34,données!$CY$11:$CZ$19,2)))))</f>
        <v>6</v>
      </c>
      <c r="AC33" s="20" t="s">
        <v>1</v>
      </c>
      <c r="AD33" s="8">
        <f>IF(AD34="Down 1",AB33-1,IF(AD34="Down 2",AB33-2,IF(AD34="Upgrade",AB33+1,IF(AD34="Inchangé",AB33,VLOOKUP(AD34,données!$CY$11:$CZ$19,2)))))</f>
        <v>6</v>
      </c>
      <c r="AE33" s="20" t="s">
        <v>1</v>
      </c>
      <c r="AF33" s="8">
        <f>IF(AF34="Down 1",AD33-1,IF(AF34="Down 2",AD33-2,IF(AF34="Upgrade",AD33+1,IF(AF34="Inchangé",AD33,VLOOKUP(AF34,données!$CY$11:$CZ$19,2)))))</f>
        <v>6</v>
      </c>
      <c r="AG33" s="20" t="s">
        <v>1</v>
      </c>
      <c r="AH33" s="8">
        <f>IF(AH34="Down 1",AF33-1,IF(AH34="Down 2",AF33-2,IF(AH34="Upgrade",AF33+1,IF(AH34="Inchangé",AF33,VLOOKUP(AH34,données!$CY$11:$CZ$19,2)))))</f>
        <v>6</v>
      </c>
      <c r="AI33" s="20" t="s">
        <v>1</v>
      </c>
      <c r="AJ33" s="8">
        <f>IF(AJ34="Down 1",AH33-1,IF(AJ34="Down 2",AH33-2,IF(AJ34="Upgrade",AH33+1,IF(AJ34="Inchangé",AH33,VLOOKUP(AJ34,données!$CY$11:$CZ$19,2)))))</f>
        <v>6</v>
      </c>
      <c r="AK33" s="20" t="s">
        <v>1</v>
      </c>
      <c r="AL33" s="15">
        <v>5</v>
      </c>
      <c r="AM33" t="s">
        <v>59</v>
      </c>
      <c r="AN33" s="11">
        <v>5</v>
      </c>
      <c r="AP33">
        <v>7</v>
      </c>
    </row>
    <row r="34" spans="1:45">
      <c r="A34" s="24"/>
      <c r="B34" s="5" t="s">
        <v>60</v>
      </c>
      <c r="C34" s="25"/>
      <c r="D34" s="26" t="s">
        <v>1</v>
      </c>
      <c r="E34" s="27"/>
      <c r="F34" s="23" t="s">
        <v>61</v>
      </c>
      <c r="G34" s="27"/>
      <c r="H34" s="23" t="s">
        <v>61</v>
      </c>
      <c r="I34" s="27"/>
      <c r="J34" s="23" t="s">
        <v>61</v>
      </c>
      <c r="K34" s="27"/>
      <c r="L34" s="23" t="s">
        <v>61</v>
      </c>
      <c r="M34" s="27"/>
      <c r="N34" s="23" t="s">
        <v>61</v>
      </c>
      <c r="O34" s="27"/>
      <c r="P34" s="23" t="s">
        <v>61</v>
      </c>
      <c r="Q34" s="27"/>
      <c r="R34" s="23" t="s">
        <v>61</v>
      </c>
      <c r="S34" s="27"/>
      <c r="T34" s="23" t="s">
        <v>61</v>
      </c>
      <c r="U34" s="27"/>
      <c r="V34" s="23" t="s">
        <v>61</v>
      </c>
      <c r="W34" s="27"/>
      <c r="X34" s="23" t="s">
        <v>61</v>
      </c>
      <c r="Y34" s="27"/>
      <c r="Z34" s="23" t="s">
        <v>61</v>
      </c>
      <c r="AA34" s="27"/>
      <c r="AB34" s="23" t="s">
        <v>61</v>
      </c>
      <c r="AC34" s="27"/>
      <c r="AD34" s="23" t="s">
        <v>61</v>
      </c>
      <c r="AE34" s="27"/>
      <c r="AF34" s="23" t="s">
        <v>61</v>
      </c>
      <c r="AG34" s="27"/>
      <c r="AH34" s="23" t="s">
        <v>61</v>
      </c>
      <c r="AI34" s="27"/>
      <c r="AJ34" s="23" t="s">
        <v>61</v>
      </c>
      <c r="AK34" s="27"/>
      <c r="AL34" s="24">
        <f ca="1">OFFSET(données!$BM$8,0,AL33)*AL32</f>
        <v>38959.185000000005</v>
      </c>
      <c r="AM34" t="s">
        <v>52</v>
      </c>
      <c r="AN34">
        <f ca="1">OFFSET(données!$BM$8,0,AN33)*AN32</f>
        <v>38959.185000000005</v>
      </c>
      <c r="AP34">
        <f ca="1">OFFSET(données!$BM$8,0,AP33)*AP32</f>
        <v>59758.805</v>
      </c>
    </row>
    <row r="35" spans="1:45">
      <c r="A35" s="5" t="s">
        <v>66</v>
      </c>
      <c r="B35" s="5" t="s">
        <v>55</v>
      </c>
      <c r="C35" s="20" t="s">
        <v>1</v>
      </c>
      <c r="D35" s="18">
        <v>0</v>
      </c>
      <c r="E35" s="17"/>
      <c r="F35" s="18">
        <f>IF(F38="Inchangé",IF(COUNT(E36)=0,D36,E36),IF(F38="Down 1",IF(COUNT(E36)=0,D36,E36)-VLOOKUP(IF(COUNT(E36)=0,D36,E36),upgrade!$A$4:$B$102,2),IF(F38="Down 2",IF(COUNT(E36)=0,D36,E36)-2*VLOOKUP(IF(COUNT(E36)=0,D36,E36),upgrade!$A$4:$B$102,2),0)))</f>
        <v>19.74797408908195</v>
      </c>
      <c r="G35" s="17"/>
      <c r="H35" s="18">
        <f>IF(H38="Inchangé",IF(COUNT(G36)=0,F36,G36),IF(H38="Down 1",IF(COUNT(G36)=0,F36,G36)-VLOOKUP(IF(COUNT(G36)=0,F36,G36),upgrade!$A$4:$B$102,2),IF(H38="Down 2",IF(COUNT(G36)=0,F36,G36)-2*VLOOKUP(IF(COUNT(G36)=0,F36,G36),upgrade!$A$4:$B$102,2),0)))</f>
        <v>36.96029441360858</v>
      </c>
      <c r="I35" s="17"/>
      <c r="J35" s="18">
        <f>IF(J38="Inchangé",IF(COUNT(I36)=0,H36,I36),IF(J38="Down 1",IF(COUNT(I36)=0,H36,I36)-VLOOKUP(IF(COUNT(I36)=0,H36,I36),upgrade!$A$4:$B$102,2),IF(J38="Down 2",IF(COUNT(I36)=0,H36,I36)-2*VLOOKUP(IF(COUNT(I36)=0,H36,I36),upgrade!$A$4:$B$102,2),0)))</f>
        <v>47.923793661526759</v>
      </c>
      <c r="K35" s="17"/>
      <c r="L35" s="18">
        <f>IF(L38="Inchangé",IF(COUNT(K36)=0,J36,K36),IF(L38="Down 1",IF(COUNT(K36)=0,J36,K36)-VLOOKUP(IF(COUNT(K36)=0,J36,K36),upgrade!$A$4:$B$102,2),IF(L38="Down 2",IF(COUNT(K36)=0,J36,K36)-2*VLOOKUP(IF(COUNT(K36)=0,J36,K36),upgrade!$A$4:$B$102,2),0)))</f>
        <v>64.173849647771803</v>
      </c>
      <c r="M35" s="17"/>
      <c r="N35" s="18">
        <f>IF(N38="Inchangé",IF(COUNT(M36)=0,L36,M36),IF(N38="Down 1",IF(COUNT(M36)=0,L36,M36)-VLOOKUP(IF(COUNT(M36)=0,L36,M36),upgrade!$A$4:$B$102,2),IF(N38="Down 2",IF(COUNT(M36)=0,L36,M36)-2*VLOOKUP(IF(COUNT(M36)=0,L36,M36),upgrade!$A$4:$B$102,2),0)))</f>
        <v>65.673849647771803</v>
      </c>
      <c r="O35" s="17"/>
      <c r="P35" s="18">
        <f>IF(P38="Inchangé",IF(COUNT(O36)=0,N36,O36),IF(P38="Down 1",IF(COUNT(O36)=0,N36,O36)-VLOOKUP(IF(COUNT(O36)=0,N36,O36),upgrade!$A$4:$B$102,2),IF(P38="Down 2",IF(COUNT(O36)=0,N36,O36)-2*VLOOKUP(IF(COUNT(O36)=0,N36,O36),upgrade!$A$4:$B$102,2),0)))</f>
        <v>79.788186523128076</v>
      </c>
      <c r="Q35" s="17"/>
      <c r="R35" s="18">
        <f>IF(R38="Inchangé",IF(COUNT(Q36)=0,P36,Q36),IF(R38="Down 1",IF(COUNT(Q36)=0,P36,Q36)-VLOOKUP(IF(COUNT(Q36)=0,P36,Q36),upgrade!$A$4:$B$102,2),IF(R38="Down 2",IF(COUNT(Q36)=0,P36,Q36)-2*VLOOKUP(IF(COUNT(Q36)=0,P36,Q36),upgrade!$A$4:$B$102,2),0)))</f>
        <v>103.42180195094235</v>
      </c>
      <c r="S35" s="17"/>
      <c r="T35" s="18">
        <f>IF(T38="Inchangé",IF(COUNT(S36)=0,R36,S36),IF(T38="Down 1",IF(COUNT(S36)=0,R36,S36)-VLOOKUP(IF(COUNT(S36)=0,R36,S36),upgrade!$A$4:$B$102,2),IF(T38="Down 2",IF(COUNT(S36)=0,R36,S36)-2*VLOOKUP(IF(COUNT(S36)=0,R36,S36),upgrade!$A$4:$B$102,2),0)))</f>
        <v>126.60915517543884</v>
      </c>
      <c r="U35" s="17"/>
      <c r="V35" s="18">
        <f>IF(V38="Inchangé",IF(COUNT(U36)=0,T36,U36),IF(V38="Down 1",IF(COUNT(U36)=0,T36,U36)-VLOOKUP(IF(COUNT(U36)=0,T36,U36),upgrade!$A$4:$B$102,2),IF(V38="Down 2",IF(COUNT(U36)=0,T36,U36)-2*VLOOKUP(IF(COUNT(U36)=0,T36,U36),upgrade!$A$4:$B$102,2),0)))</f>
        <v>139.08613075142023</v>
      </c>
      <c r="W35" s="17"/>
      <c r="X35" s="18">
        <f>IF(X38="Inchangé",IF(COUNT(W36)=0,V36,W36),IF(X38="Down 1",IF(COUNT(W36)=0,V36,W36)-VLOOKUP(IF(COUNT(W36)=0,V36,W36),upgrade!$A$4:$B$102,2),IF(X38="Down 2",IF(COUNT(W36)=0,V36,W36)-2*VLOOKUP(IF(COUNT(W36)=0,V36,W36),upgrade!$A$4:$B$102,2),0)))</f>
        <v>161.37987873151491</v>
      </c>
      <c r="Y35" s="17"/>
      <c r="Z35" s="18">
        <f>IF(Z38="Inchangé",IF(COUNT(Y36)=0,X36,Y36),IF(Z38="Down 1",IF(COUNT(Y36)=0,X36,Y36)-VLOOKUP(IF(COUNT(Y36)=0,X36,Y36),upgrade!$A$4:$B$102,2),IF(Z38="Down 2",IF(COUNT(Y36)=0,X36,Y36)-2*VLOOKUP(IF(COUNT(Y36)=0,X36,Y36),upgrade!$A$4:$B$102,2),0)))</f>
        <v>179.64613426274209</v>
      </c>
      <c r="AA35" s="17"/>
      <c r="AB35" s="18">
        <f>IF(AB38="Inchangé",IF(COUNT(AA36)=0,Z36,AA36),IF(AB38="Down 1",IF(COUNT(AA36)=0,Z36,AA36)-VLOOKUP(IF(COUNT(AA36)=0,Z36,AA36),upgrade!$A$4:$B$102,2),IF(AB38="Down 2",IF(COUNT(AA36)=0,Z36,AA36)-2*VLOOKUP(IF(COUNT(AA36)=0,Z36,AA36),upgrade!$A$4:$B$102,2),0)))</f>
        <v>194.46467518118504</v>
      </c>
      <c r="AC35" s="17"/>
      <c r="AD35" s="18">
        <f>IF(AD38="Inchangé",IF(COUNT(AC36)=0,AB36,AC36),IF(AD38="Down 1",IF(COUNT(AC36)=0,AB36,AC36)-VLOOKUP(IF(COUNT(AC36)=0,AB36,AC36),upgrade!$A$4:$B$102,2),IF(AD38="Down 2",IF(COUNT(AC36)=0,AB36,AC36)-2*VLOOKUP(IF(COUNT(AC36)=0,AB36,AC36),upgrade!$A$4:$B$102,2),0)))</f>
        <v>214.12981535066888</v>
      </c>
      <c r="AE35" s="17"/>
      <c r="AF35" s="18">
        <f>IF(AF38="Inchangé",IF(COUNT(AE36)=0,AD36,AE36),IF(AF38="Down 1",IF(COUNT(AE36)=0,AD36,AE36)-VLOOKUP(IF(COUNT(AE36)=0,AD36,AE36),upgrade!$A$4:$B$102,2),IF(AF38="Down 2",IF(COUNT(AE36)=0,AD36,AE36)-2*VLOOKUP(IF(COUNT(AE36)=0,AD36,AE36),upgrade!$A$4:$B$102,2),0)))</f>
        <v>231.48557493663375</v>
      </c>
      <c r="AG35" s="17"/>
      <c r="AH35" s="18">
        <f>IF(AH38="Inchangé",IF(COUNT(AG36)=0,AF36,AG36),IF(AH38="Down 1",IF(COUNT(AG36)=0,AF36,AG36)-VLOOKUP(IF(COUNT(AG36)=0,AF36,AG36),upgrade!$A$4:$B$102,2),IF(AH38="Down 2",IF(COUNT(AG36)=0,AF36,AG36)-2*VLOOKUP(IF(COUNT(AG36)=0,AF36,AG36),upgrade!$A$4:$B$102,2),0)))</f>
        <v>248.18727490227863</v>
      </c>
      <c r="AI35" s="17"/>
      <c r="AJ35" s="18">
        <f>IF(AJ38="Inchangé",IF(COUNT(AI36)=0,AH36,AI36),IF(AJ38="Down 1",IF(COUNT(AI36)=0,AH36,AI36)-VLOOKUP(IF(COUNT(AI36)=0,AH36,AI36),upgrade!$A$4:$B$102,2),IF(AJ38="Down 2",IF(COUNT(AI36)=0,AH36,AI36)-2*VLOOKUP(IF(COUNT(AI36)=0,AH36,AI36),upgrade!$A$4:$B$102,2),0)))</f>
        <v>271.04992241069306</v>
      </c>
      <c r="AK35" s="17"/>
      <c r="AL35" s="15" t="str">
        <f>données!BM9</f>
        <v>ail avant</v>
      </c>
      <c r="AN35">
        <v>367</v>
      </c>
      <c r="AO35">
        <f>données!C16*AO36</f>
        <v>32</v>
      </c>
      <c r="AP35">
        <f>AO35+AN35</f>
        <v>399</v>
      </c>
    </row>
    <row r="36" spans="1:45">
      <c r="A36" s="5" t="s">
        <v>1</v>
      </c>
      <c r="B36" s="5" t="s">
        <v>56</v>
      </c>
      <c r="C36" s="20"/>
      <c r="D36" s="8">
        <f>D35+IF(D$22="Aucun",0,données!$C$16*D$23/100)+données!E16</f>
        <v>19.74797408908195</v>
      </c>
      <c r="E36" s="9" t="s">
        <v>1</v>
      </c>
      <c r="F36" s="8">
        <f>F35+IF(F$22="Aucun",0,données!$C$16*F$23/100)+données!G16</f>
        <v>36.96029441360858</v>
      </c>
      <c r="G36" s="9" t="s">
        <v>1</v>
      </c>
      <c r="H36" s="8">
        <f>H35+IF(H$22="Aucun",0,données!$C$16*H$23/100)+données!I16</f>
        <v>47.923793661526759</v>
      </c>
      <c r="I36" s="9" t="s">
        <v>1</v>
      </c>
      <c r="J36" s="8">
        <f>J35+IF(J$22="Aucun",0,données!$C$16*J$23/100)+données!K16</f>
        <v>64.173849647771803</v>
      </c>
      <c r="K36" s="9" t="s">
        <v>1</v>
      </c>
      <c r="L36" s="8">
        <f>L35+IF(L$22="Aucun",0,données!$C$16*L$23/100)+données!M16</f>
        <v>65.673849647771803</v>
      </c>
      <c r="M36" s="9" t="s">
        <v>1</v>
      </c>
      <c r="N36" s="8">
        <f>N35+IF(N$22="Aucun",0,données!$C$16*N$23/100)+données!O16</f>
        <v>79.788186523128076</v>
      </c>
      <c r="O36" s="9" t="s">
        <v>1</v>
      </c>
      <c r="P36" s="8">
        <f>P35+IF(P$22="Aucun",0,données!$C$16*P$23/100)+données!Q16</f>
        <v>103.42180195094235</v>
      </c>
      <c r="Q36" s="9" t="s">
        <v>1</v>
      </c>
      <c r="R36" s="8">
        <f>R35+IF(R$22="Aucun",0,données!$C$16*R$23/100)+données!S16</f>
        <v>126.60915517543884</v>
      </c>
      <c r="S36" s="9" t="s">
        <v>1</v>
      </c>
      <c r="T36" s="8">
        <f>T35+IF(T$22="Aucun",0,données!$C$16*T$23/100)+données!U16</f>
        <v>139.08613075142023</v>
      </c>
      <c r="U36" s="9" t="s">
        <v>1</v>
      </c>
      <c r="V36" s="8">
        <f>V35+IF(V$22="Aucun",0,données!$C$16*V$23/100)+données!W16</f>
        <v>161.37987873151491</v>
      </c>
      <c r="W36" s="9" t="s">
        <v>1</v>
      </c>
      <c r="X36" s="8">
        <f>X35+IF(X$22="Aucun",0,données!$C$16*X$23/100)+données!Y16</f>
        <v>179.64613426274209</v>
      </c>
      <c r="Y36" s="9" t="s">
        <v>1</v>
      </c>
      <c r="Z36" s="8">
        <f>Z35+IF(Z$22="Aucun",0,données!$C$16*Z$23/100)+données!AA16</f>
        <v>194.46467518118504</v>
      </c>
      <c r="AA36" s="9" t="s">
        <v>1</v>
      </c>
      <c r="AB36" s="8">
        <f>AB35+IF(AB$22="Aucun",0,données!$C$16*AB$23/100)+données!AC16</f>
        <v>214.12981535066888</v>
      </c>
      <c r="AC36" s="9" t="s">
        <v>1</v>
      </c>
      <c r="AD36" s="8">
        <f>AD35+IF(AD$22="Aucun",0,données!$C$16*AD$23/100)+données!AE16</f>
        <v>231.48557493663375</v>
      </c>
      <c r="AE36" s="9" t="s">
        <v>1</v>
      </c>
      <c r="AF36" s="8">
        <f>AF35+IF(AF$22="Aucun",0,données!$C$16*AF$23/100)+données!AG16</f>
        <v>248.18727490227863</v>
      </c>
      <c r="AG36" s="9" t="s">
        <v>1</v>
      </c>
      <c r="AH36" s="8">
        <f>AH35+IF(AH$22="Aucun",0,données!$C$16*AH$23/100)+données!AI16</f>
        <v>271.04992241069306</v>
      </c>
      <c r="AI36" s="9" t="s">
        <v>1</v>
      </c>
      <c r="AJ36" s="8">
        <f>AJ35+IF(AJ$22="Aucun",0,données!$C$16*AJ$23/100)+données!AK16</f>
        <v>288.45560871285426</v>
      </c>
      <c r="AK36" s="9" t="s">
        <v>1</v>
      </c>
      <c r="AL36" s="15">
        <v>3</v>
      </c>
      <c r="AM36" t="s">
        <v>57</v>
      </c>
      <c r="AN36" s="10">
        <v>4</v>
      </c>
      <c r="AO36">
        <f>AO32</f>
        <v>4</v>
      </c>
      <c r="AP36">
        <v>4</v>
      </c>
      <c r="AQ36">
        <v>329</v>
      </c>
      <c r="AR36">
        <v>318</v>
      </c>
      <c r="AS36" s="20" t="e">
        <f>E36-D36+G36-F36+I36-H36+K36-J36+M36-L36+O36-N36+Q36-P36+S36-R36+U36-T36+W36-V36+Y36-X36+AA36-Z36</f>
        <v>#VALUE!</v>
      </c>
    </row>
    <row r="37" spans="1:45">
      <c r="A37" s="5" t="s">
        <v>1</v>
      </c>
      <c r="B37" s="5" t="s">
        <v>58</v>
      </c>
      <c r="C37" s="10">
        <v>5</v>
      </c>
      <c r="D37" s="8">
        <f>C37</f>
        <v>5</v>
      </c>
      <c r="E37" s="20"/>
      <c r="F37" s="8">
        <f>IF(F38="Down 1",D37-1,IF(F38="Down 2",D37-2,IF(F38="Upgrade",D37+1,IF(F38="Inchangé",D37,VLOOKUP(F38,données!$CY$11:$CZ$19,2)))))</f>
        <v>5</v>
      </c>
      <c r="G37" s="20"/>
      <c r="H37" s="8">
        <f>IF(H38="Down 1",F37-1,IF(H38="Down 2",F37-2,IF(H38="Upgrade",F37+1,IF(H38="Inchangé",F37,VLOOKUP(H38,données!$CY$11:$CZ$19,2)))))</f>
        <v>5</v>
      </c>
      <c r="I37" s="20"/>
      <c r="J37" s="8">
        <f>IF(J38="Down 1",H37-1,IF(J38="Down 2",H37-2,IF(J38="Upgrade",H37+1,IF(J38="Inchangé",H37,VLOOKUP(J38,données!$CY$11:$CZ$19,2)))))</f>
        <v>5</v>
      </c>
      <c r="K37" s="20"/>
      <c r="L37" s="8">
        <f>IF(L38="Down 1",J37-1,IF(L38="Down 2",J37-2,IF(L38="Upgrade",J37+1,IF(L38="Inchangé",J37,VLOOKUP(L38,données!$CY$11:$CZ$19,2)))))</f>
        <v>5</v>
      </c>
      <c r="M37" s="20"/>
      <c r="N37" s="8">
        <f>IF(N38="Down 1",L37-1,IF(N38="Down 2",L37-2,IF(N38="Upgrade",L37+1,IF(N38="Inchangé",L37,VLOOKUP(N38,données!$CY$11:$CZ$19,2)))))</f>
        <v>5</v>
      </c>
      <c r="O37" s="20"/>
      <c r="P37" s="8">
        <f>IF(P38="Down 1",N37-1,IF(P38="Down 2",N37-2,IF(P38="Upgrade",N37+1,IF(P38="Inchangé",N37,VLOOKUP(P38,données!$CY$11:$CZ$19,2)))))</f>
        <v>5</v>
      </c>
      <c r="Q37" s="20"/>
      <c r="R37" s="8">
        <f>IF(R38="Down 1",P37-1,IF(R38="Down 2",P37-2,IF(R38="Upgrade",P37+1,IF(R38="Inchangé",P37,VLOOKUP(R38,données!$CY$11:$CZ$19,2)))))</f>
        <v>5</v>
      </c>
      <c r="S37" s="20"/>
      <c r="T37" s="8">
        <f>IF(T38="Down 1",R37-1,IF(T38="Down 2",R37-2,IF(T38="Upgrade",R37+1,IF(T38="Inchangé",R37,VLOOKUP(T38,données!$CY$11:$CZ$19,2)))))</f>
        <v>5</v>
      </c>
      <c r="U37" s="20"/>
      <c r="V37" s="8">
        <f>IF(V38="Down 1",T37-1,IF(V38="Down 2",T37-2,IF(V38="Upgrade",T37+1,IF(V38="Inchangé",T37,VLOOKUP(V38,données!$CY$11:$CZ$19,2)))))</f>
        <v>5</v>
      </c>
      <c r="W37" s="20"/>
      <c r="X37" s="8">
        <f>IF(X38="Down 1",V37-1,IF(X38="Down 2",V37-2,IF(X38="Upgrade",V37+1,IF(X38="Inchangé",V37,VLOOKUP(X38,données!$CY$11:$CZ$19,2)))))</f>
        <v>5</v>
      </c>
      <c r="Y37" s="20"/>
      <c r="Z37" s="8">
        <f>IF(Z38="Down 1",X37-1,IF(Z38="Down 2",X37-2,IF(Z38="Upgrade",X37+1,IF(Z38="Inchangé",X37,VLOOKUP(Z38,données!$CY$11:$CZ$19,2)))))</f>
        <v>5</v>
      </c>
      <c r="AA37" s="20"/>
      <c r="AB37" s="8">
        <f>IF(AB38="Down 1",Z37-1,IF(AB38="Down 2",Z37-2,IF(AB38="Upgrade",Z37+1,IF(AB38="Inchangé",Z37,VLOOKUP(AB38,données!$CY$11:$CZ$19,2)))))</f>
        <v>5</v>
      </c>
      <c r="AC37" s="20"/>
      <c r="AD37" s="8">
        <f>IF(AD38="Down 1",AB37-1,IF(AD38="Down 2",AB37-2,IF(AD38="Upgrade",AB37+1,IF(AD38="Inchangé",AB37,VLOOKUP(AD38,données!$CY$11:$CZ$19,2)))))</f>
        <v>5</v>
      </c>
      <c r="AE37" s="20"/>
      <c r="AF37" s="8">
        <f>IF(AF38="Down 1",AD37-1,IF(AF38="Down 2",AD37-2,IF(AF38="Upgrade",AD37+1,IF(AF38="Inchangé",AD37,VLOOKUP(AF38,données!$CY$11:$CZ$19,2)))))</f>
        <v>5</v>
      </c>
      <c r="AG37" s="20"/>
      <c r="AH37" s="8">
        <f>IF(AH38="Down 1",AF37-1,IF(AH38="Down 2",AF37-2,IF(AH38="Upgrade",AF37+1,IF(AH38="Inchangé",AF37,VLOOKUP(AH38,données!$CY$11:$CZ$19,2)))))</f>
        <v>5</v>
      </c>
      <c r="AI37" s="20"/>
      <c r="AJ37" s="8">
        <f>IF(AJ38="Down 1",AH37-1,IF(AJ38="Down 2",AH37-2,IF(AJ38="Upgrade",AH37+1,IF(AJ38="Inchangé",AH37,VLOOKUP(AJ38,données!$CY$11:$CZ$19,2)))))</f>
        <v>5</v>
      </c>
      <c r="AK37" s="20"/>
      <c r="AL37" s="15">
        <v>5</v>
      </c>
      <c r="AM37" t="s">
        <v>59</v>
      </c>
      <c r="AN37" s="11">
        <v>5</v>
      </c>
      <c r="AP37">
        <v>7</v>
      </c>
    </row>
    <row r="38" spans="1:45" ht="13.8" thickBot="1">
      <c r="A38" s="5"/>
      <c r="B38" s="5" t="s">
        <v>60</v>
      </c>
      <c r="C38" s="20"/>
      <c r="D38" s="21"/>
      <c r="E38" s="22"/>
      <c r="F38" s="23" t="s">
        <v>61</v>
      </c>
      <c r="G38" s="22"/>
      <c r="H38" s="23" t="s">
        <v>61</v>
      </c>
      <c r="I38" s="22"/>
      <c r="J38" s="23" t="s">
        <v>61</v>
      </c>
      <c r="K38" s="22"/>
      <c r="L38" s="23" t="s">
        <v>61</v>
      </c>
      <c r="M38" s="22"/>
      <c r="N38" s="23" t="s">
        <v>61</v>
      </c>
      <c r="O38" s="22"/>
      <c r="P38" s="23" t="s">
        <v>61</v>
      </c>
      <c r="Q38" s="22"/>
      <c r="R38" s="23" t="s">
        <v>61</v>
      </c>
      <c r="S38" s="22"/>
      <c r="T38" s="23" t="s">
        <v>61</v>
      </c>
      <c r="U38" s="22"/>
      <c r="V38" s="23" t="s">
        <v>61</v>
      </c>
      <c r="W38" s="22"/>
      <c r="X38" s="23" t="s">
        <v>61</v>
      </c>
      <c r="Y38" s="22"/>
      <c r="Z38" s="23" t="s">
        <v>61</v>
      </c>
      <c r="AA38" s="22"/>
      <c r="AB38" s="23" t="s">
        <v>61</v>
      </c>
      <c r="AC38" s="22"/>
      <c r="AD38" s="23" t="s">
        <v>61</v>
      </c>
      <c r="AE38" s="22"/>
      <c r="AF38" s="23" t="s">
        <v>61</v>
      </c>
      <c r="AG38" s="22"/>
      <c r="AH38" s="23" t="s">
        <v>61</v>
      </c>
      <c r="AI38" s="22"/>
      <c r="AJ38" s="23" t="s">
        <v>61</v>
      </c>
      <c r="AK38" s="22"/>
      <c r="AL38" s="15">
        <f ca="1">OFFSET(données!$BM$9,0,AL37)*AL36</f>
        <v>10950.054</v>
      </c>
      <c r="AM38" t="s">
        <v>52</v>
      </c>
      <c r="AN38">
        <f ca="1">OFFSET(données!$BM$9,0,AN37)*AN36</f>
        <v>14600.072</v>
      </c>
      <c r="AP38">
        <f ca="1">OFFSET(données!$BM$9,0,AP37)*AP36</f>
        <v>22394.788</v>
      </c>
    </row>
    <row r="39" spans="1:45">
      <c r="A39" s="19" t="s">
        <v>68</v>
      </c>
      <c r="B39" s="16" t="s">
        <v>55</v>
      </c>
      <c r="C39" s="17" t="s">
        <v>1</v>
      </c>
      <c r="D39" s="18">
        <v>0</v>
      </c>
      <c r="E39" s="17"/>
      <c r="F39" s="18">
        <f>IF(F42="Inchangé",IF(COUNT(E40)=0,D40,E40),IF(F42="Down 1",IF(COUNT(E40)=0,D40,E40)-VLOOKUP(IF(COUNT(E40)=0,D40,E40),upgrade!$A$4:$B$102,2),IF(F42="Down 2",IF(COUNT(E40)=0,D40,E40)-2*VLOOKUP(IF(COUNT(E40)=0,D40,E40),upgrade!$A$4:$B$102,2),0)))</f>
        <v>15.216989027096881</v>
      </c>
      <c r="G39" s="17"/>
      <c r="H39" s="18">
        <f>IF(H42="Inchangé",IF(COUNT(G40)=0,F40,G40),IF(H42="Down 1",IF(COUNT(G40)=0,F40,G40)-VLOOKUP(IF(COUNT(G40)=0,F40,G40),upgrade!$A$4:$B$102,2),IF(H42="Down 2",IF(COUNT(G40)=0,F40,G40)-2*VLOOKUP(IF(COUNT(G40)=0,F40,G40),upgrade!$A$4:$B$102,2),0)))</f>
        <v>33.921167612512285</v>
      </c>
      <c r="I39" s="17"/>
      <c r="J39" s="18">
        <f>IF(J42="Inchangé",IF(COUNT(I40)=0,H40,I40),IF(J42="Down 1",IF(COUNT(I40)=0,H40,I40)-VLOOKUP(IF(COUNT(I40)=0,H40,I40),upgrade!$A$4:$B$102,2),IF(J42="Down 2",IF(COUNT(I40)=0,H40,I40)-2*VLOOKUP(IF(COUNT(I40)=0,H40,I40),upgrade!$A$4:$B$102,2),0)))</f>
        <v>43.790225106022184</v>
      </c>
      <c r="K39" s="17"/>
      <c r="L39" s="18">
        <f>IF(L42="Inchangé",IF(COUNT(K40)=0,J40,K40),IF(L42="Down 1",IF(COUNT(K40)=0,J40,K40)-VLOOKUP(IF(COUNT(K40)=0,J40,K40),upgrade!$A$4:$B$102,2),IF(L42="Down 2",IF(COUNT(K40)=0,J40,K40)-2*VLOOKUP(IF(COUNT(K40)=0,J40,K40),upgrade!$A$4:$B$102,2),0)))</f>
        <v>64.01544684698483</v>
      </c>
      <c r="M39" s="17"/>
      <c r="N39" s="18">
        <f>IF(N42="Inchangé",IF(COUNT(M40)=0,L40,M40),IF(N42="Down 1",IF(COUNT(M40)=0,L40,M40)-VLOOKUP(IF(COUNT(M40)=0,L40,M40),upgrade!$A$4:$B$102,2),IF(N42="Down 2",IF(COUNT(M40)=0,L40,M40)-2*VLOOKUP(IF(COUNT(M40)=0,L40,M40),upgrade!$A$4:$B$102,2),0)))</f>
        <v>65.51544684698483</v>
      </c>
      <c r="O39" s="17"/>
      <c r="P39" s="18">
        <f>IF(P42="Inchangé",IF(COUNT(O40)=0,N40,O40),IF(P42="Down 1",IF(COUNT(O40)=0,N40,O40)-VLOOKUP(IF(COUNT(O40)=0,N40,O40),upgrade!$A$4:$B$102,2),IF(P42="Down 2",IF(COUNT(O40)=0,N40,O40)-2*VLOOKUP(IF(COUNT(O40)=0,N40,O40),upgrade!$A$4:$B$102,2),0)))</f>
        <v>81.749751187120467</v>
      </c>
      <c r="Q39" s="17"/>
      <c r="R39" s="18">
        <f>IF(R42="Inchangé",IF(COUNT(Q40)=0,P40,Q40),IF(R42="Down 1",IF(COUNT(Q40)=0,P40,Q40)-VLOOKUP(IF(COUNT(Q40)=0,P40,Q40),upgrade!$A$4:$B$102,2),IF(R42="Down 2",IF(COUNT(Q40)=0,P40,Q40)-2*VLOOKUP(IF(COUNT(Q40)=0,P40,Q40),upgrade!$A$4:$B$102,2),0)))</f>
        <v>108.39241262683964</v>
      </c>
      <c r="S39" s="17"/>
      <c r="T39" s="18">
        <f>IF(T42="Inchangé",IF(COUNT(S40)=0,R40,S40),IF(T42="Down 1",IF(COUNT(S40)=0,R40,S40)-VLOOKUP(IF(COUNT(S40)=0,R40,S40),upgrade!$A$4:$B$102,2),IF(T42="Down 2",IF(COUNT(S40)=0,R40,S40)-2*VLOOKUP(IF(COUNT(S40)=0,R40,S40),upgrade!$A$4:$B$102,2),0)))</f>
        <v>135.06983090197326</v>
      </c>
      <c r="U39" s="17"/>
      <c r="V39" s="18">
        <f>IF(V42="Inchangé",IF(COUNT(U40)=0,T40,U40),IF(V42="Down 1",IF(COUNT(U40)=0,T40,U40)-VLOOKUP(IF(COUNT(U40)=0,T40,U40),upgrade!$A$4:$B$102,2),IF(V42="Down 2",IF(COUNT(U40)=0,T40,U40)-2*VLOOKUP(IF(COUNT(U40)=0,T40,U40),upgrade!$A$4:$B$102,2),0)))</f>
        <v>148.88481182744979</v>
      </c>
      <c r="W39" s="17"/>
      <c r="X39" s="18">
        <f>IF(X42="Inchangé",IF(COUNT(W40)=0,V40,W40),IF(X42="Down 1",IF(COUNT(W40)=0,V40,W40)-VLOOKUP(IF(COUNT(W40)=0,V40,W40),upgrade!$A$4:$B$102,2),IF(X42="Down 2",IF(COUNT(W40)=0,V40,W40)-2*VLOOKUP(IF(COUNT(W40)=0,V40,W40),upgrade!$A$4:$B$102,2),0)))</f>
        <v>167.05352534951408</v>
      </c>
      <c r="Y39" s="17"/>
      <c r="Z39" s="18">
        <f>IF(Z42="Inchangé",IF(COUNT(Y40)=0,X40,Y40),IF(Z42="Down 1",IF(COUNT(Y40)=0,X40,Y40)-VLOOKUP(IF(COUNT(Y40)=0,X40,Y40),upgrade!$A$4:$B$102,2),IF(Z42="Down 2",IF(COUNT(Y40)=0,X40,Y40)-2*VLOOKUP(IF(COUNT(Y40)=0,X40,Y40),upgrade!$A$4:$B$102,2),0)))</f>
        <v>180.66709276808271</v>
      </c>
      <c r="AA39" s="17"/>
      <c r="AB39" s="18">
        <f>IF(AB42="Inchangé",IF(COUNT(AA40)=0,Z40,AA40),IF(AB42="Down 1",IF(COUNT(AA40)=0,Z40,AA40)-VLOOKUP(IF(COUNT(AA40)=0,Z40,AA40),upgrade!$A$4:$B$102,2),IF(AB42="Down 2",IF(COUNT(AA40)=0,Z40,AA40)-2*VLOOKUP(IF(COUNT(AA40)=0,Z40,AA40),upgrade!$A$4:$B$102,2),0)))</f>
        <v>196.70054541681199</v>
      </c>
      <c r="AC39" s="17"/>
      <c r="AD39" s="18">
        <f>IF(AD42="Inchangé",IF(COUNT(AC40)=0,AB40,AC40),IF(AD42="Down 1",IF(COUNT(AC40)=0,AB40,AC40)-VLOOKUP(IF(COUNT(AC40)=0,AB40,AC40),upgrade!$A$4:$B$102,2),IF(AD42="Down 2",IF(COUNT(AC40)=0,AB40,AC40)-2*VLOOKUP(IF(COUNT(AC40)=0,AB40,AC40),upgrade!$A$4:$B$102,2),0)))</f>
        <v>213.2413344643229</v>
      </c>
      <c r="AE39" s="17"/>
      <c r="AF39" s="18">
        <f>IF(AF42="Inchangé",IF(COUNT(AE40)=0,AD40,AE40),IF(AF42="Down 1",IF(COUNT(AE40)=0,AD40,AE40)-VLOOKUP(IF(COUNT(AE40)=0,AD40,AE40),upgrade!$A$4:$B$102,2),IF(AF42="Down 2",IF(COUNT(AE40)=0,AD40,AE40)-2*VLOOKUP(IF(COUNT(AE40)=0,AD40,AE40),upgrade!$A$4:$B$102,2),0)))</f>
        <v>232.08662221000205</v>
      </c>
      <c r="AG39" s="17"/>
      <c r="AH39" s="18">
        <f>IF(AH42="Inchangé",IF(COUNT(AG40)=0,AF40,AG40),IF(AH42="Down 1",IF(COUNT(AG40)=0,AF40,AG40)-VLOOKUP(IF(COUNT(AG40)=0,AF40,AG40),upgrade!$A$4:$B$102,2),IF(AH42="Down 2",IF(COUNT(AG40)=0,AF40,AG40)-2*VLOOKUP(IF(COUNT(AG40)=0,AF40,AG40),upgrade!$A$4:$B$102,2),0)))</f>
        <v>250.08311411033969</v>
      </c>
      <c r="AI39" s="17"/>
      <c r="AJ39" s="18">
        <f>IF(AJ42="Inchangé",IF(COUNT(AI40)=0,AH40,AI40),IF(AJ42="Down 1",IF(COUNT(AI40)=0,AH40,AI40)-VLOOKUP(IF(COUNT(AI40)=0,AH40,AI40),upgrade!$A$4:$B$102,2),IF(AJ42="Down 2",IF(COUNT(AI40)=0,AH40,AI40)-2*VLOOKUP(IF(COUNT(AI40)=0,AH40,AI40),upgrade!$A$4:$B$102,2),0)))</f>
        <v>276.94529326196482</v>
      </c>
      <c r="AK39" s="17"/>
      <c r="AL39" s="19" t="str">
        <f>données!BM10</f>
        <v>ail arriere</v>
      </c>
      <c r="AN39">
        <v>360</v>
      </c>
      <c r="AO39">
        <f>données!C17*AO40</f>
        <v>32</v>
      </c>
      <c r="AP39">
        <f>AO39+AN39</f>
        <v>392</v>
      </c>
    </row>
    <row r="40" spans="1:45">
      <c r="A40" s="15" t="s">
        <v>1</v>
      </c>
      <c r="B40" s="5" t="s">
        <v>56</v>
      </c>
      <c r="C40" s="20"/>
      <c r="D40" s="8">
        <f>D39+IF(D$22="Aucun",0,données!$C$17*D$23/100)+données!E17</f>
        <v>15.216989027096881</v>
      </c>
      <c r="E40" s="9" t="s">
        <v>1</v>
      </c>
      <c r="F40" s="8">
        <f>F39+IF(F$22="Aucun",0,données!$C$17*F$23/100)+données!G17</f>
        <v>33.921167612512285</v>
      </c>
      <c r="G40" s="9" t="s">
        <v>1</v>
      </c>
      <c r="H40" s="8">
        <f>H39+IF(H$22="Aucun",0,données!$C$17*H$23/100)+données!I17</f>
        <v>43.790225106022184</v>
      </c>
      <c r="I40" s="9" t="s">
        <v>1</v>
      </c>
      <c r="J40" s="8">
        <f>J39+IF(J$22="Aucun",0,données!$C$17*J$23/100)+données!K17</f>
        <v>64.01544684698483</v>
      </c>
      <c r="K40" s="9" t="s">
        <v>1</v>
      </c>
      <c r="L40" s="8">
        <f>L39+IF(L$22="Aucun",0,données!$C$17*L$23/100)+données!M17</f>
        <v>65.51544684698483</v>
      </c>
      <c r="M40" s="9" t="s">
        <v>1</v>
      </c>
      <c r="N40" s="8">
        <f>N39+IF(N$22="Aucun",0,données!$C$17*N$23/100)+données!O17</f>
        <v>81.749751187120467</v>
      </c>
      <c r="O40" s="9" t="s">
        <v>1</v>
      </c>
      <c r="P40" s="8">
        <f>P39+IF(P$22="Aucun",0,données!$C$17*P$23/100)+données!Q17</f>
        <v>108.39241262683964</v>
      </c>
      <c r="Q40" s="9" t="s">
        <v>1</v>
      </c>
      <c r="R40" s="8">
        <f>R39+IF(R$22="Aucun",0,données!$C$17*R$23/100)+données!S17</f>
        <v>135.06983090197326</v>
      </c>
      <c r="S40" s="9" t="s">
        <v>1</v>
      </c>
      <c r="T40" s="8">
        <f>T39+IF(T$22="Aucun",0,données!$C$17*T$23/100)+données!U17</f>
        <v>148.88481182744979</v>
      </c>
      <c r="U40" s="9" t="s">
        <v>1</v>
      </c>
      <c r="V40" s="8">
        <f>V39+IF(V$22="Aucun",0,données!$C$17*V$23/100)+données!W17</f>
        <v>167.05352534951408</v>
      </c>
      <c r="W40" s="9" t="s">
        <v>1</v>
      </c>
      <c r="X40" s="8">
        <f>X39+IF(X$22="Aucun",0,données!$C$17*X$23/100)+données!Y17</f>
        <v>180.66709276808271</v>
      </c>
      <c r="Y40" s="9" t="s">
        <v>1</v>
      </c>
      <c r="Z40" s="8">
        <f>Z39+IF(Z$22="Aucun",0,données!$C$17*Z$23/100)+données!AA17</f>
        <v>196.70054541681199</v>
      </c>
      <c r="AA40" s="9" t="s">
        <v>1</v>
      </c>
      <c r="AB40" s="8">
        <f>AB39+IF(AB$22="Aucun",0,données!$C$17*AB$23/100)+données!AC17</f>
        <v>213.2413344643229</v>
      </c>
      <c r="AC40" s="9" t="s">
        <v>1</v>
      </c>
      <c r="AD40" s="8">
        <f>AD39+IF(AD$22="Aucun",0,données!$C$17*AD$23/100)+données!AE17</f>
        <v>232.08662221000205</v>
      </c>
      <c r="AE40" s="9" t="s">
        <v>1</v>
      </c>
      <c r="AF40" s="8">
        <f>AF39+IF(AF$22="Aucun",0,données!$C$17*AF$23/100)+données!AG17</f>
        <v>250.08311411033969</v>
      </c>
      <c r="AG40" s="9" t="s">
        <v>1</v>
      </c>
      <c r="AH40" s="8">
        <f>AH39+IF(AH$22="Aucun",0,données!$C$17*AH$23/100)+données!AI17</f>
        <v>276.94529326196482</v>
      </c>
      <c r="AI40" s="9" t="s">
        <v>1</v>
      </c>
      <c r="AJ40" s="8">
        <f>AJ39+IF(AJ$22="Aucun",0,données!$C$17*AJ$23/100)+données!AK17</f>
        <v>296.66952710038788</v>
      </c>
      <c r="AK40" s="9" t="s">
        <v>1</v>
      </c>
      <c r="AL40" s="15">
        <v>3</v>
      </c>
      <c r="AM40" t="s">
        <v>57</v>
      </c>
      <c r="AN40" s="10">
        <v>4</v>
      </c>
      <c r="AO40">
        <f>AO36</f>
        <v>4</v>
      </c>
      <c r="AP40">
        <v>5</v>
      </c>
      <c r="AQ40">
        <v>318</v>
      </c>
      <c r="AR40">
        <v>307</v>
      </c>
      <c r="AS40" s="20" t="e">
        <f>E40-D40+G40-F40+I40-H40+K40-J40+M40-L40+O40-N40+Q40-P40+S40-R40+U40-T40+W40-V40+Y40-X40+AA40-Z40</f>
        <v>#VALUE!</v>
      </c>
    </row>
    <row r="41" spans="1:45">
      <c r="A41" s="15" t="s">
        <v>1</v>
      </c>
      <c r="B41" s="5" t="s">
        <v>58</v>
      </c>
      <c r="C41" s="10">
        <v>5</v>
      </c>
      <c r="D41" s="8">
        <f>C41</f>
        <v>5</v>
      </c>
      <c r="E41" s="20"/>
      <c r="F41" s="8">
        <f>IF(F42="Down 1",D41-1,IF(F42="Down 2",D41-2,IF(F42="Upgrade",D41+1,IF(F42="Inchangé",D41,VLOOKUP(F42,données!$CY$11:$CZ$19,2)))))</f>
        <v>5</v>
      </c>
      <c r="G41" s="20"/>
      <c r="H41" s="8">
        <f>IF(H42="Down 1",F41-1,IF(H42="Down 2",F41-2,IF(H42="Upgrade",F41+1,IF(H42="Inchangé",F41,VLOOKUP(H42,données!$CY$11:$CZ$19,2)))))</f>
        <v>5</v>
      </c>
      <c r="I41" s="20"/>
      <c r="J41" s="8">
        <f>IF(J42="Down 1",H41-1,IF(J42="Down 2",H41-2,IF(J42="Upgrade",H41+1,IF(J42="Inchangé",H41,VLOOKUP(J42,données!$CY$11:$CZ$19,2)))))</f>
        <v>5</v>
      </c>
      <c r="K41" s="20"/>
      <c r="L41" s="8">
        <f>IF(L42="Down 1",J41-1,IF(L42="Down 2",J41-2,IF(L42="Upgrade",J41+1,IF(L42="Inchangé",J41,VLOOKUP(L42,données!$CY$11:$CZ$19,2)))))</f>
        <v>5</v>
      </c>
      <c r="M41" s="20"/>
      <c r="N41" s="8">
        <f>IF(N42="Down 1",L41-1,IF(N42="Down 2",L41-2,IF(N42="Upgrade",L41+1,IF(N42="Inchangé",L41,VLOOKUP(N42,données!$CY$11:$CZ$19,2)))))</f>
        <v>5</v>
      </c>
      <c r="O41" s="20"/>
      <c r="P41" s="8">
        <f>IF(P42="Down 1",N41-1,IF(P42="Down 2",N41-2,IF(P42="Upgrade",N41+1,IF(P42="Inchangé",N41,VLOOKUP(P42,données!$CY$11:$CZ$19,2)))))</f>
        <v>5</v>
      </c>
      <c r="Q41" s="20"/>
      <c r="R41" s="8">
        <f>IF(R42="Down 1",P41-1,IF(R42="Down 2",P41-2,IF(R42="Upgrade",P41+1,IF(R42="Inchangé",P41,VLOOKUP(R42,données!$CY$11:$CZ$19,2)))))</f>
        <v>5</v>
      </c>
      <c r="S41" s="20"/>
      <c r="T41" s="8">
        <f>IF(T42="Down 1",R41-1,IF(T42="Down 2",R41-2,IF(T42="Upgrade",R41+1,IF(T42="Inchangé",R41,VLOOKUP(T42,données!$CY$11:$CZ$19,2)))))</f>
        <v>5</v>
      </c>
      <c r="U41" s="20"/>
      <c r="V41" s="8">
        <f>IF(V42="Down 1",T41-1,IF(V42="Down 2",T41-2,IF(V42="Upgrade",T41+1,IF(V42="Inchangé",T41,VLOOKUP(V42,données!$CY$11:$CZ$19,2)))))</f>
        <v>5</v>
      </c>
      <c r="W41" s="20"/>
      <c r="X41" s="8">
        <f>IF(X42="Down 1",V41-1,IF(X42="Down 2",V41-2,IF(X42="Upgrade",V41+1,IF(X42="Inchangé",V41,VLOOKUP(X42,données!$CY$11:$CZ$19,2)))))</f>
        <v>5</v>
      </c>
      <c r="Y41" s="20"/>
      <c r="Z41" s="8">
        <f>IF(Z42="Down 1",X41-1,IF(Z42="Down 2",X41-2,IF(Z42="Upgrade",X41+1,IF(Z42="Inchangé",X41,VLOOKUP(Z42,données!$CY$11:$CZ$19,2)))))</f>
        <v>5</v>
      </c>
      <c r="AA41" s="20"/>
      <c r="AB41" s="8">
        <f>IF(AB42="Down 1",Z41-1,IF(AB42="Down 2",Z41-2,IF(AB42="Upgrade",Z41+1,IF(AB42="Inchangé",Z41,VLOOKUP(AB42,données!$CY$11:$CZ$19,2)))))</f>
        <v>5</v>
      </c>
      <c r="AC41" s="20"/>
      <c r="AD41" s="8">
        <f>IF(AD42="Down 1",AB41-1,IF(AD42="Down 2",AB41-2,IF(AD42="Upgrade",AB41+1,IF(AD42="Inchangé",AB41,VLOOKUP(AD42,données!$CY$11:$CZ$19,2)))))</f>
        <v>5</v>
      </c>
      <c r="AE41" s="20"/>
      <c r="AF41" s="8">
        <f>IF(AF42="Down 1",AD41-1,IF(AF42="Down 2",AD41-2,IF(AF42="Upgrade",AD41+1,IF(AF42="Inchangé",AD41,VLOOKUP(AF42,données!$CY$11:$CZ$19,2)))))</f>
        <v>5</v>
      </c>
      <c r="AG41" s="20"/>
      <c r="AH41" s="8">
        <f>IF(AH42="Down 1",AF41-1,IF(AH42="Down 2",AF41-2,IF(AH42="Upgrade",AF41+1,IF(AH42="Inchangé",AF41,VLOOKUP(AH42,données!$CY$11:$CZ$19,2)))))</f>
        <v>5</v>
      </c>
      <c r="AI41" s="20"/>
      <c r="AJ41" s="8">
        <f>IF(AJ42="Down 1",AH41-1,IF(AJ42="Down 2",AH41-2,IF(AJ42="Upgrade",AH41+1,IF(AJ42="Inchangé",AH41,VLOOKUP(AJ42,données!$CY$11:$CZ$19,2)))))</f>
        <v>5</v>
      </c>
      <c r="AK41" s="20"/>
      <c r="AL41" s="15">
        <v>5</v>
      </c>
      <c r="AM41" t="s">
        <v>59</v>
      </c>
      <c r="AN41" s="11">
        <v>5</v>
      </c>
      <c r="AP41">
        <v>7</v>
      </c>
    </row>
    <row r="42" spans="1:45">
      <c r="A42" s="24"/>
      <c r="B42" s="5" t="s">
        <v>60</v>
      </c>
      <c r="C42" s="25"/>
      <c r="D42" s="26" t="s">
        <v>1</v>
      </c>
      <c r="E42" s="27"/>
      <c r="F42" s="23" t="s">
        <v>61</v>
      </c>
      <c r="G42" s="27"/>
      <c r="H42" s="23" t="s">
        <v>61</v>
      </c>
      <c r="I42" s="27"/>
      <c r="J42" s="23" t="s">
        <v>61</v>
      </c>
      <c r="K42" s="27"/>
      <c r="L42" s="23" t="s">
        <v>61</v>
      </c>
      <c r="M42" s="27"/>
      <c r="N42" s="23" t="s">
        <v>61</v>
      </c>
      <c r="O42" s="27"/>
      <c r="P42" s="23" t="s">
        <v>61</v>
      </c>
      <c r="Q42" s="27"/>
      <c r="R42" s="23" t="s">
        <v>61</v>
      </c>
      <c r="S42" s="27"/>
      <c r="T42" s="23" t="s">
        <v>61</v>
      </c>
      <c r="U42" s="27"/>
      <c r="V42" s="23" t="s">
        <v>61</v>
      </c>
      <c r="W42" s="27"/>
      <c r="X42" s="23" t="s">
        <v>61</v>
      </c>
      <c r="Y42" s="27"/>
      <c r="Z42" s="23" t="s">
        <v>61</v>
      </c>
      <c r="AA42" s="27"/>
      <c r="AB42" s="23" t="s">
        <v>61</v>
      </c>
      <c r="AC42" s="27"/>
      <c r="AD42" s="23" t="s">
        <v>61</v>
      </c>
      <c r="AE42" s="27"/>
      <c r="AF42" s="23" t="s">
        <v>61</v>
      </c>
      <c r="AG42" s="27"/>
      <c r="AH42" s="23" t="s">
        <v>61</v>
      </c>
      <c r="AI42" s="27"/>
      <c r="AJ42" s="23" t="s">
        <v>61</v>
      </c>
      <c r="AK42" s="27"/>
      <c r="AL42" s="15">
        <f ca="1">OFFSET(données!$BM$10,0,AL41)*AL40</f>
        <v>10616.7</v>
      </c>
      <c r="AM42" t="s">
        <v>52</v>
      </c>
      <c r="AN42">
        <f ca="1">OFFSET(données!$BM$10,0,AN41)*AN40</f>
        <v>14155.6</v>
      </c>
      <c r="AP42">
        <f ca="1">OFFSET(données!$BM$10,0,AP41)*AP40</f>
        <v>27141.280000000002</v>
      </c>
    </row>
    <row r="43" spans="1:45">
      <c r="A43" s="5" t="s">
        <v>69</v>
      </c>
      <c r="B43" s="5" t="s">
        <v>55</v>
      </c>
      <c r="C43" s="20" t="s">
        <v>1</v>
      </c>
      <c r="D43" s="18">
        <v>0</v>
      </c>
      <c r="E43" s="17"/>
      <c r="F43" s="18">
        <f>IF(F46="Inchangé",IF(COUNT(E44)=0,D44,E44),IF(F46="Down 1",IF(COUNT(E44)=0,D44,E44)-VLOOKUP(IF(COUNT(E44)=0,D44,E44),upgrade!$A$4:$B$102,2),IF(F46="Down 2",IF(COUNT(E44)=0,D44,E44)-2*VLOOKUP(IF(COUNT(E44)=0,D44,E44),upgrade!$A$4:$B$102,2),0)))</f>
        <v>27.995936074210608</v>
      </c>
      <c r="G43" s="17"/>
      <c r="H43" s="18">
        <f>IF(H46="Inchangé",IF(COUNT(G44)=0,F44,G44),IF(H46="Down 1",IF(COUNT(G44)=0,F44,G44)-VLOOKUP(IF(COUNT(G44)=0,F44,G44),upgrade!$A$4:$B$102,2),IF(H46="Down 2",IF(COUNT(G44)=0,F44,G44)-2*VLOOKUP(IF(COUNT(G44)=0,F44,G44),upgrade!$A$4:$B$102,2),0)))</f>
        <v>42.388701886362512</v>
      </c>
      <c r="I43" s="17"/>
      <c r="J43" s="18">
        <f>IF(J46="Inchangé",IF(COUNT(I44)=0,H44,I44),IF(J46="Down 1",IF(COUNT(I44)=0,H44,I44)-VLOOKUP(IF(COUNT(I44)=0,H44,I44),upgrade!$A$4:$B$102,2),IF(J46="Down 2",IF(COUNT(I44)=0,H44,I44)-2*VLOOKUP(IF(COUNT(I44)=0,H44,I44),upgrade!$A$4:$B$102,2),0)))</f>
        <v>55.613548994676584</v>
      </c>
      <c r="K43" s="17"/>
      <c r="L43" s="18">
        <f>IF(L46="Inchangé",IF(COUNT(K44)=0,J44,K44),IF(L46="Down 1",IF(COUNT(K44)=0,J44,K44)-VLOOKUP(IF(COUNT(K44)=0,J44,K44),upgrade!$A$4:$B$102,2),IF(L46="Down 2",IF(COUNT(K44)=0,J44,K44)-2*VLOOKUP(IF(COUNT(K44)=0,J44,K44),upgrade!$A$4:$B$102,2),0)))</f>
        <v>70.823801781144311</v>
      </c>
      <c r="M43" s="17"/>
      <c r="N43" s="18">
        <f>IF(N46="Inchangé",IF(COUNT(M44)=0,L44,M44),IF(N46="Down 1",IF(COUNT(M44)=0,L44,M44)-VLOOKUP(IF(COUNT(M44)=0,L44,M44),upgrade!$A$4:$B$102,2),IF(N46="Down 2",IF(COUNT(M44)=0,L44,M44)-2*VLOOKUP(IF(COUNT(M44)=0,L44,M44),upgrade!$A$4:$B$102,2),0)))</f>
        <v>72.323801781144311</v>
      </c>
      <c r="O43" s="17"/>
      <c r="P43" s="18">
        <f>IF(P46="Inchangé",IF(COUNT(O44)=0,N44,O44),IF(P46="Down 1",IF(COUNT(O44)=0,N44,O44)-VLOOKUP(IF(COUNT(O44)=0,N44,O44),upgrade!$A$4:$B$102,2),IF(P46="Down 2",IF(COUNT(O44)=0,N44,O44)-2*VLOOKUP(IF(COUNT(O44)=0,N44,O44),upgrade!$A$4:$B$102,2),0)))</f>
        <v>88.633618650935034</v>
      </c>
      <c r="Q43" s="17"/>
      <c r="R43" s="18">
        <f>IF(R46="Inchangé",IF(COUNT(Q44)=0,P44,Q44),IF(R46="Down 1",IF(COUNT(Q44)=0,P44,Q44)-VLOOKUP(IF(COUNT(Q44)=0,P44,Q44),upgrade!$A$4:$B$102,2),IF(R46="Down 2",IF(COUNT(Q44)=0,P44,Q44)-2*VLOOKUP(IF(COUNT(Q44)=0,P44,Q44),upgrade!$A$4:$B$102,2),0)))</f>
        <v>108.18343781968073</v>
      </c>
      <c r="S43" s="17"/>
      <c r="T43" s="18">
        <f>IF(T46="Inchangé",IF(COUNT(S44)=0,R44,S44),IF(T46="Down 1",IF(COUNT(S44)=0,R44,S44)-VLOOKUP(IF(COUNT(S44)=0,R44,S44),upgrade!$A$4:$B$102,2),IF(T46="Down 2",IF(COUNT(S44)=0,R44,S44)-2*VLOOKUP(IF(COUNT(S44)=0,R44,S44),upgrade!$A$4:$B$102,2),0)))</f>
        <v>131.96327567572436</v>
      </c>
      <c r="U43" s="17"/>
      <c r="V43" s="18">
        <f>IF(V46="Inchangé",IF(COUNT(U44)=0,T44,U44),IF(V46="Down 1",IF(COUNT(U44)=0,T44,U44)-VLOOKUP(IF(COUNT(U44)=0,T44,U44),upgrade!$A$4:$B$102,2),IF(V46="Down 2",IF(COUNT(U44)=0,T44,U44)-2*VLOOKUP(IF(COUNT(U44)=0,T44,U44),upgrade!$A$4:$B$102,2),0)))</f>
        <v>146.20415868351171</v>
      </c>
      <c r="W43" s="17"/>
      <c r="X43" s="18">
        <f>IF(X46="Inchangé",IF(COUNT(W44)=0,V44,W44),IF(X46="Down 1",IF(COUNT(W44)=0,V44,W44)-VLOOKUP(IF(COUNT(W44)=0,V44,W44),upgrade!$A$4:$B$102,2),IF(X46="Down 2",IF(COUNT(W44)=0,V44,W44)-2*VLOOKUP(IF(COUNT(W44)=0,V44,W44),upgrade!$A$4:$B$102,2),0)))</f>
        <v>168.57902579260133</v>
      </c>
      <c r="Y43" s="17"/>
      <c r="Z43" s="18">
        <f>IF(Z46="Inchangé",IF(COUNT(Y44)=0,X44,Y44),IF(Z46="Down 1",IF(COUNT(Y44)=0,X44,Y44)-VLOOKUP(IF(COUNT(Y44)=0,X44,Y44),upgrade!$A$4:$B$102,2),IF(Z46="Down 2",IF(COUNT(Y44)=0,X44,Y44)-2*VLOOKUP(IF(COUNT(Y44)=0,X44,Y44),upgrade!$A$4:$B$102,2),0)))</f>
        <v>187.40527438512362</v>
      </c>
      <c r="AA43" s="17"/>
      <c r="AB43" s="18">
        <f>IF(AB46="Inchangé",IF(COUNT(AA44)=0,Z44,AA44),IF(AB46="Down 1",IF(COUNT(AA44)=0,Z44,AA44)-VLOOKUP(IF(COUNT(AA44)=0,Z44,AA44),upgrade!$A$4:$B$102,2),IF(AB46="Down 2",IF(COUNT(AA44)=0,Z44,AA44)-2*VLOOKUP(IF(COUNT(AA44)=0,Z44,AA44),upgrade!$A$4:$B$102,2),0)))</f>
        <v>204.0085920264261</v>
      </c>
      <c r="AC43" s="17"/>
      <c r="AD43" s="18">
        <f>IF(AD46="Inchangé",IF(COUNT(AC44)=0,AB44,AC44),IF(AD46="Down 1",IF(COUNT(AC44)=0,AB44,AC44)-VLOOKUP(IF(COUNT(AC44)=0,AB44,AC44),upgrade!$A$4:$B$102,2),IF(AD46="Down 2",IF(COUNT(AC44)=0,AB44,AC44)-2*VLOOKUP(IF(COUNT(AC44)=0,AB44,AC44),upgrade!$A$4:$B$102,2),0)))</f>
        <v>223.56271144132336</v>
      </c>
      <c r="AE43" s="17"/>
      <c r="AF43" s="18">
        <f>IF(AF46="Inchangé",IF(COUNT(AE44)=0,AD44,AE44),IF(AF46="Down 1",IF(COUNT(AE44)=0,AD44,AE44)-VLOOKUP(IF(COUNT(AE44)=0,AD44,AE44),upgrade!$A$4:$B$102,2),IF(AF46="Down 2",IF(COUNT(AE44)=0,AD44,AE44)-2*VLOOKUP(IF(COUNT(AE44)=0,AD44,AE44),upgrade!$A$4:$B$102,2),0)))</f>
        <v>240.31951065524242</v>
      </c>
      <c r="AG43" s="17"/>
      <c r="AH43" s="18">
        <f>IF(AH46="Inchangé",IF(COUNT(AG44)=0,AF44,AG44),IF(AH46="Down 1",IF(COUNT(AG44)=0,AF44,AG44)-VLOOKUP(IF(COUNT(AG44)=0,AF44,AG44),upgrade!$A$4:$B$102,2),IF(AH46="Down 2",IF(COUNT(AG44)=0,AF44,AG44)-2*VLOOKUP(IF(COUNT(AG44)=0,AF44,AG44),upgrade!$A$4:$B$102,2),0)))</f>
        <v>270.30807744367667</v>
      </c>
      <c r="AI43" s="17"/>
      <c r="AJ43" s="18">
        <f>IF(AJ46="Inchangé",IF(COUNT(AI44)=0,AH44,AI44),IF(AJ46="Down 1",IF(COUNT(AI44)=0,AH44,AI44)-VLOOKUP(IF(COUNT(AI44)=0,AH44,AI44),upgrade!$A$4:$B$102,2),IF(AJ46="Down 2",IF(COUNT(AI44)=0,AH44,AI44)-2*VLOOKUP(IF(COUNT(AI44)=0,AH44,AI44),upgrade!$A$4:$B$102,2),0)))</f>
        <v>294.49804204687092</v>
      </c>
      <c r="AK43" s="17"/>
      <c r="AL43" s="19" t="str">
        <f>données!BM11</f>
        <v>fond plat</v>
      </c>
      <c r="AN43">
        <v>354</v>
      </c>
      <c r="AO43">
        <f>données!C18*AO44</f>
        <v>32</v>
      </c>
      <c r="AP43">
        <f>AO43+AN43</f>
        <v>386</v>
      </c>
    </row>
    <row r="44" spans="1:45">
      <c r="A44" s="5" t="s">
        <v>1</v>
      </c>
      <c r="B44" s="5" t="s">
        <v>56</v>
      </c>
      <c r="C44" s="20"/>
      <c r="D44" s="8">
        <f>D43+IF(D$22="Aucun",0,données!$C$18*D$23/100)+données!E18</f>
        <v>27.995936074210608</v>
      </c>
      <c r="E44" s="9" t="s">
        <v>1</v>
      </c>
      <c r="F44" s="8">
        <f>F43+IF(F$22="Aucun",0,données!$C$18*F$23/100)+données!G18</f>
        <v>42.388701886362512</v>
      </c>
      <c r="G44" s="9" t="s">
        <v>1</v>
      </c>
      <c r="H44" s="8">
        <f>H43+IF(H$22="Aucun",0,données!$C$18*H$23/100)+données!I18</f>
        <v>55.613548994676584</v>
      </c>
      <c r="I44" s="9" t="s">
        <v>1</v>
      </c>
      <c r="J44" s="8">
        <f>J43+IF(J$22="Aucun",0,données!$C$18*J$23/100)+données!K18</f>
        <v>70.823801781144311</v>
      </c>
      <c r="K44" s="9" t="s">
        <v>1</v>
      </c>
      <c r="L44" s="8">
        <f>L43+IF(L$22="Aucun",0,données!$C$18*L$23/100)+données!M18</f>
        <v>72.323801781144311</v>
      </c>
      <c r="M44" s="9" t="s">
        <v>1</v>
      </c>
      <c r="N44" s="8">
        <f>N43+IF(N$22="Aucun",0,données!$C$18*N$23/100)+données!O18</f>
        <v>88.633618650935034</v>
      </c>
      <c r="O44" s="9" t="s">
        <v>1</v>
      </c>
      <c r="P44" s="8">
        <f>P43+IF(P$22="Aucun",0,données!$C$18*P$23/100)+données!Q18</f>
        <v>108.18343781968073</v>
      </c>
      <c r="Q44" s="9" t="s">
        <v>1</v>
      </c>
      <c r="R44" s="8">
        <f>R43+IF(R$22="Aucun",0,données!$C$18*R$23/100)+données!S18</f>
        <v>131.96327567572436</v>
      </c>
      <c r="S44" s="9" t="s">
        <v>1</v>
      </c>
      <c r="T44" s="8">
        <f>T43+IF(T$22="Aucun",0,données!$C$18*T$23/100)+données!U18</f>
        <v>146.20415868351171</v>
      </c>
      <c r="U44" s="9" t="s">
        <v>1</v>
      </c>
      <c r="V44" s="8">
        <f>V43+IF(V$22="Aucun",0,données!$C$18*V$23/100)+données!W18</f>
        <v>168.57902579260133</v>
      </c>
      <c r="W44" s="9" t="s">
        <v>1</v>
      </c>
      <c r="X44" s="8">
        <f>X43+IF(X$22="Aucun",0,données!$C$18*X$23/100)+données!Y18</f>
        <v>187.40527438512362</v>
      </c>
      <c r="Y44" s="9" t="s">
        <v>1</v>
      </c>
      <c r="Z44" s="8">
        <f>Z43+IF(Z$22="Aucun",0,données!$C$18*Z$23/100)+données!AA18</f>
        <v>204.0085920264261</v>
      </c>
      <c r="AA44" s="9" t="s">
        <v>1</v>
      </c>
      <c r="AB44" s="8">
        <f>AB43+IF(AB$22="Aucun",0,données!$C$18*AB$23/100)+données!AC18</f>
        <v>223.56271144132336</v>
      </c>
      <c r="AC44" s="9" t="s">
        <v>1</v>
      </c>
      <c r="AD44" s="8">
        <f>AD43+IF(AD$22="Aucun",0,données!$C$18*AD$23/100)+données!AE18</f>
        <v>240.31951065524242</v>
      </c>
      <c r="AE44" s="9" t="s">
        <v>1</v>
      </c>
      <c r="AF44" s="8">
        <f>AF43+IF(AF$22="Aucun",0,données!$C$18*AF$23/100)+données!AG18</f>
        <v>270.30807744367667</v>
      </c>
      <c r="AG44" s="9" t="s">
        <v>1</v>
      </c>
      <c r="AH44" s="8">
        <f>AH43+IF(AH$22="Aucun",0,données!$C$18*AH$23/100)+données!AI18</f>
        <v>294.49804204687092</v>
      </c>
      <c r="AI44" s="9" t="s">
        <v>1</v>
      </c>
      <c r="AJ44" s="8">
        <f>AJ43+IF(AJ$22="Aucun",0,données!$C$18*AJ$23/100)+données!AK18</f>
        <v>309.34150821976027</v>
      </c>
      <c r="AK44" s="9" t="s">
        <v>1</v>
      </c>
      <c r="AL44" s="15">
        <v>2</v>
      </c>
      <c r="AM44" t="s">
        <v>57</v>
      </c>
      <c r="AN44" s="10">
        <v>3</v>
      </c>
      <c r="AO44">
        <f>AO40</f>
        <v>4</v>
      </c>
      <c r="AP44">
        <v>4</v>
      </c>
      <c r="AQ44">
        <v>331</v>
      </c>
      <c r="AR44">
        <v>320</v>
      </c>
      <c r="AS44" s="20" t="e">
        <f>E44-D44+G44-F44+I44-H44+K44-J44+M44-L44+O44-N44+Q44-P44+S44-R44+U44-T44+W44-V44+Y44-X44+AA44-Z44</f>
        <v>#VALUE!</v>
      </c>
    </row>
    <row r="45" spans="1:45">
      <c r="A45" s="5" t="s">
        <v>1</v>
      </c>
      <c r="B45" s="5" t="s">
        <v>58</v>
      </c>
      <c r="C45" s="10">
        <v>5</v>
      </c>
      <c r="D45" s="8">
        <f>C45</f>
        <v>5</v>
      </c>
      <c r="E45" s="20" t="s">
        <v>1</v>
      </c>
      <c r="F45" s="8">
        <f>IF(F46="Down 1",D45-1,IF(F46="Down 2",D45-2,IF(F46="Upgrade",D45+1,IF(F46="Inchangé",D45,VLOOKUP(F46,données!$CY$11:$CZ$19,2)))))</f>
        <v>5</v>
      </c>
      <c r="G45" s="20" t="s">
        <v>1</v>
      </c>
      <c r="H45" s="8">
        <f>IF(H46="Down 1",F45-1,IF(H46="Down 2",F45-2,IF(H46="Upgrade",F45+1,IF(H46="Inchangé",F45,VLOOKUP(H46,données!$CY$11:$CZ$19,2)))))</f>
        <v>5</v>
      </c>
      <c r="I45" s="20" t="s">
        <v>1</v>
      </c>
      <c r="J45" s="8">
        <f>IF(J46="Down 1",H45-1,IF(J46="Down 2",H45-2,IF(J46="Upgrade",H45+1,IF(J46="Inchangé",H45,VLOOKUP(J46,données!$CY$11:$CZ$19,2)))))</f>
        <v>5</v>
      </c>
      <c r="K45" s="20" t="s">
        <v>1</v>
      </c>
      <c r="L45" s="8">
        <f>IF(L46="Down 1",J45-1,IF(L46="Down 2",J45-2,IF(L46="Upgrade",J45+1,IF(L46="Inchangé",J45,VLOOKUP(L46,données!$CY$11:$CZ$19,2)))))</f>
        <v>5</v>
      </c>
      <c r="M45" s="20" t="s">
        <v>1</v>
      </c>
      <c r="N45" s="8">
        <f>IF(N46="Down 1",L45-1,IF(N46="Down 2",L45-2,IF(N46="Upgrade",L45+1,IF(N46="Inchangé",L45,VLOOKUP(N46,données!$CY$11:$CZ$19,2)))))</f>
        <v>5</v>
      </c>
      <c r="O45" s="20" t="s">
        <v>1</v>
      </c>
      <c r="P45" s="8">
        <f>IF(P46="Down 1",N45-1,IF(P46="Down 2",N45-2,IF(P46="Upgrade",N45+1,IF(P46="Inchangé",N45,VLOOKUP(P46,données!$CY$11:$CZ$19,2)))))</f>
        <v>5</v>
      </c>
      <c r="Q45" s="20" t="s">
        <v>1</v>
      </c>
      <c r="R45" s="8">
        <f>IF(R46="Down 1",P45-1,IF(R46="Down 2",P45-2,IF(R46="Upgrade",P45+1,IF(R46="Inchangé",P45,VLOOKUP(R46,données!$CY$11:$CZ$19,2)))))</f>
        <v>5</v>
      </c>
      <c r="S45" s="20" t="s">
        <v>1</v>
      </c>
      <c r="T45" s="8">
        <f>IF(T46="Down 1",R45-1,IF(T46="Down 2",R45-2,IF(T46="Upgrade",R45+1,IF(T46="Inchangé",R45,VLOOKUP(T46,données!$CY$11:$CZ$19,2)))))</f>
        <v>5</v>
      </c>
      <c r="U45" s="20" t="s">
        <v>1</v>
      </c>
      <c r="V45" s="8">
        <f>IF(V46="Down 1",T45-1,IF(V46="Down 2",T45-2,IF(V46="Upgrade",T45+1,IF(V46="Inchangé",T45,VLOOKUP(V46,données!$CY$11:$CZ$19,2)))))</f>
        <v>5</v>
      </c>
      <c r="W45" s="20" t="s">
        <v>1</v>
      </c>
      <c r="X45" s="8">
        <f>IF(X46="Down 1",V45-1,IF(X46="Down 2",V45-2,IF(X46="Upgrade",V45+1,IF(X46="Inchangé",V45,VLOOKUP(X46,données!$CY$11:$CZ$19,2)))))</f>
        <v>5</v>
      </c>
      <c r="Y45" s="20" t="s">
        <v>1</v>
      </c>
      <c r="Z45" s="8">
        <f>IF(Z46="Down 1",X45-1,IF(Z46="Down 2",X45-2,IF(Z46="Upgrade",X45+1,IF(Z46="Inchangé",X45,VLOOKUP(Z46,données!$CY$11:$CZ$19,2)))))</f>
        <v>5</v>
      </c>
      <c r="AA45" s="20" t="s">
        <v>1</v>
      </c>
      <c r="AB45" s="8">
        <f>IF(AB46="Down 1",Z45-1,IF(AB46="Down 2",Z45-2,IF(AB46="Upgrade",Z45+1,IF(AB46="Inchangé",Z45,VLOOKUP(AB46,données!$CY$11:$CZ$19,2)))))</f>
        <v>5</v>
      </c>
      <c r="AC45" s="20" t="s">
        <v>1</v>
      </c>
      <c r="AD45" s="8">
        <f>IF(AD46="Down 1",AB45-1,IF(AD46="Down 2",AB45-2,IF(AD46="Upgrade",AB45+1,IF(AD46="Inchangé",AB45,VLOOKUP(AD46,données!$CY$11:$CZ$19,2)))))</f>
        <v>5</v>
      </c>
      <c r="AE45" s="20" t="s">
        <v>1</v>
      </c>
      <c r="AF45" s="8">
        <f>IF(AF46="Down 1",AD45-1,IF(AF46="Down 2",AD45-2,IF(AF46="Upgrade",AD45+1,IF(AF46="Inchangé",AD45,VLOOKUP(AF46,données!$CY$11:$CZ$19,2)))))</f>
        <v>5</v>
      </c>
      <c r="AG45" s="20" t="s">
        <v>1</v>
      </c>
      <c r="AH45" s="8">
        <f>IF(AH46="Down 1",AF45-1,IF(AH46="Down 2",AF45-2,IF(AH46="Upgrade",AF45+1,IF(AH46="Inchangé",AF45,VLOOKUP(AH46,données!$CY$11:$CZ$19,2)))))</f>
        <v>5</v>
      </c>
      <c r="AI45" s="20" t="s">
        <v>1</v>
      </c>
      <c r="AJ45" s="8">
        <f>IF(AJ46="Down 1",AH45-1,IF(AJ46="Down 2",AH45-2,IF(AJ46="Upgrade",AH45+1,IF(AJ46="Inchangé",AH45,VLOOKUP(AJ46,données!$CY$11:$CZ$19,2)))))</f>
        <v>5</v>
      </c>
      <c r="AK45" s="20" t="s">
        <v>1</v>
      </c>
      <c r="AL45" s="15">
        <v>5</v>
      </c>
      <c r="AM45" t="s">
        <v>59</v>
      </c>
      <c r="AN45" s="11">
        <v>5</v>
      </c>
      <c r="AP45">
        <v>7</v>
      </c>
    </row>
    <row r="46" spans="1:45">
      <c r="A46" s="5"/>
      <c r="B46" s="5" t="s">
        <v>60</v>
      </c>
      <c r="C46" s="20"/>
      <c r="D46" s="21"/>
      <c r="E46" s="22"/>
      <c r="F46" s="23" t="s">
        <v>61</v>
      </c>
      <c r="G46" s="22"/>
      <c r="H46" s="23" t="s">
        <v>61</v>
      </c>
      <c r="I46" s="22"/>
      <c r="J46" s="23" t="s">
        <v>61</v>
      </c>
      <c r="K46" s="22"/>
      <c r="L46" s="23" t="s">
        <v>61</v>
      </c>
      <c r="M46" s="22"/>
      <c r="N46" s="23" t="s">
        <v>61</v>
      </c>
      <c r="O46" s="22"/>
      <c r="P46" s="23" t="s">
        <v>61</v>
      </c>
      <c r="Q46" s="22"/>
      <c r="R46" s="23" t="s">
        <v>61</v>
      </c>
      <c r="S46" s="22"/>
      <c r="T46" s="23" t="s">
        <v>61</v>
      </c>
      <c r="U46" s="22"/>
      <c r="V46" s="23" t="s">
        <v>61</v>
      </c>
      <c r="W46" s="22"/>
      <c r="X46" s="23" t="s">
        <v>61</v>
      </c>
      <c r="Y46" s="22"/>
      <c r="Z46" s="23" t="s">
        <v>61</v>
      </c>
      <c r="AA46" s="22"/>
      <c r="AB46" s="23" t="s">
        <v>61</v>
      </c>
      <c r="AC46" s="22"/>
      <c r="AD46" s="23" t="s">
        <v>61</v>
      </c>
      <c r="AE46" s="22"/>
      <c r="AF46" s="23" t="s">
        <v>61</v>
      </c>
      <c r="AG46" s="22"/>
      <c r="AH46" s="23" t="s">
        <v>61</v>
      </c>
      <c r="AI46" s="22"/>
      <c r="AJ46" s="23" t="s">
        <v>61</v>
      </c>
      <c r="AK46" s="22"/>
      <c r="AL46" s="15">
        <f ca="1">OFFSET(données!$BM$11,0,AL45)*AL44</f>
        <v>2400.4520000000002</v>
      </c>
      <c r="AM46" t="s">
        <v>52</v>
      </c>
      <c r="AN46">
        <f ca="1">OFFSET(données!$BM$11,0,AN45)*AN44</f>
        <v>3600.6780000000003</v>
      </c>
      <c r="AP46">
        <f ca="1">OFFSET(données!$BM$11,0,AP45)*AP44</f>
        <v>7364.0240000000003</v>
      </c>
    </row>
    <row r="47" spans="1:45">
      <c r="A47" s="19" t="s">
        <v>70</v>
      </c>
      <c r="B47" s="16" t="s">
        <v>55</v>
      </c>
      <c r="C47" s="17" t="s">
        <v>1</v>
      </c>
      <c r="D47" s="18">
        <v>0</v>
      </c>
      <c r="E47" s="17"/>
      <c r="F47" s="18">
        <f>IF(F50="Inchangé",IF(COUNT(E48)=0,D48,E48),IF(F50="Down 1",IF(COUNT(E48)=0,D48,E48)-VLOOKUP(IF(COUNT(E48)=0,D48,E48),upgrade!$A$4:$B$102,2),IF(F50="Down 2",IF(COUNT(E48)=0,D48,E48)-2*VLOOKUP(IF(COUNT(E48)=0,D48,E48),upgrade!$A$4:$B$102,2),0)))</f>
        <v>14.944691478171881</v>
      </c>
      <c r="G47" s="17"/>
      <c r="H47" s="18">
        <f>IF(H50="Inchangé",IF(COUNT(G48)=0,F48,G48),IF(H50="Down 1",IF(COUNT(G48)=0,F48,G48)-VLOOKUP(IF(COUNT(G48)=0,F48,G48),upgrade!$A$4:$B$102,2),IF(H50="Down 2",IF(COUNT(G48)=0,F48,G48)-2*VLOOKUP(IF(COUNT(G48)=0,F48,G48),upgrade!$A$4:$B$102,2),0)))</f>
        <v>29.09956637845233</v>
      </c>
      <c r="I47" s="17"/>
      <c r="J47" s="18">
        <f>IF(J50="Inchangé",IF(COUNT(I48)=0,H48,I48),IF(J50="Down 1",IF(COUNT(I48)=0,H48,I48)-VLOOKUP(IF(COUNT(I48)=0,H48,I48),upgrade!$A$4:$B$102,2),IF(J50="Down 2",IF(COUNT(I48)=0,H48,I48)-2*VLOOKUP(IF(COUNT(I48)=0,H48,I48),upgrade!$A$4:$B$102,2),0)))</f>
        <v>38.698895452194769</v>
      </c>
      <c r="K47" s="17"/>
      <c r="L47" s="18">
        <f>IF(L50="Inchangé",IF(COUNT(K48)=0,J48,K48),IF(L50="Down 1",IF(COUNT(K48)=0,J48,K48)-VLOOKUP(IF(COUNT(K48)=0,J48,K48),upgrade!$A$4:$B$102,2),IF(L50="Down 2",IF(COUNT(K48)=0,J48,K48)-2*VLOOKUP(IF(COUNT(K48)=0,J48,K48),upgrade!$A$4:$B$102,2),0)))</f>
        <v>51.885256760709431</v>
      </c>
      <c r="M47" s="17"/>
      <c r="N47" s="18">
        <f>IF(N50="Inchangé",IF(COUNT(M48)=0,L48,M48),IF(N50="Down 1",IF(COUNT(M48)=0,L48,M48)-VLOOKUP(IF(COUNT(M48)=0,L48,M48),upgrade!$A$4:$B$102,2),IF(N50="Down 2",IF(COUNT(M48)=0,L48,M48)-2*VLOOKUP(IF(COUNT(M48)=0,L48,M48),upgrade!$A$4:$B$102,2),0)))</f>
        <v>53.385256760709431</v>
      </c>
      <c r="O47" s="17"/>
      <c r="P47" s="18">
        <f>IF(P50="Inchangé",IF(COUNT(O48)=0,N48,O48),IF(P50="Down 1",IF(COUNT(O48)=0,N48,O48)-VLOOKUP(IF(COUNT(O48)=0,N48,O48),upgrade!$A$4:$B$102,2),IF(P50="Down 2",IF(COUNT(O48)=0,N48,O48)-2*VLOOKUP(IF(COUNT(O48)=0,N48,O48),upgrade!$A$4:$B$102,2),0)))</f>
        <v>69.161493358970461</v>
      </c>
      <c r="Q47" s="17"/>
      <c r="R47" s="18">
        <f>IF(R50="Inchangé",IF(COUNT(Q48)=0,P48,Q48),IF(R50="Down 1",IF(COUNT(Q48)=0,P48,Q48)-VLOOKUP(IF(COUNT(Q48)=0,P48,Q48),upgrade!$A$4:$B$102,2),IF(R50="Down 2",IF(COUNT(Q48)=0,P48,Q48)-2*VLOOKUP(IF(COUNT(Q48)=0,P48,Q48),upgrade!$A$4:$B$102,2),0)))</f>
        <v>84.109242156567475</v>
      </c>
      <c r="S47" s="17"/>
      <c r="T47" s="18">
        <f>IF(T50="Inchangé",IF(COUNT(S48)=0,R48,S48),IF(T50="Down 1",IF(COUNT(S48)=0,R48,S48)-VLOOKUP(IF(COUNT(S48)=0,R48,S48),upgrade!$A$4:$B$102,2),IF(T50="Down 2",IF(COUNT(S48)=0,R48,S48)-2*VLOOKUP(IF(COUNT(S48)=0,R48,S48),upgrade!$A$4:$B$102,2),0)))</f>
        <v>103.54461652334805</v>
      </c>
      <c r="U47" s="17"/>
      <c r="V47" s="18">
        <f>IF(V50="Inchangé",IF(COUNT(U48)=0,T48,U48),IF(V50="Down 1",IF(COUNT(U48)=0,T48,U48)-VLOOKUP(IF(COUNT(U48)=0,T48,U48),upgrade!$A$4:$B$102,2),IF(V50="Down 2",IF(COUNT(U48)=0,T48,U48)-2*VLOOKUP(IF(COUNT(U48)=0,T48,U48),upgrade!$A$4:$B$102,2),0)))</f>
        <v>118.27487435298586</v>
      </c>
      <c r="W47" s="17"/>
      <c r="X47" s="18">
        <f>IF(X50="Inchangé",IF(COUNT(W48)=0,V48,W48),IF(X50="Down 1",IF(COUNT(W48)=0,V48,W48)-VLOOKUP(IF(COUNT(W48)=0,V48,W48),upgrade!$A$4:$B$102,2),IF(X50="Down 2",IF(COUNT(W48)=0,V48,W48)-2*VLOOKUP(IF(COUNT(W48)=0,V48,W48),upgrade!$A$4:$B$102,2),0)))</f>
        <v>131.36160119215782</v>
      </c>
      <c r="Y47" s="17"/>
      <c r="Z47" s="18">
        <f>IF(Z50="Inchangé",IF(COUNT(Y48)=0,X48,Y48),IF(Z50="Down 1",IF(COUNT(Y48)=0,X48,Y48)-VLOOKUP(IF(COUNT(Y48)=0,X48,Y48),upgrade!$A$4:$B$102,2),IF(Z50="Down 2",IF(COUNT(Y48)=0,X48,Y48)-2*VLOOKUP(IF(COUNT(Y48)=0,X48,Y48),upgrade!$A$4:$B$102,2),0)))</f>
        <v>152.07284337744628</v>
      </c>
      <c r="AA47" s="17"/>
      <c r="AB47" s="18">
        <f>IF(AB50="Inchangé",IF(COUNT(AA48)=0,Z48,AA48),IF(AB50="Down 1",IF(COUNT(AA48)=0,Z48,AA48)-VLOOKUP(IF(COUNT(AA48)=0,Z48,AA48),upgrade!$A$4:$B$102,2),IF(AB50="Down 2",IF(COUNT(AA48)=0,Z48,AA48)-2*VLOOKUP(IF(COUNT(AA48)=0,Z48,AA48),upgrade!$A$4:$B$102,2),0)))</f>
        <v>166.1951634291313</v>
      </c>
      <c r="AC47" s="17"/>
      <c r="AD47" s="18">
        <f>IF(AD50="Inchangé",IF(COUNT(AC48)=0,AB48,AC48),IF(AD50="Down 1",IF(COUNT(AC48)=0,AB48,AC48)-VLOOKUP(IF(COUNT(AC48)=0,AB48,AC48),upgrade!$A$4:$B$102,2),IF(AD50="Down 2",IF(COUNT(AC48)=0,AB48,AC48)-2*VLOOKUP(IF(COUNT(AC48)=0,AB48,AC48),upgrade!$A$4:$B$102,2),0)))</f>
        <v>184.82137642359203</v>
      </c>
      <c r="AE47" s="17"/>
      <c r="AF47" s="18">
        <f>IF(AF50="Inchangé",IF(COUNT(AE48)=0,AD48,AE48),IF(AF50="Down 1",IF(COUNT(AE48)=0,AD48,AE48)-VLOOKUP(IF(COUNT(AE48)=0,AD48,AE48),upgrade!$A$4:$B$102,2),IF(AF50="Down 2",IF(COUNT(AE48)=0,AD48,AE48)-2*VLOOKUP(IF(COUNT(AE48)=0,AD48,AE48),upgrade!$A$4:$B$102,2),0)))</f>
        <v>198.94741068058659</v>
      </c>
      <c r="AG47" s="17"/>
      <c r="AH47" s="18">
        <f>IF(AH50="Inchangé",IF(COUNT(AG48)=0,AF48,AG48),IF(AH50="Down 1",IF(COUNT(AG48)=0,AF48,AG48)-VLOOKUP(IF(COUNT(AG48)=0,AF48,AG48),upgrade!$A$4:$B$102,2),IF(AH50="Down 2",IF(COUNT(AG48)=0,AF48,AG48)-2*VLOOKUP(IF(COUNT(AG48)=0,AF48,AG48),upgrade!$A$4:$B$102,2),0)))</f>
        <v>214.28954767255215</v>
      </c>
      <c r="AI47" s="17"/>
      <c r="AJ47" s="18">
        <f>IF(AJ50="Inchangé",IF(COUNT(AI48)=0,AH48,AI48),IF(AJ50="Down 1",IF(COUNT(AI48)=0,AH48,AI48)-VLOOKUP(IF(COUNT(AI48)=0,AH48,AI48),upgrade!$A$4:$B$102,2),IF(AJ50="Down 2",IF(COUNT(AI48)=0,AH48,AI48)-2*VLOOKUP(IF(COUNT(AI48)=0,AH48,AI48),upgrade!$A$4:$B$102,2),0)))</f>
        <v>234.59864805491668</v>
      </c>
      <c r="AK47" s="17"/>
      <c r="AL47" s="19" t="str">
        <f>données!BM12</f>
        <v>ponton</v>
      </c>
      <c r="AN47">
        <v>250</v>
      </c>
      <c r="AO47">
        <f>données!C19*AO48</f>
        <v>40</v>
      </c>
      <c r="AP47">
        <f>AO47+AN47</f>
        <v>290</v>
      </c>
    </row>
    <row r="48" spans="1:45">
      <c r="A48" s="15" t="s">
        <v>1</v>
      </c>
      <c r="B48" s="5" t="s">
        <v>56</v>
      </c>
      <c r="C48" s="20"/>
      <c r="D48" s="8">
        <f>D47+IF(D$22="Aucun",0,données!$C$19*D$23/100)+données!E19</f>
        <v>14.944691478171881</v>
      </c>
      <c r="E48" s="9" t="s">
        <v>1</v>
      </c>
      <c r="F48" s="8">
        <f>F47+IF(F$22="Aucun",0,données!$C$19*F$23/100)+données!G19</f>
        <v>29.09956637845233</v>
      </c>
      <c r="G48" s="9" t="s">
        <v>1</v>
      </c>
      <c r="H48" s="8">
        <f>H47+IF(H$22="Aucun",0,données!$C$19*H$23/100)+données!I19</f>
        <v>38.698895452194769</v>
      </c>
      <c r="I48" s="9" t="s">
        <v>1</v>
      </c>
      <c r="J48" s="8">
        <f>J47+IF(J$22="Aucun",0,données!$C$19*J$23/100)+données!K19</f>
        <v>51.885256760709431</v>
      </c>
      <c r="K48" s="9" t="s">
        <v>1</v>
      </c>
      <c r="L48" s="8">
        <f>L47+IF(L$22="Aucun",0,données!$C$19*L$23/100)+données!M19</f>
        <v>53.385256760709431</v>
      </c>
      <c r="M48" s="9" t="s">
        <v>1</v>
      </c>
      <c r="N48" s="8">
        <f>N47+IF(N$22="Aucun",0,données!$C$19*N$23/100)+données!O19</f>
        <v>69.161493358970461</v>
      </c>
      <c r="O48" s="9" t="s">
        <v>1</v>
      </c>
      <c r="P48" s="8">
        <f>P47+IF(P$22="Aucun",0,données!$C$19*P$23/100)+données!Q19</f>
        <v>84.109242156567475</v>
      </c>
      <c r="Q48" s="9" t="s">
        <v>1</v>
      </c>
      <c r="R48" s="8">
        <f>R47+IF(R$22="Aucun",0,données!$C$19*R$23/100)+données!S19</f>
        <v>103.54461652334805</v>
      </c>
      <c r="S48" s="9" t="s">
        <v>1</v>
      </c>
      <c r="T48" s="8">
        <f>T47+IF(T$22="Aucun",0,données!$C$19*T$23/100)+données!U19</f>
        <v>118.27487435298586</v>
      </c>
      <c r="U48" s="9" t="s">
        <v>1</v>
      </c>
      <c r="V48" s="8">
        <f>V47+IF(V$22="Aucun",0,données!$C$19*V$23/100)+données!W19</f>
        <v>131.36160119215782</v>
      </c>
      <c r="W48" s="9" t="s">
        <v>1</v>
      </c>
      <c r="X48" s="8">
        <f>X47+IF(X$22="Aucun",0,données!$C$19*X$23/100)+données!Y19</f>
        <v>152.07284337744628</v>
      </c>
      <c r="Y48" s="9" t="s">
        <v>1</v>
      </c>
      <c r="Z48" s="8">
        <f>Z47+IF(Z$22="Aucun",0,données!$C$19*Z$23/100)+données!AA19</f>
        <v>166.1951634291313</v>
      </c>
      <c r="AA48" s="9" t="s">
        <v>1</v>
      </c>
      <c r="AB48" s="8">
        <f>AB47+IF(AB$22="Aucun",0,données!$C$19*AB$23/100)+données!AC19</f>
        <v>184.82137642359203</v>
      </c>
      <c r="AC48" s="9" t="s">
        <v>1</v>
      </c>
      <c r="AD48" s="8">
        <f>AD47+IF(AD$22="Aucun",0,données!$C$19*AD$23/100)+données!AE19</f>
        <v>198.94741068058659</v>
      </c>
      <c r="AE48" s="9" t="s">
        <v>1</v>
      </c>
      <c r="AF48" s="8">
        <f>AF47+IF(AF$22="Aucun",0,données!$C$19*AF$23/100)+données!AG19</f>
        <v>214.28954767255215</v>
      </c>
      <c r="AG48" s="9" t="s">
        <v>1</v>
      </c>
      <c r="AH48" s="8">
        <f>AH47+IF(AH$22="Aucun",0,données!$C$19*AH$23/100)+données!AI19</f>
        <v>234.59864805491668</v>
      </c>
      <c r="AI48" s="9" t="s">
        <v>1</v>
      </c>
      <c r="AJ48" s="8">
        <f>AJ47+IF(AJ$22="Aucun",0,données!$C$19*AJ$23/100)+données!AK19</f>
        <v>247.60978636905153</v>
      </c>
      <c r="AK48" s="9" t="s">
        <v>1</v>
      </c>
      <c r="AL48" s="15">
        <v>2</v>
      </c>
      <c r="AM48" t="s">
        <v>57</v>
      </c>
      <c r="AN48" s="10">
        <v>3</v>
      </c>
      <c r="AO48">
        <f>AO44</f>
        <v>4</v>
      </c>
      <c r="AP48">
        <v>3</v>
      </c>
      <c r="AQ48">
        <v>292</v>
      </c>
      <c r="AR48">
        <v>281</v>
      </c>
      <c r="AS48" s="20" t="e">
        <f>E48-D48+G48-F48+I48-H48+K48-J48+M48-L48+O48-N48+Q48-P48+S48-R48+U48-T48+W48-V48+Y48-X48+AA48-Z48</f>
        <v>#VALUE!</v>
      </c>
    </row>
    <row r="49" spans="1:46">
      <c r="A49" s="15" t="s">
        <v>1</v>
      </c>
      <c r="B49" s="5" t="s">
        <v>58</v>
      </c>
      <c r="C49" s="10">
        <v>5</v>
      </c>
      <c r="D49" s="8">
        <f>C49</f>
        <v>5</v>
      </c>
      <c r="E49" s="20" t="s">
        <v>1</v>
      </c>
      <c r="F49" s="8">
        <f>IF(F50="Down 1",D49-1,IF(F50="Down 2",D49-2,IF(F50="Upgrade",D49+1,IF(F50="Inchangé",D49,VLOOKUP(F50,données!$CY$11:$CZ$19,2)))))</f>
        <v>5</v>
      </c>
      <c r="G49" s="20" t="s">
        <v>1</v>
      </c>
      <c r="H49" s="8">
        <f>IF(H50="Down 1",F49-1,IF(H50="Down 2",F49-2,IF(H50="Upgrade",F49+1,IF(H50="Inchangé",F49,VLOOKUP(H50,données!$CY$11:$CZ$19,2)))))</f>
        <v>5</v>
      </c>
      <c r="I49" s="20" t="s">
        <v>1</v>
      </c>
      <c r="J49" s="8">
        <f>IF(J50="Down 1",H49-1,IF(J50="Down 2",H49-2,IF(J50="Upgrade",H49+1,IF(J50="Inchangé",H49,VLOOKUP(J50,données!$CY$11:$CZ$19,2)))))</f>
        <v>5</v>
      </c>
      <c r="K49" s="20" t="s">
        <v>1</v>
      </c>
      <c r="L49" s="8">
        <f>IF(L50="Down 1",J49-1,IF(L50="Down 2",J49-2,IF(L50="Upgrade",J49+1,IF(L50="Inchangé",J49,VLOOKUP(L50,données!$CY$11:$CZ$19,2)))))</f>
        <v>5</v>
      </c>
      <c r="M49" s="20" t="s">
        <v>1</v>
      </c>
      <c r="N49" s="8">
        <f>IF(N50="Down 1",L49-1,IF(N50="Down 2",L49-2,IF(N50="Upgrade",L49+1,IF(N50="Inchangé",L49,VLOOKUP(N50,données!$CY$11:$CZ$19,2)))))</f>
        <v>5</v>
      </c>
      <c r="O49" s="20" t="s">
        <v>1</v>
      </c>
      <c r="P49" s="8">
        <f>IF(P50="Down 1",N49-1,IF(P50="Down 2",N49-2,IF(P50="Upgrade",N49+1,IF(P50="Inchangé",N49,VLOOKUP(P50,données!$CY$11:$CZ$19,2)))))</f>
        <v>5</v>
      </c>
      <c r="Q49" s="20" t="s">
        <v>1</v>
      </c>
      <c r="R49" s="8">
        <f>IF(R50="Down 1",P49-1,IF(R50="Down 2",P49-2,IF(R50="Upgrade",P49+1,IF(R50="Inchangé",P49,VLOOKUP(R50,données!$CY$11:$CZ$19,2)))))</f>
        <v>5</v>
      </c>
      <c r="S49" s="20" t="s">
        <v>1</v>
      </c>
      <c r="T49" s="8">
        <f>IF(T50="Down 1",R49-1,IF(T50="Down 2",R49-2,IF(T50="Upgrade",R49+1,IF(T50="Inchangé",R49,VLOOKUP(T50,données!$CY$11:$CZ$19,2)))))</f>
        <v>5</v>
      </c>
      <c r="U49" s="20" t="s">
        <v>1</v>
      </c>
      <c r="V49" s="8">
        <f>IF(V50="Down 1",T49-1,IF(V50="Down 2",T49-2,IF(V50="Upgrade",T49+1,IF(V50="Inchangé",T49,VLOOKUP(V50,données!$CY$11:$CZ$19,2)))))</f>
        <v>5</v>
      </c>
      <c r="W49" s="20" t="s">
        <v>1</v>
      </c>
      <c r="X49" s="8">
        <f>IF(X50="Down 1",V49-1,IF(X50="Down 2",V49-2,IF(X50="Upgrade",V49+1,IF(X50="Inchangé",V49,VLOOKUP(X50,données!$CY$11:$CZ$19,2)))))</f>
        <v>5</v>
      </c>
      <c r="Y49" s="20" t="s">
        <v>1</v>
      </c>
      <c r="Z49" s="8">
        <f>IF(Z50="Down 1",X49-1,IF(Z50="Down 2",X49-2,IF(Z50="Upgrade",X49+1,IF(Z50="Inchangé",X49,VLOOKUP(Z50,données!$CY$11:$CZ$19,2)))))</f>
        <v>5</v>
      </c>
      <c r="AA49" s="20" t="s">
        <v>1</v>
      </c>
      <c r="AB49" s="8">
        <f>IF(AB50="Down 1",Z49-1,IF(AB50="Down 2",Z49-2,IF(AB50="Upgrade",Z49+1,IF(AB50="Inchangé",Z49,VLOOKUP(AB50,données!$CY$11:$CZ$19,2)))))</f>
        <v>5</v>
      </c>
      <c r="AC49" s="20" t="s">
        <v>1</v>
      </c>
      <c r="AD49" s="8">
        <f>IF(AD50="Down 1",AB49-1,IF(AD50="Down 2",AB49-2,IF(AD50="Upgrade",AB49+1,IF(AD50="Inchangé",AB49,VLOOKUP(AD50,données!$CY$11:$CZ$19,2)))))</f>
        <v>5</v>
      </c>
      <c r="AE49" s="20" t="s">
        <v>1</v>
      </c>
      <c r="AF49" s="8">
        <f>IF(AF50="Down 1",AD49-1,IF(AF50="Down 2",AD49-2,IF(AF50="Upgrade",AD49+1,IF(AF50="Inchangé",AD49,VLOOKUP(AF50,données!$CY$11:$CZ$19,2)))))</f>
        <v>5</v>
      </c>
      <c r="AG49" s="20" t="s">
        <v>1</v>
      </c>
      <c r="AH49" s="8">
        <f>IF(AH50="Down 1",AF49-1,IF(AH50="Down 2",AF49-2,IF(AH50="Upgrade",AF49+1,IF(AH50="Inchangé",AF49,VLOOKUP(AH50,données!$CY$11:$CZ$19,2)))))</f>
        <v>5</v>
      </c>
      <c r="AI49" s="20" t="s">
        <v>1</v>
      </c>
      <c r="AJ49" s="8">
        <f>IF(AJ50="Down 1",AH49-1,IF(AJ50="Down 2",AH49-2,IF(AJ50="Upgrade",AH49+1,IF(AJ50="Inchangé",AH49,VLOOKUP(AJ50,données!$CY$11:$CZ$19,2)))))</f>
        <v>5</v>
      </c>
      <c r="AK49" s="20" t="s">
        <v>1</v>
      </c>
      <c r="AL49" s="15">
        <v>5</v>
      </c>
      <c r="AM49" t="s">
        <v>59</v>
      </c>
      <c r="AN49" s="11">
        <v>5</v>
      </c>
      <c r="AP49">
        <v>7</v>
      </c>
    </row>
    <row r="50" spans="1:46">
      <c r="A50" s="24"/>
      <c r="B50" s="5" t="s">
        <v>60</v>
      </c>
      <c r="C50" s="25"/>
      <c r="D50" s="26"/>
      <c r="E50" s="27"/>
      <c r="F50" s="23" t="s">
        <v>61</v>
      </c>
      <c r="G50" s="27"/>
      <c r="H50" s="23" t="s">
        <v>61</v>
      </c>
      <c r="I50" s="27"/>
      <c r="J50" s="23" t="s">
        <v>61</v>
      </c>
      <c r="K50" s="27"/>
      <c r="L50" s="23" t="s">
        <v>61</v>
      </c>
      <c r="M50" s="27"/>
      <c r="N50" s="23" t="s">
        <v>61</v>
      </c>
      <c r="O50" s="27"/>
      <c r="P50" s="23" t="s">
        <v>61</v>
      </c>
      <c r="Q50" s="27"/>
      <c r="R50" s="23" t="s">
        <v>61</v>
      </c>
      <c r="S50" s="27"/>
      <c r="T50" s="23" t="s">
        <v>61</v>
      </c>
      <c r="U50" s="27"/>
      <c r="V50" s="23" t="s">
        <v>61</v>
      </c>
      <c r="W50" s="27"/>
      <c r="X50" s="23" t="s">
        <v>61</v>
      </c>
      <c r="Y50" s="27"/>
      <c r="Z50" s="23" t="s">
        <v>61</v>
      </c>
      <c r="AA50" s="27"/>
      <c r="AB50" s="23" t="s">
        <v>61</v>
      </c>
      <c r="AC50" s="27"/>
      <c r="AD50" s="23" t="s">
        <v>61</v>
      </c>
      <c r="AE50" s="27"/>
      <c r="AF50" s="23" t="s">
        <v>61</v>
      </c>
      <c r="AG50" s="27"/>
      <c r="AH50" s="23" t="s">
        <v>61</v>
      </c>
      <c r="AI50" s="27"/>
      <c r="AJ50" s="23" t="s">
        <v>61</v>
      </c>
      <c r="AK50" s="27"/>
      <c r="AL50" s="24">
        <f ca="1">OFFSET(données!$BM$12,0,AL49)*AL48</f>
        <v>2163.7759999999998</v>
      </c>
      <c r="AM50" t="s">
        <v>52</v>
      </c>
      <c r="AN50">
        <f ca="1">OFFSET(données!$BM$12,0,AN49)*AN48</f>
        <v>3245.6639999999998</v>
      </c>
      <c r="AP50">
        <f ca="1">OFFSET(données!$BM$12,0,AP49)*AP48</f>
        <v>4978.4670000000006</v>
      </c>
    </row>
    <row r="51" spans="1:46">
      <c r="A51" s="5" t="s">
        <v>71</v>
      </c>
      <c r="B51" s="5" t="s">
        <v>55</v>
      </c>
      <c r="C51" s="20" t="s">
        <v>1</v>
      </c>
      <c r="D51" s="18">
        <v>0</v>
      </c>
      <c r="E51" s="17" t="s">
        <v>1</v>
      </c>
      <c r="F51" s="18">
        <f>IF(F54="Inchangé",IF(COUNT(E52)=0,D52,E52),IF(F54="Down 1",IF(COUNT(E52)=0,D52,E52)-VLOOKUP(IF(COUNT(E52)=0,D52,E52),upgrade!$A$4:$B$102,2),IF(F54="Down 2",IF(COUNT(E52)=0,D52,E52)-2*VLOOKUP(IF(COUNT(E52)=0,D52,E52),upgrade!$A$4:$B$102,2),0)))</f>
        <v>13.752235898451595</v>
      </c>
      <c r="G51" s="17" t="s">
        <v>1</v>
      </c>
      <c r="H51" s="18">
        <f>IF(H54="Inchangé",IF(COUNT(G52)=0,F52,G52),IF(H54="Down 1",IF(COUNT(G52)=0,F52,G52)-VLOOKUP(IF(COUNT(G52)=0,F52,G52),upgrade!$A$4:$B$102,2),IF(H54="Down 2",IF(COUNT(G52)=0,F52,G52)-2*VLOOKUP(IF(COUNT(G52)=0,F52,G52),upgrade!$A$4:$B$102,2),0)))</f>
        <v>27.149661527276933</v>
      </c>
      <c r="I51" s="17" t="s">
        <v>1</v>
      </c>
      <c r="J51" s="18">
        <f>IF(J54="Inchangé",IF(COUNT(I52)=0,H52,I52),IF(J54="Down 1",IF(COUNT(I52)=0,H52,I52)-VLOOKUP(IF(COUNT(I52)=0,H52,I52),upgrade!$A$4:$B$102,2),IF(J54="Down 2",IF(COUNT(I52)=0,H52,I52)-2*VLOOKUP(IF(COUNT(I52)=0,H52,I52),upgrade!$A$4:$B$102,2),0)))</f>
        <v>40.035191433751336</v>
      </c>
      <c r="K51" s="17" t="s">
        <v>1</v>
      </c>
      <c r="L51" s="18">
        <f>IF(L54="Inchangé",IF(COUNT(K52)=0,J52,K52),IF(L54="Down 1",IF(COUNT(K52)=0,J52,K52)-VLOOKUP(IF(COUNT(K52)=0,J52,K52),upgrade!$A$4:$B$102,2),IF(L54="Down 2",IF(COUNT(K52)=0,J52,K52)-2*VLOOKUP(IF(COUNT(K52)=0,J52,K52),upgrade!$A$4:$B$102,2),0)))</f>
        <v>57.600495176006092</v>
      </c>
      <c r="M51" s="17" t="s">
        <v>1</v>
      </c>
      <c r="N51" s="18">
        <f>IF(N54="Inchangé",IF(COUNT(M52)=0,L52,M52),IF(N54="Down 1",IF(COUNT(M52)=0,L52,M52)-VLOOKUP(IF(COUNT(M52)=0,L52,M52),upgrade!$A$4:$B$102,2),IF(N54="Down 2",IF(COUNT(M52)=0,L52,M52)-2*VLOOKUP(IF(COUNT(M52)=0,L52,M52),upgrade!$A$4:$B$102,2),0)))</f>
        <v>59.100495176006092</v>
      </c>
      <c r="O51" s="17" t="s">
        <v>1</v>
      </c>
      <c r="P51" s="18">
        <f>IF(P54="Inchangé",IF(COUNT(O52)=0,N52,O52),IF(P54="Down 1",IF(COUNT(O52)=0,N52,O52)-VLOOKUP(IF(COUNT(O52)=0,N52,O52),upgrade!$A$4:$B$102,2),IF(P54="Down 2",IF(COUNT(O52)=0,N52,O52)-2*VLOOKUP(IF(COUNT(O52)=0,N52,O52),upgrade!$A$4:$B$102,2),0)))</f>
        <v>80.070246417156085</v>
      </c>
      <c r="Q51" s="17" t="s">
        <v>1</v>
      </c>
      <c r="R51" s="18">
        <f>IF(R54="Inchangé",IF(COUNT(Q52)=0,P52,Q52),IF(R54="Down 1",IF(COUNT(Q52)=0,P52,Q52)-VLOOKUP(IF(COUNT(Q52)=0,P52,Q52),upgrade!$A$4:$B$102,2),IF(R54="Down 2",IF(COUNT(Q52)=0,P52,Q52)-2*VLOOKUP(IF(COUNT(Q52)=0,P52,Q52),upgrade!$A$4:$B$102,2),0)))</f>
        <v>99.975344399833858</v>
      </c>
      <c r="S51" s="17" t="s">
        <v>1</v>
      </c>
      <c r="T51" s="18">
        <f>IF(T54="Inchangé",IF(COUNT(S52)=0,R52,S52),IF(T54="Down 1",IF(COUNT(S52)=0,R52,S52)-VLOOKUP(IF(COUNT(S52)=0,R52,S52),upgrade!$A$4:$B$102,2),IF(T54="Down 2",IF(COUNT(S52)=0,R52,S52)-2*VLOOKUP(IF(COUNT(S52)=0,R52,S52),upgrade!$A$4:$B$102,2),0)))</f>
        <v>118.4743133349954</v>
      </c>
      <c r="U51" s="17" t="s">
        <v>1</v>
      </c>
      <c r="V51" s="18">
        <f>IF(V54="Inchangé",IF(COUNT(U52)=0,T52,U52),IF(V54="Down 1",IF(COUNT(U52)=0,T52,U52)-VLOOKUP(IF(COUNT(U52)=0,T52,U52),upgrade!$A$4:$B$102,2),IF(V54="Down 2",IF(COUNT(U52)=0,T52,U52)-2*VLOOKUP(IF(COUNT(U52)=0,T52,U52),upgrade!$A$4:$B$102,2),0)))</f>
        <v>136.99706735212533</v>
      </c>
      <c r="W51" s="17" t="s">
        <v>1</v>
      </c>
      <c r="X51" s="18">
        <f>IF(X54="Inchangé",IF(COUNT(W52)=0,V52,W52),IF(X54="Down 1",IF(COUNT(W52)=0,V52,W52)-VLOOKUP(IF(COUNT(W52)=0,V52,W52),upgrade!$A$4:$B$102,2),IF(X54="Down 2",IF(COUNT(W52)=0,V52,W52)-2*VLOOKUP(IF(COUNT(W52)=0,V52,W52),upgrade!$A$4:$B$102,2),0)))</f>
        <v>158.66847951446218</v>
      </c>
      <c r="Y51" s="17" t="s">
        <v>1</v>
      </c>
      <c r="Z51" s="18">
        <f>IF(Z54="Inchangé",IF(COUNT(Y52)=0,X52,Y52),IF(Z54="Down 1",IF(COUNT(Y52)=0,X52,Y52)-VLOOKUP(IF(COUNT(Y52)=0,X52,Y52),upgrade!$A$4:$B$102,2),IF(Z54="Down 2",IF(COUNT(Y52)=0,X52,Y52)-2*VLOOKUP(IF(COUNT(Y52)=0,X52,Y52),upgrade!$A$4:$B$102,2),0)))</f>
        <v>180.69333254183948</v>
      </c>
      <c r="AA51" s="17" t="s">
        <v>1</v>
      </c>
      <c r="AB51" s="18">
        <f>IF(AB54="Inchangé",IF(COUNT(AA52)=0,Z52,AA52),IF(AB54="Down 1",IF(COUNT(AA52)=0,Z52,AA52)-VLOOKUP(IF(COUNT(AA52)=0,Z52,AA52),upgrade!$A$4:$B$102,2),IF(AB54="Down 2",IF(COUNT(AA52)=0,Z52,AA52)-2*VLOOKUP(IF(COUNT(AA52)=0,Z52,AA52),upgrade!$A$4:$B$102,2),0)))</f>
        <v>195.20546046538445</v>
      </c>
      <c r="AC51" s="17" t="s">
        <v>1</v>
      </c>
      <c r="AD51" s="18">
        <f>IF(AD54="Inchangé",IF(COUNT(AC52)=0,AB52,AC52),IF(AD54="Down 1",IF(COUNT(AC52)=0,AB52,AC52)-VLOOKUP(IF(COUNT(AC52)=0,AB52,AC52),upgrade!$A$4:$B$102,2),IF(AD54="Down 2",IF(COUNT(AC52)=0,AB52,AC52)-2*VLOOKUP(IF(COUNT(AC52)=0,AB52,AC52),upgrade!$A$4:$B$102,2),0)))</f>
        <v>212.8457334631475</v>
      </c>
      <c r="AE51" s="17" t="s">
        <v>1</v>
      </c>
      <c r="AF51" s="18">
        <f>IF(AF54="Inchangé",IF(COUNT(AE52)=0,AD52,AE52),IF(AF54="Down 1",IF(COUNT(AE52)=0,AD52,AE52)-VLOOKUP(IF(COUNT(AE52)=0,AD52,AE52),upgrade!$A$4:$B$102,2),IF(AF54="Down 2",IF(COUNT(AE52)=0,AD52,AE52)-2*VLOOKUP(IF(COUNT(AE52)=0,AD52,AE52),upgrade!$A$4:$B$102,2),0)))</f>
        <v>228.87256940556179</v>
      </c>
      <c r="AG51" s="17" t="s">
        <v>1</v>
      </c>
      <c r="AH51" s="18">
        <f>IF(AH54="Inchangé",IF(COUNT(AG52)=0,AF52,AG52),IF(AH54="Down 1",IF(COUNT(AG52)=0,AF52,AG52)-VLOOKUP(IF(COUNT(AG52)=0,AF52,AG52),upgrade!$A$4:$B$102,2),IF(AH54="Down 2",IF(COUNT(AG52)=0,AF52,AG52)-2*VLOOKUP(IF(COUNT(AG52)=0,AF52,AG52),upgrade!$A$4:$B$102,2),0)))</f>
        <v>243.84683204988517</v>
      </c>
      <c r="AI51" s="17" t="s">
        <v>1</v>
      </c>
      <c r="AJ51" s="18">
        <f>IF(AJ54="Inchangé",IF(COUNT(AI52)=0,AH52,AI52),IF(AJ54="Down 1",IF(COUNT(AI52)=0,AH52,AI52)-VLOOKUP(IF(COUNT(AI52)=0,AH52,AI52),upgrade!$A$4:$B$102,2),IF(AJ54="Down 2",IF(COUNT(AI52)=0,AH52,AI52)-2*VLOOKUP(IF(COUNT(AI52)=0,AH52,AI52),upgrade!$A$4:$B$102,2),0)))</f>
        <v>261.37258490095411</v>
      </c>
      <c r="AK51" s="17" t="s">
        <v>1</v>
      </c>
      <c r="AL51" s="15" t="str">
        <f>données!BM13</f>
        <v>refroid</v>
      </c>
      <c r="AN51">
        <v>278</v>
      </c>
      <c r="AO51">
        <f>données!C20*AO52</f>
        <v>40</v>
      </c>
      <c r="AP51">
        <f>AO51+AN51</f>
        <v>318</v>
      </c>
    </row>
    <row r="52" spans="1:46">
      <c r="A52" s="5" t="s">
        <v>1</v>
      </c>
      <c r="B52" s="5" t="s">
        <v>56</v>
      </c>
      <c r="C52" s="20"/>
      <c r="D52" s="8">
        <f>D51+IF(D$22="Aucun",0,données!$C$20*D$23/100)+données!E20</f>
        <v>13.752235898451595</v>
      </c>
      <c r="E52" s="9" t="s">
        <v>1</v>
      </c>
      <c r="F52" s="8">
        <f>F51+IF(F$22="Aucun",0,données!$C$20*F$23/100)+données!G20</f>
        <v>27.149661527276933</v>
      </c>
      <c r="G52" s="9" t="s">
        <v>1</v>
      </c>
      <c r="H52" s="8">
        <f>H51+IF(H$22="Aucun",0,données!$C$20*H$23/100)+données!I20</f>
        <v>40.035191433751336</v>
      </c>
      <c r="I52" s="9" t="s">
        <v>1</v>
      </c>
      <c r="J52" s="8">
        <f>J51+IF(J$22="Aucun",0,données!$C$20*J$23/100)+données!K20</f>
        <v>57.600495176006092</v>
      </c>
      <c r="K52" s="9" t="s">
        <v>1</v>
      </c>
      <c r="L52" s="8">
        <f>L51+IF(L$22="Aucun",0,données!$C$20*L$23/100)+données!M20</f>
        <v>59.100495176006092</v>
      </c>
      <c r="M52" s="9" t="s">
        <v>1</v>
      </c>
      <c r="N52" s="8">
        <f>N51+IF(N$22="Aucun",0,données!$C$20*N$23/100)+données!O20</f>
        <v>80.070246417156085</v>
      </c>
      <c r="O52" s="9" t="s">
        <v>1</v>
      </c>
      <c r="P52" s="8">
        <f>P51+IF(P$22="Aucun",0,données!$C$20*P$23/100)+données!Q20</f>
        <v>99.975344399833858</v>
      </c>
      <c r="Q52" s="9" t="s">
        <v>1</v>
      </c>
      <c r="R52" s="8">
        <f>R51+IF(R$22="Aucun",0,données!$C$20*R$23/100)+données!S20</f>
        <v>118.4743133349954</v>
      </c>
      <c r="S52" s="9" t="s">
        <v>1</v>
      </c>
      <c r="T52" s="8">
        <f>T51+IF(T$22="Aucun",0,données!$C$20*T$23/100)+données!U20</f>
        <v>136.99706735212533</v>
      </c>
      <c r="U52" s="9" t="s">
        <v>1</v>
      </c>
      <c r="V52" s="8">
        <f>V51+IF(V$22="Aucun",0,données!$C$20*V$23/100)+données!W20</f>
        <v>158.66847951446218</v>
      </c>
      <c r="W52" s="9" t="s">
        <v>1</v>
      </c>
      <c r="X52" s="8">
        <f>X51+IF(X$22="Aucun",0,données!$C$20*X$23/100)+données!Y20</f>
        <v>180.69333254183948</v>
      </c>
      <c r="Y52" s="9" t="s">
        <v>1</v>
      </c>
      <c r="Z52" s="8">
        <f>Z51+IF(Z$22="Aucun",0,données!$C$20*Z$23/100)+données!AA20</f>
        <v>195.20546046538445</v>
      </c>
      <c r="AA52" s="9" t="s">
        <v>1</v>
      </c>
      <c r="AB52" s="8">
        <f>AB51+IF(AB$22="Aucun",0,données!$C$20*AB$23/100)+données!AC20</f>
        <v>212.8457334631475</v>
      </c>
      <c r="AC52" s="9" t="s">
        <v>1</v>
      </c>
      <c r="AD52" s="8">
        <f>AD51+IF(AD$22="Aucun",0,données!$C$20*AD$23/100)+données!AE20</f>
        <v>228.87256940556179</v>
      </c>
      <c r="AE52" s="9" t="s">
        <v>1</v>
      </c>
      <c r="AF52" s="8">
        <f>AF51+IF(AF$22="Aucun",0,données!$C$20*AF$23/100)+données!AG20</f>
        <v>243.84683204988517</v>
      </c>
      <c r="AG52" s="9" t="s">
        <v>1</v>
      </c>
      <c r="AH52" s="8">
        <f>AH51+IF(AH$22="Aucun",0,données!$C$20*AH$23/100)+données!AI20</f>
        <v>261.37258490095411</v>
      </c>
      <c r="AI52" s="9" t="s">
        <v>1</v>
      </c>
      <c r="AJ52" s="8">
        <f>AJ51+IF(AJ$22="Aucun",0,données!$C$20*AJ$23/100)+données!AK20</f>
        <v>275.90653623283765</v>
      </c>
      <c r="AK52" s="9" t="s">
        <v>1</v>
      </c>
      <c r="AL52" s="15">
        <v>2</v>
      </c>
      <c r="AM52" t="s">
        <v>57</v>
      </c>
      <c r="AN52" s="10">
        <v>3</v>
      </c>
      <c r="AO52">
        <f>AO48</f>
        <v>4</v>
      </c>
      <c r="AP52">
        <v>3</v>
      </c>
      <c r="AQ52">
        <v>282</v>
      </c>
      <c r="AR52">
        <v>271</v>
      </c>
      <c r="AS52" s="20" t="e">
        <f>E52-D52+G52-F52+I52-H52+K52-J52+M52-L52+O52-N52+Q52-P52+S52-R52+U52-T52+W52-V52+Y52-X52+AA52-Z52</f>
        <v>#VALUE!</v>
      </c>
    </row>
    <row r="53" spans="1:46">
      <c r="A53" s="5" t="s">
        <v>1</v>
      </c>
      <c r="B53" s="5" t="s">
        <v>58</v>
      </c>
      <c r="C53" s="10">
        <v>5</v>
      </c>
      <c r="D53" s="8">
        <f>C53</f>
        <v>5</v>
      </c>
      <c r="E53" s="20"/>
      <c r="F53" s="8">
        <f>IF(F54="Down 1",D53-1,IF(F54="Down 2",D53-2,IF(F54="Upgrade",D53+1,IF(F54="Inchangé",D53,VLOOKUP(F54,données!$CY$11:$CZ$19,2)))))</f>
        <v>5</v>
      </c>
      <c r="G53" s="20"/>
      <c r="H53" s="8">
        <f>IF(H54="Down 1",F53-1,IF(H54="Down 2",F53-2,IF(H54="Upgrade",F53+1,IF(H54="Inchangé",F53,VLOOKUP(H54,données!$CY$11:$CZ$19,2)))))</f>
        <v>5</v>
      </c>
      <c r="I53" s="20"/>
      <c r="J53" s="8">
        <f>IF(J54="Down 1",H53-1,IF(J54="Down 2",H53-2,IF(J54="Upgrade",H53+1,IF(J54="Inchangé",H53,VLOOKUP(J54,données!$CY$11:$CZ$19,2)))))</f>
        <v>5</v>
      </c>
      <c r="K53" s="20"/>
      <c r="L53" s="8">
        <f>IF(L54="Down 1",J53-1,IF(L54="Down 2",J53-2,IF(L54="Upgrade",J53+1,IF(L54="Inchangé",J53,VLOOKUP(L54,données!$CY$11:$CZ$19,2)))))</f>
        <v>5</v>
      </c>
      <c r="M53" s="20"/>
      <c r="N53" s="8">
        <f>IF(N54="Down 1",L53-1,IF(N54="Down 2",L53-2,IF(N54="Upgrade",L53+1,IF(N54="Inchangé",L53,VLOOKUP(N54,données!$CY$11:$CZ$19,2)))))</f>
        <v>5</v>
      </c>
      <c r="O53" s="20"/>
      <c r="P53" s="8">
        <f>IF(P54="Down 1",N53-1,IF(P54="Down 2",N53-2,IF(P54="Upgrade",N53+1,IF(P54="Inchangé",N53,VLOOKUP(P54,données!$CY$11:$CZ$19,2)))))</f>
        <v>5</v>
      </c>
      <c r="Q53" s="20"/>
      <c r="R53" s="8">
        <f>IF(R54="Down 1",P53-1,IF(R54="Down 2",P53-2,IF(R54="Upgrade",P53+1,IF(R54="Inchangé",P53,VLOOKUP(R54,données!$CY$11:$CZ$19,2)))))</f>
        <v>5</v>
      </c>
      <c r="S53" s="20"/>
      <c r="T53" s="8">
        <f>IF(T54="Down 1",R53-1,IF(T54="Down 2",R53-2,IF(T54="Upgrade",R53+1,IF(T54="Inchangé",R53,VLOOKUP(T54,données!$CY$11:$CZ$19,2)))))</f>
        <v>5</v>
      </c>
      <c r="U53" s="20"/>
      <c r="V53" s="8">
        <f>IF(V54="Down 1",T53-1,IF(V54="Down 2",T53-2,IF(V54="Upgrade",T53+1,IF(V54="Inchangé",T53,VLOOKUP(V54,données!$CY$11:$CZ$19,2)))))</f>
        <v>5</v>
      </c>
      <c r="W53" s="20"/>
      <c r="X53" s="8">
        <f>IF(X54="Down 1",V53-1,IF(X54="Down 2",V53-2,IF(X54="Upgrade",V53+1,IF(X54="Inchangé",V53,VLOOKUP(X54,données!$CY$11:$CZ$19,2)))))</f>
        <v>5</v>
      </c>
      <c r="Y53" s="20"/>
      <c r="Z53" s="8">
        <f>IF(Z54="Down 1",X53-1,IF(Z54="Down 2",X53-2,IF(Z54="Upgrade",X53+1,IF(Z54="Inchangé",X53,VLOOKUP(Z54,données!$CY$11:$CZ$19,2)))))</f>
        <v>5</v>
      </c>
      <c r="AA53" s="20"/>
      <c r="AB53" s="8">
        <f>IF(AB54="Down 1",Z53-1,IF(AB54="Down 2",Z53-2,IF(AB54="Upgrade",Z53+1,IF(AB54="Inchangé",Z53,VLOOKUP(AB54,données!$CY$11:$CZ$19,2)))))</f>
        <v>5</v>
      </c>
      <c r="AC53" s="20"/>
      <c r="AD53" s="8">
        <f>IF(AD54="Down 1",AB53-1,IF(AD54="Down 2",AB53-2,IF(AD54="Upgrade",AB53+1,IF(AD54="Inchangé",AB53,VLOOKUP(AD54,données!$CY$11:$CZ$19,2)))))</f>
        <v>5</v>
      </c>
      <c r="AE53" s="20"/>
      <c r="AF53" s="8">
        <f>IF(AF54="Down 1",AD53-1,IF(AF54="Down 2",AD53-2,IF(AF54="Upgrade",AD53+1,IF(AF54="Inchangé",AD53,VLOOKUP(AF54,données!$CY$11:$CZ$19,2)))))</f>
        <v>5</v>
      </c>
      <c r="AG53" s="20"/>
      <c r="AH53" s="8">
        <f>IF(AH54="Down 1",AF53-1,IF(AH54="Down 2",AF53-2,IF(AH54="Upgrade",AF53+1,IF(AH54="Inchangé",AF53,VLOOKUP(AH54,données!$CY$11:$CZ$19,2)))))</f>
        <v>5</v>
      </c>
      <c r="AI53" s="20"/>
      <c r="AJ53" s="8">
        <f>IF(AJ54="Down 1",AH53-1,IF(AJ54="Down 2",AH53-2,IF(AJ54="Upgrade",AH53+1,IF(AJ54="Inchangé",AH53,VLOOKUP(AJ54,données!$CY$11:$CZ$19,2)))))</f>
        <v>5</v>
      </c>
      <c r="AK53" s="20"/>
      <c r="AL53" s="15">
        <v>5</v>
      </c>
      <c r="AM53" t="s">
        <v>59</v>
      </c>
      <c r="AN53" s="11">
        <v>5</v>
      </c>
      <c r="AP53">
        <v>7</v>
      </c>
    </row>
    <row r="54" spans="1:46">
      <c r="A54" s="5"/>
      <c r="B54" s="5" t="s">
        <v>60</v>
      </c>
      <c r="C54" s="20"/>
      <c r="D54" s="21"/>
      <c r="E54" s="22"/>
      <c r="F54" s="23" t="s">
        <v>61</v>
      </c>
      <c r="G54" s="22"/>
      <c r="H54" s="23" t="s">
        <v>61</v>
      </c>
      <c r="I54" s="22"/>
      <c r="J54" s="23" t="s">
        <v>61</v>
      </c>
      <c r="K54" s="22"/>
      <c r="L54" s="23" t="s">
        <v>61</v>
      </c>
      <c r="M54" s="22"/>
      <c r="N54" s="23" t="s">
        <v>61</v>
      </c>
      <c r="O54" s="22"/>
      <c r="P54" s="23" t="s">
        <v>61</v>
      </c>
      <c r="Q54" s="22"/>
      <c r="R54" s="23" t="s">
        <v>61</v>
      </c>
      <c r="S54" s="22"/>
      <c r="T54" s="23" t="s">
        <v>61</v>
      </c>
      <c r="U54" s="22"/>
      <c r="V54" s="23" t="s">
        <v>61</v>
      </c>
      <c r="W54" s="22"/>
      <c r="X54" s="23" t="s">
        <v>61</v>
      </c>
      <c r="Y54" s="22"/>
      <c r="Z54" s="23" t="s">
        <v>61</v>
      </c>
      <c r="AA54" s="22"/>
      <c r="AB54" s="23" t="s">
        <v>61</v>
      </c>
      <c r="AC54" s="22"/>
      <c r="AD54" s="23" t="s">
        <v>61</v>
      </c>
      <c r="AE54" s="22"/>
      <c r="AF54" s="23" t="s">
        <v>61</v>
      </c>
      <c r="AG54" s="22"/>
      <c r="AH54" s="23" t="s">
        <v>61</v>
      </c>
      <c r="AI54" s="22"/>
      <c r="AJ54" s="23" t="s">
        <v>61</v>
      </c>
      <c r="AK54" s="22"/>
      <c r="AL54" s="15">
        <f ca="1">OFFSET(données!$BM$13,0,AL53)*AL52</f>
        <v>2138.902</v>
      </c>
      <c r="AM54" t="s">
        <v>52</v>
      </c>
      <c r="AN54">
        <f ca="1">OFFSET(données!$BM$13,0,AN53)*AN52</f>
        <v>3208.3530000000001</v>
      </c>
      <c r="AP54">
        <f ca="1">OFFSET(données!$BM$13,0,AP53)*AP52</f>
        <v>4921.2359999999999</v>
      </c>
    </row>
    <row r="55" spans="1:46">
      <c r="A55" s="19" t="s">
        <v>72</v>
      </c>
      <c r="B55" s="16" t="s">
        <v>55</v>
      </c>
      <c r="C55" s="17" t="s">
        <v>1</v>
      </c>
      <c r="D55" s="18">
        <v>0</v>
      </c>
      <c r="E55" s="17"/>
      <c r="F55" s="18">
        <f>IF(F58="Inchangé",IF(COUNT(E56)=0,D56,E56),IF(F58="Down 1",IF(COUNT(E56)=0,D56,E56)-VLOOKUP(IF(COUNT(E56)=0,D56,E56),upgrade!$A$4:$B$102,2),IF(F58="Down 2",IF(COUNT(E56)=0,D56,E56)-2*VLOOKUP(IF(COUNT(E56)=0,D56,E56),upgrade!$A$4:$B$102,2),0)))</f>
        <v>20.14372857756193</v>
      </c>
      <c r="G55" s="17"/>
      <c r="H55" s="18">
        <f>IF(H58="Inchangé",IF(COUNT(G56)=0,F56,G56),IF(H58="Down 1",IF(COUNT(G56)=0,F56,G56)-VLOOKUP(IF(COUNT(G56)=0,F56,G56),upgrade!$A$4:$B$102,2),IF(H58="Down 2",IF(COUNT(G56)=0,F56,G56)-2*VLOOKUP(IF(COUNT(G56)=0,F56,G56),upgrade!$A$4:$B$102,2),0)))</f>
        <v>40.279284683559808</v>
      </c>
      <c r="I55" s="17"/>
      <c r="J55" s="18">
        <f>IF(J58="Inchangé",IF(COUNT(I56)=0,H56,I56),IF(J58="Down 1",IF(COUNT(I56)=0,H56,I56)-VLOOKUP(IF(COUNT(I56)=0,H56,I56),upgrade!$A$4:$B$102,2),IF(J58="Down 2",IF(COUNT(I56)=0,H56,I56)-2*VLOOKUP(IF(COUNT(I56)=0,H56,I56),upgrade!$A$4:$B$102,2),0)))</f>
        <v>60.125993252860205</v>
      </c>
      <c r="K55" s="17"/>
      <c r="L55" s="18">
        <f>IF(L58="Inchangé",IF(COUNT(K56)=0,J56,K56),IF(L58="Down 1",IF(COUNT(K56)=0,J56,K56)-VLOOKUP(IF(COUNT(K56)=0,J56,K56),upgrade!$A$4:$B$102,2),IF(L58="Down 2",IF(COUNT(K56)=0,J56,K56)-2*VLOOKUP(IF(COUNT(K56)=0,J56,K56),upgrade!$A$4:$B$102,2),0)))</f>
        <v>96.562675024984145</v>
      </c>
      <c r="M55" s="17"/>
      <c r="N55" s="18">
        <f>IF(N58="Inchangé",IF(COUNT(M56)=0,L56,M56),IF(N58="Down 1",IF(COUNT(M56)=0,L56,M56)-VLOOKUP(IF(COUNT(M56)=0,L56,M56),upgrade!$A$4:$B$102,2),IF(N58="Down 2",IF(COUNT(M56)=0,L56,M56)-2*VLOOKUP(IF(COUNT(M56)=0,L56,M56),upgrade!$A$4:$B$102,2),0)))</f>
        <v>98.062675024984145</v>
      </c>
      <c r="O55" s="17"/>
      <c r="P55" s="18">
        <f>IF(P58="Inchangé",IF(COUNT(O56)=0,N56,O56),IF(P58="Down 1",IF(COUNT(O56)=0,N56,O56)-VLOOKUP(IF(COUNT(O56)=0,N56,O56),upgrade!$A$4:$B$102,2),IF(P58="Down 2",IF(COUNT(O56)=0,N56,O56)-2*VLOOKUP(IF(COUNT(O56)=0,N56,O56),upgrade!$A$4:$B$102,2),0)))</f>
        <v>116.63412613271726</v>
      </c>
      <c r="Q55" s="17"/>
      <c r="R55" s="18">
        <f>IF(R58="Inchangé",IF(COUNT(Q56)=0,P56,Q56),IF(R58="Down 1",IF(COUNT(Q56)=0,P56,Q56)-VLOOKUP(IF(COUNT(Q56)=0,P56,Q56),upgrade!$A$4:$B$102,2),IF(R58="Down 2",IF(COUNT(Q56)=0,P56,Q56)-2*VLOOKUP(IF(COUNT(Q56)=0,P56,Q56),upgrade!$A$4:$B$102,2),0)))</f>
        <v>140.23330487177043</v>
      </c>
      <c r="S55" s="17"/>
      <c r="T55" s="18">
        <f>IF(T58="Inchangé",IF(COUNT(S56)=0,R56,S56),IF(T58="Down 1",IF(COUNT(S56)=0,R56,S56)-VLOOKUP(IF(COUNT(S56)=0,R56,S56),upgrade!$A$4:$B$102,2),IF(T58="Down 2",IF(COUNT(S56)=0,R56,S56)-2*VLOOKUP(IF(COUNT(S56)=0,R56,S56),upgrade!$A$4:$B$102,2),0)))</f>
        <v>166.02446922874245</v>
      </c>
      <c r="U55" s="17"/>
      <c r="V55" s="18">
        <f>IF(V58="Inchangé",IF(COUNT(U56)=0,T56,U56),IF(V58="Down 1",IF(COUNT(U56)=0,T56,U56)-VLOOKUP(IF(COUNT(U56)=0,T56,U56),upgrade!$A$4:$B$102,2),IF(V58="Down 2",IF(COUNT(U56)=0,T56,U56)-2*VLOOKUP(IF(COUNT(U56)=0,T56,U56),upgrade!$A$4:$B$102,2),0)))</f>
        <v>180.82318384971393</v>
      </c>
      <c r="W55" s="17"/>
      <c r="X55" s="18">
        <f>IF(X58="Inchangé",IF(COUNT(W56)=0,V56,W56),IF(X58="Down 1",IF(COUNT(W56)=0,V56,W56)-VLOOKUP(IF(COUNT(W56)=0,V56,W56),upgrade!$A$4:$B$102,2),IF(X58="Down 2",IF(COUNT(W56)=0,V56,W56)-2*VLOOKUP(IF(COUNT(W56)=0,V56,W56),upgrade!$A$4:$B$102,2),0)))</f>
        <v>205.14138139253433</v>
      </c>
      <c r="Y55" s="17"/>
      <c r="Z55" s="18">
        <f>IF(Z58="Inchangé",IF(COUNT(Y56)=0,X56,Y56),IF(Z58="Down 1",IF(COUNT(Y56)=0,X56,Y56)-VLOOKUP(IF(COUNT(Y56)=0,X56,Y56),upgrade!$A$4:$B$102,2),IF(Z58="Down 2",IF(COUNT(Y56)=0,X56,Y56)-2*VLOOKUP(IF(COUNT(Y56)=0,X56,Y56),upgrade!$A$4:$B$102,2),0)))</f>
        <v>229.4895542982778</v>
      </c>
      <c r="AA55" s="17"/>
      <c r="AB55" s="18">
        <f>IF(AB58="Inchangé",IF(COUNT(AA56)=0,Z56,AA56),IF(AB58="Down 1",IF(COUNT(AA56)=0,Z56,AA56)-VLOOKUP(IF(COUNT(AA56)=0,Z56,AA56),upgrade!$A$4:$B$102,2),IF(AB58="Down 2",IF(COUNT(AA56)=0,Z56,AA56)-2*VLOOKUP(IF(COUNT(AA56)=0,Z56,AA56),upgrade!$A$4:$B$102,2),0)))</f>
        <v>253.8141072820334</v>
      </c>
      <c r="AC55" s="17"/>
      <c r="AD55" s="18">
        <f>IF(AD58="Inchangé",IF(COUNT(AC56)=0,AB56,AC56),IF(AD58="Down 1",IF(COUNT(AC56)=0,AB56,AC56)-VLOOKUP(IF(COUNT(AC56)=0,AB56,AC56),upgrade!$A$4:$B$102,2),IF(AD58="Down 2",IF(COUNT(AC56)=0,AB56,AC56)-2*VLOOKUP(IF(COUNT(AC56)=0,AB56,AC56),upgrade!$A$4:$B$102,2),0)))</f>
        <v>274.78535652020929</v>
      </c>
      <c r="AE55" s="17"/>
      <c r="AF55" s="18">
        <f>IF(AF58="Inchangé",IF(COUNT(AE56)=0,AD56,AE56),IF(AF58="Down 1",IF(COUNT(AE56)=0,AD56,AE56)-VLOOKUP(IF(COUNT(AE56)=0,AD56,AE56),upgrade!$A$4:$B$102,2),IF(AF58="Down 2",IF(COUNT(AE56)=0,AD56,AE56)-2*VLOOKUP(IF(COUNT(AE56)=0,AD56,AE56),upgrade!$A$4:$B$102,2),0)))</f>
        <v>297.49524714775271</v>
      </c>
      <c r="AG55" s="17"/>
      <c r="AH55" s="18">
        <f>IF(AH58="Inchangé",IF(COUNT(AG56)=0,AF56,AG56),IF(AH58="Down 1",IF(COUNT(AG56)=0,AF56,AG56)-VLOOKUP(IF(COUNT(AG56)=0,AF56,AG56),upgrade!$A$4:$B$102,2),IF(AH58="Down 2",IF(COUNT(AG56)=0,AF56,AG56)-2*VLOOKUP(IF(COUNT(AG56)=0,AF56,AG56),upgrade!$A$4:$B$102,2),0)))</f>
        <v>313.22480245616987</v>
      </c>
      <c r="AI55" s="17"/>
      <c r="AJ55" s="18">
        <f>IF(AJ58="Inchangé",IF(COUNT(AI56)=0,AH56,AI56),IF(AJ58="Down 1",IF(COUNT(AI56)=0,AH56,AI56)-VLOOKUP(IF(COUNT(AI56)=0,AH56,AI56),upgrade!$A$4:$B$102,2),IF(AJ58="Down 2",IF(COUNT(AI56)=0,AH56,AI56)-2*VLOOKUP(IF(COUNT(AI56)=0,AH56,AI56),upgrade!$A$4:$B$102,2),0)))</f>
        <v>334.01914736004619</v>
      </c>
      <c r="AK55" s="17"/>
      <c r="AL55" s="19" t="str">
        <f>données!BM14</f>
        <v>BV</v>
      </c>
      <c r="AN55">
        <v>386</v>
      </c>
      <c r="AO55">
        <f>données!C21*AO56</f>
        <v>48</v>
      </c>
      <c r="AP55">
        <f>AO55+AN55</f>
        <v>434</v>
      </c>
    </row>
    <row r="56" spans="1:46">
      <c r="A56" s="15" t="s">
        <v>1</v>
      </c>
      <c r="B56" s="5" t="s">
        <v>56</v>
      </c>
      <c r="C56" s="20" t="s">
        <v>1</v>
      </c>
      <c r="D56" s="8">
        <f>D55+IF(D$22="Aucun",0,données!$C$21*D$23/100)+données!E21</f>
        <v>20.14372857756193</v>
      </c>
      <c r="E56" s="9" t="s">
        <v>1</v>
      </c>
      <c r="F56" s="8">
        <f>F55+IF(F$22="Aucun",0,données!$C$21*F$23/100)+données!G21</f>
        <v>40.279284683559808</v>
      </c>
      <c r="G56" s="9" t="s">
        <v>1</v>
      </c>
      <c r="H56" s="8">
        <f>H55+IF(H$22="Aucun",0,données!$C$21*H$23/100)+données!I21</f>
        <v>60.125993252860205</v>
      </c>
      <c r="I56" s="9" t="s">
        <v>1</v>
      </c>
      <c r="J56" s="8">
        <f>J55+IF(J$22="Aucun",0,données!$C$21*J$23/100)+données!K21</f>
        <v>96.562675024984145</v>
      </c>
      <c r="K56" s="9" t="s">
        <v>1</v>
      </c>
      <c r="L56" s="8">
        <f>L55+IF(L$22="Aucun",0,données!$C$21*L$23/100)+données!M21</f>
        <v>98.062675024984145</v>
      </c>
      <c r="M56" s="9" t="s">
        <v>1</v>
      </c>
      <c r="N56" s="8">
        <f>N55+IF(N$22="Aucun",0,données!$C$21*N$23/100)+données!O21</f>
        <v>116.63412613271726</v>
      </c>
      <c r="O56" s="9" t="s">
        <v>1</v>
      </c>
      <c r="P56" s="8">
        <f>P55+IF(P$22="Aucun",0,données!$C$21*P$23/100)+données!Q21</f>
        <v>140.23330487177043</v>
      </c>
      <c r="Q56" s="9" t="s">
        <v>1</v>
      </c>
      <c r="R56" s="8">
        <f>R55+IF(R$22="Aucun",0,données!$C$21*R$23/100)+données!S21</f>
        <v>166.02446922874245</v>
      </c>
      <c r="S56" s="9" t="s">
        <v>1</v>
      </c>
      <c r="T56" s="8">
        <f>T55+IF(T$22="Aucun",0,données!$C$21*T$23/100)+données!U21</f>
        <v>180.82318384971393</v>
      </c>
      <c r="U56" s="9" t="s">
        <v>1</v>
      </c>
      <c r="V56" s="8">
        <f>V55+IF(V$22="Aucun",0,données!$C$21*V$23/100)+données!W21</f>
        <v>205.14138139253433</v>
      </c>
      <c r="W56" s="9" t="s">
        <v>1</v>
      </c>
      <c r="X56" s="8">
        <f>X55+IF(X$22="Aucun",0,données!$C$21*X$23/100)+données!Y21</f>
        <v>229.4895542982778</v>
      </c>
      <c r="Y56" s="9" t="s">
        <v>1</v>
      </c>
      <c r="Z56" s="8">
        <f>Z55+IF(Z$22="Aucun",0,données!$C$21*Z$23/100)+données!AA21</f>
        <v>253.8141072820334</v>
      </c>
      <c r="AA56" s="9" t="s">
        <v>1</v>
      </c>
      <c r="AB56" s="8">
        <f>AB55+IF(AB$22="Aucun",0,données!$C$21*AB$23/100)+données!AC21</f>
        <v>274.78535652020929</v>
      </c>
      <c r="AC56" s="9" t="s">
        <v>1</v>
      </c>
      <c r="AD56" s="8">
        <f>AD55+IF(AD$22="Aucun",0,données!$C$21*AD$23/100)+données!AE21</f>
        <v>297.49524714775271</v>
      </c>
      <c r="AE56" s="9" t="s">
        <v>1</v>
      </c>
      <c r="AF56" s="8">
        <f>AF55+IF(AF$22="Aucun",0,données!$C$21*AF$23/100)+données!AG21</f>
        <v>313.22480245616987</v>
      </c>
      <c r="AG56" s="9" t="s">
        <v>1</v>
      </c>
      <c r="AH56" s="8">
        <f>AH55+IF(AH$22="Aucun",0,données!$C$21*AH$23/100)+données!AI21</f>
        <v>334.01914736004619</v>
      </c>
      <c r="AI56" s="9" t="s">
        <v>1</v>
      </c>
      <c r="AJ56" s="8">
        <f>AJ55+IF(AJ$22="Aucun",0,données!$C$21*AJ$23/100)+données!AK21</f>
        <v>350.79679991209377</v>
      </c>
      <c r="AK56" s="9" t="s">
        <v>1</v>
      </c>
      <c r="AL56" s="15">
        <v>4</v>
      </c>
      <c r="AM56" t="s">
        <v>57</v>
      </c>
      <c r="AN56" s="10">
        <v>4</v>
      </c>
      <c r="AO56">
        <f>AO52</f>
        <v>4</v>
      </c>
      <c r="AP56">
        <v>5</v>
      </c>
      <c r="AQ56">
        <v>377</v>
      </c>
      <c r="AR56">
        <v>365</v>
      </c>
      <c r="AS56" s="20" t="e">
        <f>E56-D56+G56-F56+I56-H56+K56-J56+M56-L56+O56-N56+Q56-P56+S56-R56+U56-T56+W56-V56+Y56-X56+AA56-Z56</f>
        <v>#VALUE!</v>
      </c>
      <c r="AT56" t="e">
        <f>AS56/12*5</f>
        <v>#VALUE!</v>
      </c>
    </row>
    <row r="57" spans="1:46">
      <c r="A57" s="15" t="s">
        <v>1</v>
      </c>
      <c r="B57" s="5" t="s">
        <v>58</v>
      </c>
      <c r="C57" s="10">
        <v>6</v>
      </c>
      <c r="D57" s="8">
        <f>C57</f>
        <v>6</v>
      </c>
      <c r="E57" s="20"/>
      <c r="F57" s="8">
        <f>IF(F58="Down 1",D57-1,IF(F58="Down 2",D57-2,IF(F58="Upgrade",D57+1,IF(F58="Inchangé",D57,VLOOKUP(F58,données!$CY$11:$CZ$19,2)))))</f>
        <v>6</v>
      </c>
      <c r="G57" s="20"/>
      <c r="H57" s="8">
        <f>IF(H58="Down 1",F57-1,IF(H58="Down 2",F57-2,IF(H58="Upgrade",F57+1,IF(H58="Inchangé",F57,VLOOKUP(H58,données!$CY$11:$CZ$19,2)))))</f>
        <v>6</v>
      </c>
      <c r="I57" s="20"/>
      <c r="J57" s="8">
        <f>IF(J58="Down 1",H57-1,IF(J58="Down 2",H57-2,IF(J58="Upgrade",H57+1,IF(J58="Inchangé",H57,VLOOKUP(J58,données!$CY$11:$CZ$19,2)))))</f>
        <v>6</v>
      </c>
      <c r="K57" s="20"/>
      <c r="L57" s="8">
        <f>IF(L58="Down 1",J57-1,IF(L58="Down 2",J57-2,IF(L58="Upgrade",J57+1,IF(L58="Inchangé",J57,VLOOKUP(L58,données!$CY$11:$CZ$19,2)))))</f>
        <v>6</v>
      </c>
      <c r="M57" s="20"/>
      <c r="N57" s="8">
        <f>IF(N58="Down 1",L57-1,IF(N58="Down 2",L57-2,IF(N58="Upgrade",L57+1,IF(N58="Inchangé",L57,VLOOKUP(N58,données!$CY$11:$CZ$19,2)))))</f>
        <v>6</v>
      </c>
      <c r="O57" s="20"/>
      <c r="P57" s="8">
        <f>IF(P58="Down 1",N57-1,IF(P58="Down 2",N57-2,IF(P58="Upgrade",N57+1,IF(P58="Inchangé",N57,VLOOKUP(P58,données!$CY$11:$CZ$19,2)))))</f>
        <v>6</v>
      </c>
      <c r="Q57" s="20"/>
      <c r="R57" s="8">
        <f>IF(R58="Down 1",P57-1,IF(R58="Down 2",P57-2,IF(R58="Upgrade",P57+1,IF(R58="Inchangé",P57,VLOOKUP(R58,données!$CY$11:$CZ$19,2)))))</f>
        <v>6</v>
      </c>
      <c r="S57" s="20"/>
      <c r="T57" s="8">
        <f>IF(T58="Down 1",R57-1,IF(T58="Down 2",R57-2,IF(T58="Upgrade",R57+1,IF(T58="Inchangé",R57,VLOOKUP(T58,données!$CY$11:$CZ$19,2)))))</f>
        <v>6</v>
      </c>
      <c r="U57" s="20"/>
      <c r="V57" s="8">
        <f>IF(V58="Down 1",T57-1,IF(V58="Down 2",T57-2,IF(V58="Upgrade",T57+1,IF(V58="Inchangé",T57,VLOOKUP(V58,données!$CY$11:$CZ$19,2)))))</f>
        <v>6</v>
      </c>
      <c r="W57" s="20"/>
      <c r="X57" s="8">
        <f>IF(X58="Down 1",V57-1,IF(X58="Down 2",V57-2,IF(X58="Upgrade",V57+1,IF(X58="Inchangé",V57,VLOOKUP(X58,données!$CY$11:$CZ$19,2)))))</f>
        <v>6</v>
      </c>
      <c r="Y57" s="20"/>
      <c r="Z57" s="8">
        <f>IF(Z58="Down 1",X57-1,IF(Z58="Down 2",X57-2,IF(Z58="Upgrade",X57+1,IF(Z58="Inchangé",X57,VLOOKUP(Z58,données!$CY$11:$CZ$19,2)))))</f>
        <v>6</v>
      </c>
      <c r="AA57" s="20"/>
      <c r="AB57" s="8">
        <f>IF(AB58="Down 1",Z57-1,IF(AB58="Down 2",Z57-2,IF(AB58="Upgrade",Z57+1,IF(AB58="Inchangé",Z57,VLOOKUP(AB58,données!$CY$11:$CZ$19,2)))))</f>
        <v>6</v>
      </c>
      <c r="AC57" s="20"/>
      <c r="AD57" s="8">
        <f>IF(AD58="Down 1",AB57-1,IF(AD58="Down 2",AB57-2,IF(AD58="Upgrade",AB57+1,IF(AD58="Inchangé",AB57,VLOOKUP(AD58,données!$CY$11:$CZ$19,2)))))</f>
        <v>6</v>
      </c>
      <c r="AE57" s="20"/>
      <c r="AF57" s="8">
        <f>IF(AF58="Down 1",AD57-1,IF(AF58="Down 2",AD57-2,IF(AF58="Upgrade",AD57+1,IF(AF58="Inchangé",AD57,VLOOKUP(AF58,données!$CY$11:$CZ$19,2)))))</f>
        <v>6</v>
      </c>
      <c r="AG57" s="20"/>
      <c r="AH57" s="8">
        <f>IF(AH58="Down 1",AF57-1,IF(AH58="Down 2",AF57-2,IF(AH58="Upgrade",AF57+1,IF(AH58="Inchangé",AF57,VLOOKUP(AH58,données!$CY$11:$CZ$19,2)))))</f>
        <v>6</v>
      </c>
      <c r="AI57" s="20"/>
      <c r="AJ57" s="8">
        <f>IF(AJ58="Down 1",AH57-1,IF(AJ58="Down 2",AH57-2,IF(AJ58="Upgrade",AH57+1,IF(AJ58="Inchangé",AH57,VLOOKUP(AJ58,données!$CY$11:$CZ$19,2)))))</f>
        <v>6</v>
      </c>
      <c r="AK57" s="20"/>
      <c r="AL57" s="15">
        <v>5</v>
      </c>
      <c r="AM57" t="s">
        <v>59</v>
      </c>
      <c r="AN57" s="11">
        <v>5</v>
      </c>
      <c r="AP57">
        <v>7</v>
      </c>
    </row>
    <row r="58" spans="1:46">
      <c r="A58" s="24"/>
      <c r="B58" s="5" t="s">
        <v>60</v>
      </c>
      <c r="C58" s="25"/>
      <c r="D58" s="26"/>
      <c r="E58" s="27"/>
      <c r="F58" s="23" t="s">
        <v>61</v>
      </c>
      <c r="G58" s="27"/>
      <c r="H58" s="23" t="s">
        <v>61</v>
      </c>
      <c r="I58" s="27"/>
      <c r="J58" s="23" t="s">
        <v>61</v>
      </c>
      <c r="K58" s="27"/>
      <c r="L58" s="23" t="s">
        <v>61</v>
      </c>
      <c r="M58" s="27"/>
      <c r="N58" s="23" t="s">
        <v>61</v>
      </c>
      <c r="O58" s="27"/>
      <c r="P58" s="23" t="s">
        <v>61</v>
      </c>
      <c r="Q58" s="27"/>
      <c r="R58" s="23" t="s">
        <v>61</v>
      </c>
      <c r="S58" s="27"/>
      <c r="T58" s="23" t="s">
        <v>61</v>
      </c>
      <c r="U58" s="27"/>
      <c r="V58" s="23" t="s">
        <v>61</v>
      </c>
      <c r="W58" s="27"/>
      <c r="X58" s="23" t="s">
        <v>61</v>
      </c>
      <c r="Y58" s="27"/>
      <c r="Z58" s="23" t="s">
        <v>61</v>
      </c>
      <c r="AA58" s="27"/>
      <c r="AB58" s="23" t="s">
        <v>61</v>
      </c>
      <c r="AC58" s="27"/>
      <c r="AD58" s="23" t="s">
        <v>61</v>
      </c>
      <c r="AE58" s="27"/>
      <c r="AF58" s="23" t="s">
        <v>61</v>
      </c>
      <c r="AG58" s="27"/>
      <c r="AH58" s="23" t="s">
        <v>61</v>
      </c>
      <c r="AI58" s="27"/>
      <c r="AJ58" s="23" t="s">
        <v>61</v>
      </c>
      <c r="AK58" s="27"/>
      <c r="AL58" s="24">
        <f ca="1">OFFSET(données!$BM$14,0,AL57)*AL56</f>
        <v>29156.812000000002</v>
      </c>
      <c r="AM58" t="s">
        <v>52</v>
      </c>
      <c r="AN58">
        <f ca="1">OFFSET(données!$BM$14,0,AN57)*AN56</f>
        <v>29156.812000000002</v>
      </c>
      <c r="AP58">
        <f ca="1">OFFSET(données!$BM$14,0,AP57)*AP56</f>
        <v>55903.895000000004</v>
      </c>
    </row>
    <row r="59" spans="1:46">
      <c r="A59" s="5" t="s">
        <v>73</v>
      </c>
      <c r="B59" s="5" t="s">
        <v>55</v>
      </c>
      <c r="C59" s="20" t="s">
        <v>1</v>
      </c>
      <c r="D59" s="18">
        <v>0</v>
      </c>
      <c r="E59" s="17"/>
      <c r="F59" s="18">
        <f>IF(F62="Inchangé",IF(COUNT(E60)=0,D60,E60),IF(F62="Down 1",IF(COUNT(E60)=0,D60,E60)-VLOOKUP(IF(COUNT(E60)=0,D60,E60),upgrade!$A$4:$B$102,2),IF(F62="Down 2",IF(COUNT(E60)=0,D60,E60)-2*VLOOKUP(IF(COUNT(E60)=0,D60,E60),upgrade!$A$4:$B$102,2),0)))</f>
        <v>34.758376473572582</v>
      </c>
      <c r="G59" s="17"/>
      <c r="H59" s="18">
        <f>IF(H62="Inchangé",IF(COUNT(G60)=0,F60,G60),IF(H62="Down 1",IF(COUNT(G60)=0,F60,G60)-VLOOKUP(IF(COUNT(G60)=0,F60,G60),upgrade!$A$4:$B$102,2),IF(H62="Down 2",IF(COUNT(G60)=0,F60,G60)-2*VLOOKUP(IF(COUNT(G60)=0,F60,G60),upgrade!$A$4:$B$102,2),0)))</f>
        <v>58.73301957139428</v>
      </c>
      <c r="I59" s="17"/>
      <c r="J59" s="18">
        <f>IF(J62="Inchangé",IF(COUNT(I60)=0,H60,I60),IF(J62="Down 1",IF(COUNT(I60)=0,H60,I60)-VLOOKUP(IF(COUNT(I60)=0,H60,I60),upgrade!$A$4:$B$102,2),IF(J62="Down 2",IF(COUNT(I60)=0,H60,I60)-2*VLOOKUP(IF(COUNT(I60)=0,H60,I60),upgrade!$A$4:$B$102,2),0)))</f>
        <v>68.017761341058247</v>
      </c>
      <c r="K59" s="17"/>
      <c r="L59" s="18">
        <f>IF(L62="Inchangé",IF(COUNT(K60)=0,J60,K60),IF(L62="Down 1",IF(COUNT(K60)=0,J60,K60)-VLOOKUP(IF(COUNT(K60)=0,J60,K60),upgrade!$A$4:$B$102,2),IF(L62="Down 2",IF(COUNT(K60)=0,J60,K60)-2*VLOOKUP(IF(COUNT(K60)=0,J60,K60),upgrade!$A$4:$B$102,2),0)))</f>
        <v>113.60765973747729</v>
      </c>
      <c r="M59" s="17"/>
      <c r="N59" s="18">
        <f>IF(N62="Inchangé",IF(COUNT(M60)=0,L60,M60),IF(N62="Down 1",IF(COUNT(M60)=0,L60,M60)-VLOOKUP(IF(COUNT(M60)=0,L60,M60),upgrade!$A$4:$B$102,2),IF(N62="Down 2",IF(COUNT(M60)=0,L60,M60)-2*VLOOKUP(IF(COUNT(M60)=0,L60,M60),upgrade!$A$4:$B$102,2),0)))</f>
        <v>115.10765973747729</v>
      </c>
      <c r="O59" s="17"/>
      <c r="P59" s="18">
        <f>IF(P62="Inchangé",IF(COUNT(O60)=0,N60,O60),IF(P62="Down 1",IF(COUNT(O60)=0,N60,O60)-VLOOKUP(IF(COUNT(O60)=0,N60,O60),upgrade!$A$4:$B$102,2),IF(P62="Down 2",IF(COUNT(O60)=0,N60,O60)-2*VLOOKUP(IF(COUNT(O60)=0,N60,O60),upgrade!$A$4:$B$102,2),0)))</f>
        <v>148.68723037986902</v>
      </c>
      <c r="Q59" s="17"/>
      <c r="R59" s="18">
        <f>IF(R62="Inchangé",IF(COUNT(Q60)=0,P60,Q60),IF(R62="Down 1",IF(COUNT(Q60)=0,P60,Q60)-VLOOKUP(IF(COUNT(Q60)=0,P60,Q60),upgrade!$A$4:$B$102,2),IF(R62="Down 2",IF(COUNT(Q60)=0,P60,Q60)-2*VLOOKUP(IF(COUNT(Q60)=0,P60,Q60),upgrade!$A$4:$B$102,2),0)))</f>
        <v>175.88275546059671</v>
      </c>
      <c r="S59" s="17"/>
      <c r="T59" s="18">
        <f>IF(T62="Inchangé",IF(COUNT(S60)=0,R60,S60),IF(T62="Down 1",IF(COUNT(S60)=0,R60,S60)-VLOOKUP(IF(COUNT(S60)=0,R60,S60),upgrade!$A$4:$B$102,2),IF(T62="Down 2",IF(COUNT(S60)=0,R60,S60)-2*VLOOKUP(IF(COUNT(S60)=0,R60,S60),upgrade!$A$4:$B$102,2),0)))</f>
        <v>204.86008711235743</v>
      </c>
      <c r="U59" s="17"/>
      <c r="V59" s="18">
        <f>IF(V62="Inchangé",IF(COUNT(U60)=0,T60,U60),IF(V62="Down 1",IF(COUNT(U60)=0,T60,U60)-VLOOKUP(IF(COUNT(U60)=0,T60,U60),upgrade!$A$4:$B$102,2),IF(V62="Down 2",IF(COUNT(U60)=0,T60,U60)-2*VLOOKUP(IF(COUNT(U60)=0,T60,U60),upgrade!$A$4:$B$102,2),0)))</f>
        <v>234.30493295376783</v>
      </c>
      <c r="W59" s="17"/>
      <c r="X59" s="18">
        <f>IF(X62="Inchangé",IF(COUNT(W60)=0,V60,W60),IF(X62="Down 1",IF(COUNT(W60)=0,V60,W60)-VLOOKUP(IF(COUNT(W60)=0,V60,W60),upgrade!$A$4:$B$102,2),IF(X62="Down 2",IF(COUNT(W60)=0,V60,W60)-2*VLOOKUP(IF(COUNT(W60)=0,V60,W60),upgrade!$A$4:$B$102,2),0)))</f>
        <v>262.71771334619331</v>
      </c>
      <c r="Y59" s="17"/>
      <c r="Z59" s="18">
        <f>IF(Z62="Inchangé",IF(COUNT(Y60)=0,X60,Y60),IF(Z62="Down 1",IF(COUNT(Y60)=0,X60,Y60)-VLOOKUP(IF(COUNT(Y60)=0,X60,Y60),upgrade!$A$4:$B$102,2),IF(Z62="Down 2",IF(COUNT(Y60)=0,X60,Y60)-2*VLOOKUP(IF(COUNT(Y60)=0,X60,Y60),upgrade!$A$4:$B$102,2),0)))</f>
        <v>284.8966574242877</v>
      </c>
      <c r="AA59" s="17"/>
      <c r="AB59" s="18">
        <f>IF(AB62="Inchangé",IF(COUNT(AA60)=0,Z60,AA60),IF(AB62="Down 1",IF(COUNT(AA60)=0,Z60,AA60)-VLOOKUP(IF(COUNT(AA60)=0,Z60,AA60),upgrade!$A$4:$B$102,2),IF(AB62="Down 2",IF(COUNT(AA60)=0,Z60,AA60)-2*VLOOKUP(IF(COUNT(AA60)=0,Z60,AA60),upgrade!$A$4:$B$102,2),0)))</f>
        <v>317.58200960453797</v>
      </c>
      <c r="AC59" s="17"/>
      <c r="AD59" s="18">
        <f>IF(AD62="Inchangé",IF(COUNT(AC60)=0,AB60,AC60),IF(AD62="Down 1",IF(COUNT(AC60)=0,AB60,AC60)-VLOOKUP(IF(COUNT(AC60)=0,AB60,AC60),upgrade!$A$4:$B$102,2),IF(AD62="Down 2",IF(COUNT(AC60)=0,AB60,AC60)-2*VLOOKUP(IF(COUNT(AC60)=0,AB60,AC60),upgrade!$A$4:$B$102,2),0)))</f>
        <v>341.17929303041774</v>
      </c>
      <c r="AE59" s="17"/>
      <c r="AF59" s="18">
        <f>IF(AF62="Inchangé",IF(COUNT(AE60)=0,AD60,AE60),IF(AF62="Down 1",IF(COUNT(AE60)=0,AD60,AE60)-VLOOKUP(IF(COUNT(AE60)=0,AD60,AE60),upgrade!$A$4:$B$102,2),IF(AF62="Down 2",IF(COUNT(AE60)=0,AD60,AE60)-2*VLOOKUP(IF(COUNT(AE60)=0,AD60,AE60),upgrade!$A$4:$B$102,2),0)))</f>
        <v>360.60491567243196</v>
      </c>
      <c r="AG59" s="17"/>
      <c r="AH59" s="18">
        <f>IF(AH62="Inchangé",IF(COUNT(AG60)=0,AF60,AG60),IF(AH62="Down 1",IF(COUNT(AG60)=0,AF60,AG60)-VLOOKUP(IF(COUNT(AG60)=0,AF60,AG60),upgrade!$A$4:$B$102,2),IF(AH62="Down 2",IF(COUNT(AG60)=0,AF60,AG60)-2*VLOOKUP(IF(COUNT(AG60)=0,AF60,AG60),upgrade!$A$4:$B$102,2),0)))</f>
        <v>382.58043107079772</v>
      </c>
      <c r="AI59" s="17"/>
      <c r="AJ59" s="18">
        <f>IF(AJ62="Inchangé",IF(COUNT(AI60)=0,AH60,AI60),IF(AJ62="Down 1",IF(COUNT(AI60)=0,AH60,AI60)-VLOOKUP(IF(COUNT(AI60)=0,AH60,AI60),upgrade!$A$4:$B$102,2),IF(AJ62="Down 2",IF(COUNT(AI60)=0,AH60,AI60)-2*VLOOKUP(IF(COUNT(AI60)=0,AH60,AI60),upgrade!$A$4:$B$102,2),0)))</f>
        <v>404.87007380790448</v>
      </c>
      <c r="AK59" s="17"/>
      <c r="AL59" s="15" t="str">
        <f>données!BM15</f>
        <v>freins</v>
      </c>
      <c r="AN59">
        <v>469</v>
      </c>
      <c r="AO59">
        <f>données!C22*AO60</f>
        <v>32</v>
      </c>
      <c r="AP59">
        <f>AO59+AN59</f>
        <v>501</v>
      </c>
    </row>
    <row r="60" spans="1:46">
      <c r="A60" s="5" t="s">
        <v>1</v>
      </c>
      <c r="B60" s="5" t="s">
        <v>56</v>
      </c>
      <c r="C60" s="20"/>
      <c r="D60" s="8">
        <f>D59+IF(D$22="Aucun",0,données!$C$22*D$23/100)+données!E22</f>
        <v>34.758376473572582</v>
      </c>
      <c r="E60" s="9" t="s">
        <v>1</v>
      </c>
      <c r="F60" s="8">
        <f>F59+IF(F$22="Aucun",0,données!$C$22*F$23/100)+données!G22</f>
        <v>58.73301957139428</v>
      </c>
      <c r="G60" s="9" t="s">
        <v>1</v>
      </c>
      <c r="H60" s="8">
        <f>H59+IF(H$22="Aucun",0,données!$C$22*H$23/100)+données!I22</f>
        <v>68.017761341058247</v>
      </c>
      <c r="I60" s="9" t="s">
        <v>1</v>
      </c>
      <c r="J60" s="8">
        <f>J59+IF(J$22="Aucun",0,données!$C$22*J$23/100)+données!K22</f>
        <v>113.60765973747729</v>
      </c>
      <c r="K60" s="9" t="s">
        <v>1</v>
      </c>
      <c r="L60" s="8">
        <f>L59+IF(L$22="Aucun",0,données!$C$22*L$23/100)+données!M22</f>
        <v>115.10765973747729</v>
      </c>
      <c r="M60" s="9" t="s">
        <v>1</v>
      </c>
      <c r="N60" s="8">
        <f>N59+IF(N$22="Aucun",0,données!$C$22*N$23/100)+données!O22</f>
        <v>148.68723037986902</v>
      </c>
      <c r="O60" s="9" t="s">
        <v>1</v>
      </c>
      <c r="P60" s="8">
        <f>P59+IF(P$22="Aucun",0,données!$C$22*P$23/100)+données!Q22</f>
        <v>175.88275546059671</v>
      </c>
      <c r="Q60" s="9" t="s">
        <v>1</v>
      </c>
      <c r="R60" s="8">
        <f>R59+IF(R$22="Aucun",0,données!$C$22*R$23/100)+données!S22</f>
        <v>204.86008711235743</v>
      </c>
      <c r="S60" s="9" t="s">
        <v>1</v>
      </c>
      <c r="T60" s="8">
        <f>T59+IF(T$22="Aucun",0,données!$C$22*T$23/100)+données!U22</f>
        <v>234.30493295376783</v>
      </c>
      <c r="U60" s="9" t="s">
        <v>1</v>
      </c>
      <c r="V60" s="8">
        <f>V59+IF(V$22="Aucun",0,données!$C$22*V$23/100)+données!W22</f>
        <v>262.71771334619331</v>
      </c>
      <c r="W60" s="9" t="s">
        <v>1</v>
      </c>
      <c r="X60" s="8">
        <f>X59+IF(X$22="Aucun",0,données!$C$22*X$23/100)+données!Y22</f>
        <v>284.8966574242877</v>
      </c>
      <c r="Y60" s="9" t="s">
        <v>1</v>
      </c>
      <c r="Z60" s="8">
        <f>Z59+IF(Z$22="Aucun",0,données!$C$22*Z$23/100)+données!AA22</f>
        <v>317.58200960453797</v>
      </c>
      <c r="AA60" s="9" t="s">
        <v>1</v>
      </c>
      <c r="AB60" s="8">
        <f>AB59+IF(AB$22="Aucun",0,données!$C$22*AB$23/100)+données!AC22</f>
        <v>341.17929303041774</v>
      </c>
      <c r="AC60" s="9" t="s">
        <v>1</v>
      </c>
      <c r="AD60" s="8">
        <f>AD59+IF(AD$22="Aucun",0,données!$C$22*AD$23/100)+données!AE22</f>
        <v>360.60491567243196</v>
      </c>
      <c r="AE60" s="9" t="s">
        <v>1</v>
      </c>
      <c r="AF60" s="8">
        <f>AF59+IF(AF$22="Aucun",0,données!$C$22*AF$23/100)+données!AG22</f>
        <v>382.58043107079772</v>
      </c>
      <c r="AG60" s="9" t="s">
        <v>1</v>
      </c>
      <c r="AH60" s="8">
        <f>AH59+IF(AH$22="Aucun",0,données!$C$22*AH$23/100)+données!AI22</f>
        <v>404.87007380790448</v>
      </c>
      <c r="AI60" s="9" t="s">
        <v>1</v>
      </c>
      <c r="AJ60" s="8">
        <f>AJ59+IF(AJ$22="Aucun",0,données!$C$22*AJ$23/100)+données!AK22</f>
        <v>428.44973705674732</v>
      </c>
      <c r="AK60" s="9" t="s">
        <v>1</v>
      </c>
      <c r="AL60" s="15">
        <v>5</v>
      </c>
      <c r="AM60" t="s">
        <v>57</v>
      </c>
      <c r="AN60" s="10">
        <v>4</v>
      </c>
      <c r="AO60">
        <f>AO56</f>
        <v>4</v>
      </c>
      <c r="AP60">
        <v>5</v>
      </c>
      <c r="AQ60">
        <v>473</v>
      </c>
      <c r="AR60">
        <v>457</v>
      </c>
      <c r="AS60" s="20" t="e">
        <f>E60-D60+G60-F60+I60-H60+K60-J60+M60-L60+O60-N60+Q60-P60+S60-R60+U60-T60+W60-V60+Y60-X60+AA60-Z60</f>
        <v>#VALUE!</v>
      </c>
    </row>
    <row r="61" spans="1:46">
      <c r="A61" s="5" t="s">
        <v>1</v>
      </c>
      <c r="B61" s="5" t="s">
        <v>58</v>
      </c>
      <c r="C61" s="10">
        <v>6</v>
      </c>
      <c r="D61" s="8">
        <f>C61</f>
        <v>6</v>
      </c>
      <c r="E61" s="20"/>
      <c r="F61" s="8">
        <f>IF(F62="Down 1",D61-1,IF(F62="Down 2",D61-2,IF(F62="Upgrade",D61+1,IF(F62="Inchangé",D61,VLOOKUP(F62,données!$CY$11:$CZ$19,2)))))</f>
        <v>6</v>
      </c>
      <c r="G61" s="20"/>
      <c r="H61" s="8">
        <f>IF(H62="Down 1",F61-1,IF(H62="Down 2",F61-2,IF(H62="Upgrade",F61+1,IF(H62="Inchangé",F61,VLOOKUP(H62,données!$CY$11:$CZ$19,2)))))</f>
        <v>6</v>
      </c>
      <c r="I61" s="20"/>
      <c r="J61" s="8">
        <f>IF(J62="Down 1",H61-1,IF(J62="Down 2",H61-2,IF(J62="Upgrade",H61+1,IF(J62="Inchangé",H61,VLOOKUP(J62,données!$CY$11:$CZ$19,2)))))</f>
        <v>6</v>
      </c>
      <c r="K61" s="20"/>
      <c r="L61" s="8">
        <f>IF(L62="Down 1",J61-1,IF(L62="Down 2",J61-2,IF(L62="Upgrade",J61+1,IF(L62="Inchangé",J61,VLOOKUP(L62,données!$CY$11:$CZ$19,2)))))</f>
        <v>6</v>
      </c>
      <c r="M61" s="20"/>
      <c r="N61" s="8">
        <f>IF(N62="Down 1",L61-1,IF(N62="Down 2",L61-2,IF(N62="Upgrade",L61+1,IF(N62="Inchangé",L61,VLOOKUP(N62,données!$CY$11:$CZ$19,2)))))</f>
        <v>6</v>
      </c>
      <c r="O61" s="20"/>
      <c r="P61" s="8">
        <f>IF(P62="Down 1",N61-1,IF(P62="Down 2",N61-2,IF(P62="Upgrade",N61+1,IF(P62="Inchangé",N61,VLOOKUP(P62,données!$CY$11:$CZ$19,2)))))</f>
        <v>6</v>
      </c>
      <c r="Q61" s="20"/>
      <c r="R61" s="8">
        <f>IF(R62="Down 1",P61-1,IF(R62="Down 2",P61-2,IF(R62="Upgrade",P61+1,IF(R62="Inchangé",P61,VLOOKUP(R62,données!$CY$11:$CZ$19,2)))))</f>
        <v>6</v>
      </c>
      <c r="S61" s="20"/>
      <c r="T61" s="8">
        <f>IF(T62="Down 1",R61-1,IF(T62="Down 2",R61-2,IF(T62="Upgrade",R61+1,IF(T62="Inchangé",R61,VLOOKUP(T62,données!$CY$11:$CZ$19,2)))))</f>
        <v>6</v>
      </c>
      <c r="U61" s="20"/>
      <c r="V61" s="8">
        <f>IF(V62="Down 1",T61-1,IF(V62="Down 2",T61-2,IF(V62="Upgrade",T61+1,IF(V62="Inchangé",T61,VLOOKUP(V62,données!$CY$11:$CZ$19,2)))))</f>
        <v>6</v>
      </c>
      <c r="W61" s="20"/>
      <c r="X61" s="8">
        <f>IF(X62="Down 1",V61-1,IF(X62="Down 2",V61-2,IF(X62="Upgrade",V61+1,IF(X62="Inchangé",V61,VLOOKUP(X62,données!$CY$11:$CZ$19,2)))))</f>
        <v>6</v>
      </c>
      <c r="Y61" s="20"/>
      <c r="Z61" s="8">
        <f>IF(Z62="Down 1",X61-1,IF(Z62="Down 2",X61-2,IF(Z62="Upgrade",X61+1,IF(Z62="Inchangé",X61,VLOOKUP(Z62,données!$CY$11:$CZ$19,2)))))</f>
        <v>6</v>
      </c>
      <c r="AA61" s="20"/>
      <c r="AB61" s="8">
        <f>IF(AB62="Down 1",Z61-1,IF(AB62="Down 2",Z61-2,IF(AB62="Upgrade",Z61+1,IF(AB62="Inchangé",Z61,VLOOKUP(AB62,données!$CY$11:$CZ$19,2)))))</f>
        <v>6</v>
      </c>
      <c r="AC61" s="20"/>
      <c r="AD61" s="8">
        <f>IF(AD62="Down 1",AB61-1,IF(AD62="Down 2",AB61-2,IF(AD62="Upgrade",AB61+1,IF(AD62="Inchangé",AB61,VLOOKUP(AD62,données!$CY$11:$CZ$19,2)))))</f>
        <v>6</v>
      </c>
      <c r="AE61" s="20"/>
      <c r="AF61" s="8">
        <f>IF(AF62="Down 1",AD61-1,IF(AF62="Down 2",AD61-2,IF(AF62="Upgrade",AD61+1,IF(AF62="Inchangé",AD61,VLOOKUP(AF62,données!$CY$11:$CZ$19,2)))))</f>
        <v>6</v>
      </c>
      <c r="AG61" s="20"/>
      <c r="AH61" s="8">
        <f>IF(AH62="Down 1",AF61-1,IF(AH62="Down 2",AF61-2,IF(AH62="Upgrade",AF61+1,IF(AH62="Inchangé",AF61,VLOOKUP(AH62,données!$CY$11:$CZ$19,2)))))</f>
        <v>6</v>
      </c>
      <c r="AI61" s="20"/>
      <c r="AJ61" s="8">
        <f>IF(AJ62="Down 1",AH61-1,IF(AJ62="Down 2",AH61-2,IF(AJ62="Upgrade",AH61+1,IF(AJ62="Inchangé",AH61,VLOOKUP(AJ62,données!$CY$11:$CZ$19,2)))))</f>
        <v>6</v>
      </c>
      <c r="AK61" s="20"/>
      <c r="AL61" s="15">
        <v>5</v>
      </c>
      <c r="AM61" t="s">
        <v>59</v>
      </c>
      <c r="AN61" s="11">
        <v>5</v>
      </c>
      <c r="AO61" t="s">
        <v>1</v>
      </c>
      <c r="AP61">
        <v>7</v>
      </c>
    </row>
    <row r="62" spans="1:46" ht="13.8" thickBot="1">
      <c r="A62" s="5"/>
      <c r="B62" s="5" t="s">
        <v>60</v>
      </c>
      <c r="C62" s="20"/>
      <c r="D62" s="26"/>
      <c r="E62" s="27"/>
      <c r="F62" s="23" t="s">
        <v>61</v>
      </c>
      <c r="G62" s="27"/>
      <c r="H62" s="23" t="s">
        <v>61</v>
      </c>
      <c r="I62" s="27"/>
      <c r="J62" s="23" t="s">
        <v>61</v>
      </c>
      <c r="K62" s="27"/>
      <c r="L62" s="23" t="s">
        <v>61</v>
      </c>
      <c r="M62" s="27"/>
      <c r="N62" s="23" t="s">
        <v>61</v>
      </c>
      <c r="O62" s="27"/>
      <c r="P62" s="23" t="s">
        <v>61</v>
      </c>
      <c r="Q62" s="27"/>
      <c r="R62" s="23" t="s">
        <v>61</v>
      </c>
      <c r="S62" s="27"/>
      <c r="T62" s="23" t="s">
        <v>61</v>
      </c>
      <c r="U62" s="27"/>
      <c r="V62" s="23" t="s">
        <v>61</v>
      </c>
      <c r="W62" s="27"/>
      <c r="X62" s="23" t="s">
        <v>61</v>
      </c>
      <c r="Y62" s="27"/>
      <c r="Z62" s="23" t="s">
        <v>61</v>
      </c>
      <c r="AA62" s="27"/>
      <c r="AB62" s="23" t="s">
        <v>61</v>
      </c>
      <c r="AC62" s="27"/>
      <c r="AD62" s="23" t="s">
        <v>61</v>
      </c>
      <c r="AE62" s="27"/>
      <c r="AF62" s="23" t="s">
        <v>61</v>
      </c>
      <c r="AG62" s="27"/>
      <c r="AH62" s="23" t="s">
        <v>61</v>
      </c>
      <c r="AI62" s="27"/>
      <c r="AJ62" s="23" t="s">
        <v>61</v>
      </c>
      <c r="AK62" s="27"/>
      <c r="AL62" s="15">
        <f ca="1">OFFSET(données!$BM$15,0,AL61)*AL60</f>
        <v>8207.42</v>
      </c>
      <c r="AM62" t="s">
        <v>52</v>
      </c>
      <c r="AN62">
        <f ca="1">OFFSET(données!$BM$15,0,AN61)*AN60</f>
        <v>6565.9359999999997</v>
      </c>
      <c r="AP62">
        <f ca="1">OFFSET(données!$BM$15,0,AP61)*AP60</f>
        <v>12589.215</v>
      </c>
    </row>
    <row r="63" spans="1:46">
      <c r="A63" s="19" t="s">
        <v>74</v>
      </c>
      <c r="B63" s="16" t="s">
        <v>55</v>
      </c>
      <c r="C63" s="17" t="s">
        <v>1</v>
      </c>
      <c r="D63" s="18">
        <v>0</v>
      </c>
      <c r="E63" s="17" t="s">
        <v>1</v>
      </c>
      <c r="F63" s="18">
        <f>IF(F66="Inchangé",IF(COUNT(E64)=0,D64,E64),IF(F66="Down 1",IF(COUNT(E64)=0,D64,E64)-VLOOKUP(IF(COUNT(E64)=0,D64,E64),upgrade!$A$4:$B$102,2),IF(F66="Down 2",IF(COUNT(E64)=0,D64,E64)-2*VLOOKUP(IF(COUNT(E64)=0,D64,E64),upgrade!$A$4:$B$102,2),0)))</f>
        <v>25.099313207362247</v>
      </c>
      <c r="G63" s="17" t="s">
        <v>1</v>
      </c>
      <c r="H63" s="18">
        <f>IF(H66="Inchangé",IF(COUNT(G64)=0,F64,G64),IF(H66="Down 1",IF(COUNT(G64)=0,F64,G64)-VLOOKUP(IF(COUNT(G64)=0,F64,G64),upgrade!$A$4:$B$102,2),IF(H66="Down 2",IF(COUNT(G64)=0,F64,G64)-2*VLOOKUP(IF(COUNT(G64)=0,F64,G64),upgrade!$A$4:$B$102,2),0)))</f>
        <v>39.481134885553963</v>
      </c>
      <c r="I63" s="17" t="s">
        <v>1</v>
      </c>
      <c r="J63" s="18">
        <f>IF(J66="Inchangé",IF(COUNT(I64)=0,H64,I64),IF(J66="Down 1",IF(COUNT(I64)=0,H64,I64)-VLOOKUP(IF(COUNT(I64)=0,H64,I64),upgrade!$A$4:$B$102,2),IF(J66="Down 2",IF(COUNT(I64)=0,H64,I64)-2*VLOOKUP(IF(COUNT(I64)=0,H64,I64),upgrade!$A$4:$B$102,2),0)))</f>
        <v>62.882047365649527</v>
      </c>
      <c r="K63" s="17" t="s">
        <v>1</v>
      </c>
      <c r="L63" s="18">
        <f>IF(L66="Inchangé",IF(COUNT(K64)=0,J64,K64),IF(L66="Down 1",IF(COUNT(K64)=0,J64,K64)-VLOOKUP(IF(COUNT(K64)=0,J64,K64),upgrade!$A$4:$B$102,2),IF(L66="Down 2",IF(COUNT(K64)=0,J64,K64)-2*VLOOKUP(IF(COUNT(K64)=0,J64,K64),upgrade!$A$4:$B$102,2),0)))</f>
        <v>95.950497551302917</v>
      </c>
      <c r="M63" s="17" t="s">
        <v>1</v>
      </c>
      <c r="N63" s="18">
        <f>IF(N66="Inchangé",IF(COUNT(M64)=0,L64,M64),IF(N66="Down 1",IF(COUNT(M64)=0,L64,M64)-VLOOKUP(IF(COUNT(M64)=0,L64,M64),upgrade!$A$4:$B$102,2),IF(N66="Down 2",IF(COUNT(M64)=0,L64,M64)-2*VLOOKUP(IF(COUNT(M64)=0,L64,M64),upgrade!$A$4:$B$102,2),0)))</f>
        <v>97.450497551302917</v>
      </c>
      <c r="O63" s="17" t="s">
        <v>1</v>
      </c>
      <c r="P63" s="18">
        <f>IF(P66="Inchangé",IF(COUNT(O64)=0,N64,O64),IF(P66="Down 1",IF(COUNT(O64)=0,N64,O64)-VLOOKUP(IF(COUNT(O64)=0,N64,O64),upgrade!$A$4:$B$102,2),IF(P66="Down 2",IF(COUNT(O64)=0,N64,O64)-2*VLOOKUP(IF(COUNT(O64)=0,N64,O64),upgrade!$A$4:$B$102,2),0)))</f>
        <v>112.6513411550021</v>
      </c>
      <c r="Q63" s="17" t="s">
        <v>1</v>
      </c>
      <c r="R63" s="18">
        <f>IF(R66="Inchangé",IF(COUNT(Q64)=0,P64,Q64),IF(R66="Down 1",IF(COUNT(Q64)=0,P64,Q64)-VLOOKUP(IF(COUNT(Q64)=0,P64,Q64),upgrade!$A$4:$B$102,2),IF(R66="Down 2",IF(COUNT(Q64)=0,P64,Q64)-2*VLOOKUP(IF(COUNT(Q64)=0,P64,Q64),upgrade!$A$4:$B$102,2),0)))</f>
        <v>133.26890686669418</v>
      </c>
      <c r="S63" s="17" t="s">
        <v>1</v>
      </c>
      <c r="T63" s="18">
        <f>IF(T66="Inchangé",IF(COUNT(S64)=0,R64,S64),IF(T66="Down 1",IF(COUNT(S64)=0,R64,S64)-VLOOKUP(IF(COUNT(S64)=0,R64,S64),upgrade!$A$4:$B$102,2),IF(T66="Down 2",IF(COUNT(S64)=0,R64,S64)-2*VLOOKUP(IF(COUNT(S64)=0,R64,S64),upgrade!$A$4:$B$102,2),0)))</f>
        <v>165.84129294047227</v>
      </c>
      <c r="U63" s="17" t="s">
        <v>1</v>
      </c>
      <c r="V63" s="18">
        <f>IF(V66="Inchangé",IF(COUNT(U64)=0,T64,U64),IF(V66="Down 1",IF(COUNT(U64)=0,T64,U64)-VLOOKUP(IF(COUNT(U64)=0,T64,U64),upgrade!$A$4:$B$102,2),IF(V66="Down 2",IF(COUNT(U64)=0,T64,U64)-2*VLOOKUP(IF(COUNT(U64)=0,T64,U64),upgrade!$A$4:$B$102,2),0)))</f>
        <v>179.88604518308222</v>
      </c>
      <c r="W63" s="17" t="s">
        <v>1</v>
      </c>
      <c r="X63" s="18">
        <f>IF(X66="Inchangé",IF(COUNT(W64)=0,V64,W64),IF(X66="Down 1",IF(COUNT(W64)=0,V64,W64)-VLOOKUP(IF(COUNT(W64)=0,V64,W64),upgrade!$A$4:$B$102,2),IF(X66="Down 2",IF(COUNT(W64)=0,V64,W64)-2*VLOOKUP(IF(COUNT(W64)=0,V64,W64),upgrade!$A$4:$B$102,2),0)))</f>
        <v>197.86717071934575</v>
      </c>
      <c r="Y63" s="17" t="s">
        <v>1</v>
      </c>
      <c r="Z63" s="18">
        <f>IF(Z66="Inchangé",IF(COUNT(Y64)=0,X64,Y64),IF(Z66="Down 1",IF(COUNT(Y64)=0,X64,Y64)-VLOOKUP(IF(COUNT(Y64)=0,X64,Y64),upgrade!$A$4:$B$102,2),IF(Z66="Down 2",IF(COUNT(Y64)=0,X64,Y64)-2*VLOOKUP(IF(COUNT(Y64)=0,X64,Y64),upgrade!$A$4:$B$102,2),0)))</f>
        <v>217.10218260858738</v>
      </c>
      <c r="AA63" s="17" t="s">
        <v>1</v>
      </c>
      <c r="AB63" s="18">
        <f>IF(AB66="Inchangé",IF(COUNT(AA64)=0,Z64,AA64),IF(AB66="Down 1",IF(COUNT(AA64)=0,Z64,AA64)-VLOOKUP(IF(COUNT(AA64)=0,Z64,AA64),upgrade!$A$4:$B$102,2),IF(AB66="Down 2",IF(COUNT(AA64)=0,Z64,AA64)-2*VLOOKUP(IF(COUNT(AA64)=0,Z64,AA64),upgrade!$A$4:$B$102,2),0)))</f>
        <v>235.12131782012992</v>
      </c>
      <c r="AC63" s="17" t="s">
        <v>1</v>
      </c>
      <c r="AD63" s="18">
        <f>IF(AD66="Inchangé",IF(COUNT(AC64)=0,AB64,AC64),IF(AD66="Down 1",IF(COUNT(AC64)=0,AB64,AC64)-VLOOKUP(IF(COUNT(AC64)=0,AB64,AC64),upgrade!$A$4:$B$102,2),IF(AD66="Down 2",IF(COUNT(AC64)=0,AB64,AC64)-2*VLOOKUP(IF(COUNT(AC64)=0,AB64,AC64),upgrade!$A$4:$B$102,2),0)))</f>
        <v>254.55495448431108</v>
      </c>
      <c r="AE63" s="17" t="s">
        <v>1</v>
      </c>
      <c r="AF63" s="18">
        <f>IF(AF66="Inchangé",IF(COUNT(AE64)=0,AD64,AE64),IF(AF66="Down 1",IF(COUNT(AE64)=0,AD64,AE64)-VLOOKUP(IF(COUNT(AE64)=0,AD64,AE64),upgrade!$A$4:$B$102,2),IF(AF66="Down 2",IF(COUNT(AE64)=0,AD64,AE64)-2*VLOOKUP(IF(COUNT(AE64)=0,AD64,AE64),upgrade!$A$4:$B$102,2),0)))</f>
        <v>274.73420444659695</v>
      </c>
      <c r="AG63" s="17" t="s">
        <v>1</v>
      </c>
      <c r="AH63" s="18">
        <f>IF(AH66="Inchangé",IF(COUNT(AG64)=0,AF64,AG64),IF(AH66="Down 1",IF(COUNT(AG64)=0,AF64,AG64)-VLOOKUP(IF(COUNT(AG64)=0,AF64,AG64),upgrade!$A$4:$B$102,2),IF(AH66="Down 2",IF(COUNT(AG64)=0,AF64,AG64)-2*VLOOKUP(IF(COUNT(AG64)=0,AF64,AG64),upgrade!$A$4:$B$102,2),0)))</f>
        <v>306.88033856282669</v>
      </c>
      <c r="AI63" s="17" t="s">
        <v>1</v>
      </c>
      <c r="AJ63" s="18">
        <f>IF(AJ66="Inchangé",IF(COUNT(AI64)=0,AH64,AI64),IF(AJ66="Down 1",IF(COUNT(AI64)=0,AH64,AI64)-VLOOKUP(IF(COUNT(AI64)=0,AH64,AI64),upgrade!$A$4:$B$102,2),IF(AJ66="Down 2",IF(COUNT(AI64)=0,AH64,AI64)-2*VLOOKUP(IF(COUNT(AI64)=0,AH64,AI64),upgrade!$A$4:$B$102,2),0)))</f>
        <v>324.75204776168357</v>
      </c>
      <c r="AK63" s="17" t="s">
        <v>1</v>
      </c>
      <c r="AL63" s="19" t="str">
        <f>A63</f>
        <v>suspensions</v>
      </c>
      <c r="AN63">
        <v>412</v>
      </c>
      <c r="AO63">
        <f>données!C23*AO64</f>
        <v>56</v>
      </c>
      <c r="AP63">
        <f>AO63+AN63</f>
        <v>468</v>
      </c>
    </row>
    <row r="64" spans="1:46">
      <c r="A64" s="15" t="s">
        <v>1</v>
      </c>
      <c r="B64" s="5" t="s">
        <v>56</v>
      </c>
      <c r="C64" s="20"/>
      <c r="D64" s="8">
        <f>D63+IF(D$22="Aucun",0,données!$C$23*D$23/100)+données!E23</f>
        <v>25.099313207362247</v>
      </c>
      <c r="E64" s="9" t="s">
        <v>1</v>
      </c>
      <c r="F64" s="8">
        <f>F63+IF(F$22="Aucun",0,données!$C$23*F$23/100)+données!G23</f>
        <v>39.481134885553963</v>
      </c>
      <c r="G64" s="9" t="s">
        <v>1</v>
      </c>
      <c r="H64" s="8">
        <f>H63+IF(H$22="Aucun",0,données!$C$23*H$23/100)+données!I23</f>
        <v>62.882047365649527</v>
      </c>
      <c r="I64" s="9" t="s">
        <v>1</v>
      </c>
      <c r="J64" s="8">
        <f>J63+IF(J$22="Aucun",0,données!$C$23*J$23/100)+données!K23</f>
        <v>95.950497551302917</v>
      </c>
      <c r="K64" s="9" t="s">
        <v>1</v>
      </c>
      <c r="L64" s="8">
        <f>L63+IF(L$22="Aucun",0,données!$C$23*L$23/100)+données!M23</f>
        <v>97.450497551302917</v>
      </c>
      <c r="M64" s="9" t="s">
        <v>1</v>
      </c>
      <c r="N64" s="8">
        <f>N63+IF(N$22="Aucun",0,données!$C$23*N$23/100)+données!O23</f>
        <v>112.6513411550021</v>
      </c>
      <c r="O64" s="9" t="s">
        <v>1</v>
      </c>
      <c r="P64" s="8">
        <f>P63+IF(P$22="Aucun",0,données!$C$23*P$23/100)+données!Q23</f>
        <v>133.26890686669418</v>
      </c>
      <c r="Q64" s="9" t="s">
        <v>1</v>
      </c>
      <c r="R64" s="8">
        <f>R63+IF(R$22="Aucun",0,données!$C$23*R$23/100)+données!S23</f>
        <v>165.84129294047227</v>
      </c>
      <c r="S64" s="9" t="s">
        <v>1</v>
      </c>
      <c r="T64" s="8">
        <f>T63+IF(T$22="Aucun",0,données!$C$23*T$23/100)+données!U23</f>
        <v>179.88604518308222</v>
      </c>
      <c r="U64" s="9" t="s">
        <v>1</v>
      </c>
      <c r="V64" s="8">
        <f>V63+IF(V$22="Aucun",0,données!$C$23*V$23/100)+données!W23</f>
        <v>197.86717071934575</v>
      </c>
      <c r="W64" s="9" t="s">
        <v>1</v>
      </c>
      <c r="X64" s="8">
        <f>X63+IF(X$22="Aucun",0,données!$C$23*X$23/100)+données!Y23</f>
        <v>217.10218260858738</v>
      </c>
      <c r="Y64" s="9" t="s">
        <v>1</v>
      </c>
      <c r="Z64" s="8">
        <f>Z63+IF(Z$22="Aucun",0,données!$C$23*Z$23/100)+données!AA23</f>
        <v>235.12131782012992</v>
      </c>
      <c r="AA64" s="9" t="s">
        <v>1</v>
      </c>
      <c r="AB64" s="8">
        <f>AB63+IF(AB$22="Aucun",0,données!$C$23*AB$23/100)+données!AC23</f>
        <v>254.55495448431108</v>
      </c>
      <c r="AC64" s="9" t="s">
        <v>1</v>
      </c>
      <c r="AD64" s="8">
        <f>AD63+IF(AD$22="Aucun",0,données!$C$23*AD$23/100)+données!AE23</f>
        <v>274.73420444659695</v>
      </c>
      <c r="AE64" s="9" t="s">
        <v>1</v>
      </c>
      <c r="AF64" s="8">
        <f>AF63+IF(AF$22="Aucun",0,données!$C$23*AF$23/100)+données!AG23</f>
        <v>306.88033856282669</v>
      </c>
      <c r="AG64" s="9" t="s">
        <v>1</v>
      </c>
      <c r="AH64" s="8">
        <f>AH63+IF(AH$22="Aucun",0,données!$C$23*AH$23/100)+données!AI23</f>
        <v>324.75204776168357</v>
      </c>
      <c r="AI64" s="9" t="s">
        <v>1</v>
      </c>
      <c r="AJ64" s="8">
        <f>AJ63+IF(AJ$22="Aucun",0,données!$C$23*AJ$23/100)+données!AK23</f>
        <v>338.9489092939989</v>
      </c>
      <c r="AK64" s="9" t="s">
        <v>1</v>
      </c>
      <c r="AL64" s="15">
        <v>4</v>
      </c>
      <c r="AM64" t="s">
        <v>57</v>
      </c>
      <c r="AN64" s="10">
        <v>4</v>
      </c>
      <c r="AO64">
        <f>AO60</f>
        <v>4</v>
      </c>
      <c r="AP64">
        <v>4</v>
      </c>
      <c r="AQ64">
        <v>373</v>
      </c>
      <c r="AR64">
        <v>362</v>
      </c>
      <c r="AS64" s="20" t="e">
        <f>E64-D64+G64-F64+I64-H64+K64-J64+M64-L64+O64-N64+Q64-P64+S64-R64+U64-T64+W64-V64+Y64-X64+AA64-Z64</f>
        <v>#VALUE!</v>
      </c>
      <c r="AT64" t="e">
        <f>AS64/12*5</f>
        <v>#VALUE!</v>
      </c>
    </row>
    <row r="65" spans="1:45">
      <c r="A65" s="15" t="s">
        <v>1</v>
      </c>
      <c r="B65" s="5" t="s">
        <v>58</v>
      </c>
      <c r="C65" s="10">
        <v>5</v>
      </c>
      <c r="D65" s="8">
        <f>C65</f>
        <v>5</v>
      </c>
      <c r="E65" s="20"/>
      <c r="F65" s="8">
        <f>IF(F66="Down 1",D65-1,IF(F66="Down 2",D65-2,IF(F66="Upgrade",D65+1,IF(F66="Inchangé",D65,VLOOKUP(F66,données!$CY$11:$CZ$19,2)))))</f>
        <v>5</v>
      </c>
      <c r="G65" s="20"/>
      <c r="H65" s="8">
        <f>IF(H66="Down 1",F65-1,IF(H66="Down 2",F65-2,IF(H66="Upgrade",F65+1,IF(H66="Inchangé",F65,VLOOKUP(H66,données!$CY$11:$CZ$19,2)))))</f>
        <v>5</v>
      </c>
      <c r="I65" s="20"/>
      <c r="J65" s="8">
        <f>IF(J66="Down 1",H65-1,IF(J66="Down 2",H65-2,IF(J66="Upgrade",H65+1,IF(J66="Inchangé",H65,VLOOKUP(J66,données!$CY$11:$CZ$19,2)))))</f>
        <v>5</v>
      </c>
      <c r="K65" s="20"/>
      <c r="L65" s="8">
        <f>IF(L66="Down 1",J65-1,IF(L66="Down 2",J65-2,IF(L66="Upgrade",J65+1,IF(L66="Inchangé",J65,VLOOKUP(L66,données!$CY$11:$CZ$19,2)))))</f>
        <v>5</v>
      </c>
      <c r="M65" s="20"/>
      <c r="N65" s="8">
        <f>IF(N66="Down 1",L65-1,IF(N66="Down 2",L65-2,IF(N66="Upgrade",L65+1,IF(N66="Inchangé",L65,VLOOKUP(N66,données!$CY$11:$CZ$19,2)))))</f>
        <v>5</v>
      </c>
      <c r="O65" s="20"/>
      <c r="P65" s="8">
        <f>IF(P66="Down 1",N65-1,IF(P66="Down 2",N65-2,IF(P66="Upgrade",N65+1,IF(P66="Inchangé",N65,VLOOKUP(P66,données!$CY$11:$CZ$19,2)))))</f>
        <v>5</v>
      </c>
      <c r="Q65" s="20"/>
      <c r="R65" s="8">
        <f>IF(R66="Down 1",P65-1,IF(R66="Down 2",P65-2,IF(R66="Upgrade",P65+1,IF(R66="Inchangé",P65,VLOOKUP(R66,données!$CY$11:$CZ$19,2)))))</f>
        <v>5</v>
      </c>
      <c r="S65" s="20"/>
      <c r="T65" s="8">
        <f>IF(T66="Down 1",R65-1,IF(T66="Down 2",R65-2,IF(T66="Upgrade",R65+1,IF(T66="Inchangé",R65,VLOOKUP(T66,données!$CY$11:$CZ$19,2)))))</f>
        <v>5</v>
      </c>
      <c r="U65" s="20"/>
      <c r="V65" s="8">
        <f>IF(V66="Down 1",T65-1,IF(V66="Down 2",T65-2,IF(V66="Upgrade",T65+1,IF(V66="Inchangé",T65,VLOOKUP(V66,données!$CY$11:$CZ$19,2)))))</f>
        <v>5</v>
      </c>
      <c r="W65" s="20"/>
      <c r="X65" s="8">
        <f>IF(X66="Down 1",V65-1,IF(X66="Down 2",V65-2,IF(X66="Upgrade",V65+1,IF(X66="Inchangé",V65,VLOOKUP(X66,données!$CY$11:$CZ$19,2)))))</f>
        <v>5</v>
      </c>
      <c r="Y65" s="20"/>
      <c r="Z65" s="8">
        <f>IF(Z66="Down 1",X65-1,IF(Z66="Down 2",X65-2,IF(Z66="Upgrade",X65+1,IF(Z66="Inchangé",X65,VLOOKUP(Z66,données!$CY$11:$CZ$19,2)))))</f>
        <v>5</v>
      </c>
      <c r="AA65" s="20"/>
      <c r="AB65" s="8">
        <f>IF(AB66="Down 1",Z65-1,IF(AB66="Down 2",Z65-2,IF(AB66="Upgrade",Z65+1,IF(AB66="Inchangé",Z65,VLOOKUP(AB66,données!$CY$11:$CZ$19,2)))))</f>
        <v>5</v>
      </c>
      <c r="AC65" s="20"/>
      <c r="AD65" s="8">
        <f>IF(AD66="Down 1",AB65-1,IF(AD66="Down 2",AB65-2,IF(AD66="Upgrade",AB65+1,IF(AD66="Inchangé",AB65,VLOOKUP(AD66,données!$CY$11:$CZ$19,2)))))</f>
        <v>5</v>
      </c>
      <c r="AE65" s="20"/>
      <c r="AF65" s="8">
        <f>IF(AF66="Down 1",AD65-1,IF(AF66="Down 2",AD65-2,IF(AF66="Upgrade",AD65+1,IF(AF66="Inchangé",AD65,VLOOKUP(AF66,données!$CY$11:$CZ$19,2)))))</f>
        <v>5</v>
      </c>
      <c r="AG65" s="20"/>
      <c r="AH65" s="8">
        <f>IF(AH66="Down 1",AF65-1,IF(AH66="Down 2",AF65-2,IF(AH66="Upgrade",AF65+1,IF(AH66="Inchangé",AF65,VLOOKUP(AH66,données!$CY$11:$CZ$19,2)))))</f>
        <v>5</v>
      </c>
      <c r="AI65" s="20"/>
      <c r="AJ65" s="8">
        <f>IF(AJ66="Down 1",AH65-1,IF(AJ66="Down 2",AH65-2,IF(AJ66="Upgrade",AH65+1,IF(AJ66="Inchangé",AH65,VLOOKUP(AJ66,données!$CY$11:$CZ$19,2)))))</f>
        <v>5</v>
      </c>
      <c r="AK65" s="20"/>
      <c r="AL65" s="15">
        <v>5</v>
      </c>
      <c r="AM65" t="s">
        <v>59</v>
      </c>
      <c r="AN65" s="11">
        <v>5</v>
      </c>
      <c r="AP65">
        <v>7</v>
      </c>
    </row>
    <row r="66" spans="1:45">
      <c r="A66" s="24"/>
      <c r="B66" s="5" t="s">
        <v>60</v>
      </c>
      <c r="C66" s="25" t="s">
        <v>1</v>
      </c>
      <c r="D66" s="21"/>
      <c r="E66" s="22"/>
      <c r="F66" s="23" t="s">
        <v>61</v>
      </c>
      <c r="G66" s="22"/>
      <c r="H66" s="23" t="s">
        <v>61</v>
      </c>
      <c r="I66" s="22"/>
      <c r="J66" s="23" t="s">
        <v>61</v>
      </c>
      <c r="K66" s="22"/>
      <c r="L66" s="23" t="s">
        <v>61</v>
      </c>
      <c r="M66" s="22"/>
      <c r="N66" s="23" t="s">
        <v>61</v>
      </c>
      <c r="O66" s="22"/>
      <c r="P66" s="23" t="s">
        <v>61</v>
      </c>
      <c r="Q66" s="22"/>
      <c r="R66" s="23" t="s">
        <v>61</v>
      </c>
      <c r="S66" s="22"/>
      <c r="T66" s="23" t="s">
        <v>61</v>
      </c>
      <c r="U66" s="22"/>
      <c r="V66" s="23" t="s">
        <v>61</v>
      </c>
      <c r="W66" s="22"/>
      <c r="X66" s="23" t="s">
        <v>61</v>
      </c>
      <c r="Y66" s="22"/>
      <c r="Z66" s="23" t="s">
        <v>61</v>
      </c>
      <c r="AA66" s="22"/>
      <c r="AB66" s="23" t="s">
        <v>61</v>
      </c>
      <c r="AC66" s="22"/>
      <c r="AD66" s="23" t="s">
        <v>61</v>
      </c>
      <c r="AE66" s="22"/>
      <c r="AF66" s="23" t="s">
        <v>61</v>
      </c>
      <c r="AG66" s="22"/>
      <c r="AH66" s="23" t="s">
        <v>61</v>
      </c>
      <c r="AI66" s="22"/>
      <c r="AJ66" s="23" t="s">
        <v>61</v>
      </c>
      <c r="AK66" s="22"/>
      <c r="AL66" s="24">
        <f ca="1">OFFSET(données!$BM$16,0,AL65)*AL64</f>
        <v>11119.732</v>
      </c>
      <c r="AM66" t="s">
        <v>52</v>
      </c>
      <c r="AN66">
        <f ca="1">OFFSET(données!$BM$16,0,AN65)*AN64</f>
        <v>11119.732</v>
      </c>
      <c r="AP66">
        <f ca="1">OFFSET(données!$BM$16,0,AP65)*AP64</f>
        <v>17056.36</v>
      </c>
    </row>
    <row r="67" spans="1:45">
      <c r="A67" s="5" t="s">
        <v>75</v>
      </c>
      <c r="B67" s="5" t="s">
        <v>55</v>
      </c>
      <c r="C67" s="20" t="s">
        <v>1</v>
      </c>
      <c r="D67" s="18">
        <v>0</v>
      </c>
      <c r="E67" s="17"/>
      <c r="F67" s="18">
        <f>IF(F70="Inchangé",IF(COUNT(E68)=0,D68,E68),IF(F70="Down 1",IF(COUNT(E68)=0,D68,E68)-VLOOKUP(IF(COUNT(E68)=0,D68,E68),upgrade!$A$4:$B$102,2),IF(F70="Down 2",IF(COUNT(E68)=0,D68,E68)-2*VLOOKUP(IF(COUNT(E68)=0,D68,E68),upgrade!$A$4:$B$102,2),0)))</f>
        <v>12.90245986123438</v>
      </c>
      <c r="G67" s="17" t="s">
        <v>1</v>
      </c>
      <c r="H67" s="18">
        <f>IF(H70="Inchangé",IF(COUNT(G68)=0,F68,G68),IF(H70="Down 1",IF(COUNT(G68)=0,F68,G68)-VLOOKUP(IF(COUNT(G68)=0,F68,G68),upgrade!$A$4:$B$102,2),IF(H70="Down 2",IF(COUNT(G68)=0,F68,G68)-2*VLOOKUP(IF(COUNT(G68)=0,F68,G68),upgrade!$A$4:$B$102,2),0)))</f>
        <v>24.777498855492524</v>
      </c>
      <c r="I67" s="17" t="s">
        <v>1</v>
      </c>
      <c r="J67" s="18">
        <f>IF(J70="Inchangé",IF(COUNT(I68)=0,H68,I68),IF(J70="Down 1",IF(COUNT(I68)=0,H68,I68)-VLOOKUP(IF(COUNT(I68)=0,H68,I68),upgrade!$A$4:$B$102,2),IF(J70="Down 2",IF(COUNT(I68)=0,H68,I68)-2*VLOOKUP(IF(COUNT(I68)=0,H68,I68),upgrade!$A$4:$B$102,2),0)))</f>
        <v>36.134376011984152</v>
      </c>
      <c r="K67" s="17" t="s">
        <v>1</v>
      </c>
      <c r="L67" s="18">
        <f>IF(L70="Inchangé",IF(COUNT(K68)=0,J68,K68),IF(L70="Down 1",IF(COUNT(K68)=0,J68,K68)-VLOOKUP(IF(COUNT(K68)=0,J68,K68),upgrade!$A$4:$B$102,2),IF(L70="Down 2",IF(COUNT(K68)=0,J68,K68)-2*VLOOKUP(IF(COUNT(K68)=0,J68,K68),upgrade!$A$4:$B$102,2),0)))</f>
        <v>50.38683295518922</v>
      </c>
      <c r="M67" s="17" t="s">
        <v>1</v>
      </c>
      <c r="N67" s="18">
        <f>IF(N70="Inchangé",IF(COUNT(M68)=0,L68,M68),IF(N70="Down 1",IF(COUNT(M68)=0,L68,M68)-VLOOKUP(IF(COUNT(M68)=0,L68,M68),upgrade!$A$4:$B$102,2),IF(N70="Down 2",IF(COUNT(M68)=0,L68,M68)-2*VLOOKUP(IF(COUNT(M68)=0,L68,M68),upgrade!$A$4:$B$102,2),0)))</f>
        <v>51.88683295518922</v>
      </c>
      <c r="O67" s="17" t="s">
        <v>1</v>
      </c>
      <c r="P67" s="18">
        <f>IF(P70="Inchangé",IF(COUNT(O68)=0,N68,O68),IF(P70="Down 1",IF(COUNT(O68)=0,N68,O68)-VLOOKUP(IF(COUNT(O68)=0,N68,O68),upgrade!$A$4:$B$102,2),IF(P70="Down 2",IF(COUNT(O68)=0,N68,O68)-2*VLOOKUP(IF(COUNT(O68)=0,N68,O68),upgrade!$A$4:$B$102,2),0)))</f>
        <v>65.993680984629293</v>
      </c>
      <c r="Q67" s="17" t="s">
        <v>1</v>
      </c>
      <c r="R67" s="18">
        <f>IF(R70="Inchangé",IF(COUNT(Q68)=0,P68,Q68),IF(R70="Down 1",IF(COUNT(Q68)=0,P68,Q68)-VLOOKUP(IF(COUNT(Q68)=0,P68,Q68),upgrade!$A$4:$B$102,2),IF(R70="Down 2",IF(COUNT(Q68)=0,P68,Q68)-2*VLOOKUP(IF(COUNT(Q68)=0,P68,Q68),upgrade!$A$4:$B$102,2),0)))</f>
        <v>80.728771854173786</v>
      </c>
      <c r="S67" s="17" t="s">
        <v>1</v>
      </c>
      <c r="T67" s="18">
        <f>IF(T70="Inchangé",IF(COUNT(S68)=0,R68,S68),IF(T70="Down 1",IF(COUNT(S68)=0,R68,S68)-VLOOKUP(IF(COUNT(S68)=0,R68,S68),upgrade!$A$4:$B$102,2),IF(T70="Down 2",IF(COUNT(S68)=0,R68,S68)-2*VLOOKUP(IF(COUNT(S68)=0,R68,S68),upgrade!$A$4:$B$102,2),0)))</f>
        <v>93.978021811528151</v>
      </c>
      <c r="U67" s="17" t="s">
        <v>1</v>
      </c>
      <c r="V67" s="18">
        <f>IF(V70="Inchangé",IF(COUNT(U68)=0,T68,U68),IF(V70="Down 1",IF(COUNT(U68)=0,T68,U68)-VLOOKUP(IF(COUNT(U68)=0,T68,U68),upgrade!$A$4:$B$102,2),IF(V70="Down 2",IF(COUNT(U68)=0,T68,U68)-2*VLOOKUP(IF(COUNT(U68)=0,T68,U68),upgrade!$A$4:$B$102,2),0)))</f>
        <v>106.31789627010397</v>
      </c>
      <c r="W67" s="17" t="s">
        <v>1</v>
      </c>
      <c r="X67" s="18">
        <f>IF(X70="Inchangé",IF(COUNT(W68)=0,V68,W68),IF(X70="Down 1",IF(COUNT(W68)=0,V68,W68)-VLOOKUP(IF(COUNT(W68)=0,V68,W68),upgrade!$A$4:$B$102,2),IF(X70="Down 2",IF(COUNT(W68)=0,V68,W68)-2*VLOOKUP(IF(COUNT(W68)=0,V68,W68),upgrade!$A$4:$B$102,2),0)))</f>
        <v>119.72656465247449</v>
      </c>
      <c r="Y67" s="17" t="s">
        <v>1</v>
      </c>
      <c r="Z67" s="18">
        <f>IF(Z70="Inchangé",IF(COUNT(Y68)=0,X68,Y68),IF(Z70="Down 1",IF(COUNT(Y68)=0,X68,Y68)-VLOOKUP(IF(COUNT(Y68)=0,X68,Y68),upgrade!$A$4:$B$102,2),IF(Z70="Down 2",IF(COUNT(Y68)=0,X68,Y68)-2*VLOOKUP(IF(COUNT(Y68)=0,X68,Y68),upgrade!$A$4:$B$102,2),0)))</f>
        <v>132.54981418001762</v>
      </c>
      <c r="AA67" s="17" t="s">
        <v>1</v>
      </c>
      <c r="AB67" s="18">
        <f>IF(AB70="Inchangé",IF(COUNT(AA68)=0,Z68,AA68),IF(AB70="Down 1",IF(COUNT(AA68)=0,Z68,AA68)-VLOOKUP(IF(COUNT(AA68)=0,Z68,AA68),upgrade!$A$4:$B$102,2),IF(AB70="Down 2",IF(COUNT(AA68)=0,Z68,AA68)-2*VLOOKUP(IF(COUNT(AA68)=0,Z68,AA68),upgrade!$A$4:$B$102,2),0)))</f>
        <v>145.13880569847078</v>
      </c>
      <c r="AC67" s="17" t="s">
        <v>1</v>
      </c>
      <c r="AD67" s="18">
        <f>IF(AD70="Inchangé",IF(COUNT(AC68)=0,AB68,AC68),IF(AD70="Down 1",IF(COUNT(AC68)=0,AB68,AC68)-VLOOKUP(IF(COUNT(AC68)=0,AB68,AC68),upgrade!$A$4:$B$102,2),IF(AD70="Down 2",IF(COUNT(AC68)=0,AB68,AC68)-2*VLOOKUP(IF(COUNT(AC68)=0,AB68,AC68),upgrade!$A$4:$B$102,2),0)))</f>
        <v>159.56326161167541</v>
      </c>
      <c r="AE67" s="17" t="s">
        <v>1</v>
      </c>
      <c r="AF67" s="18">
        <f>IF(AF70="Inchangé",IF(COUNT(AE68)=0,AD68,AE68),IF(AF70="Down 1",IF(COUNT(AE68)=0,AD68,AE68)-VLOOKUP(IF(COUNT(AE68)=0,AD68,AE68),upgrade!$A$4:$B$102,2),IF(AF70="Down 2",IF(COUNT(AE68)=0,AD68,AE68)-2*VLOOKUP(IF(COUNT(AE68)=0,AD68,AE68),upgrade!$A$4:$B$102,2),0)))</f>
        <v>174.03758723117397</v>
      </c>
      <c r="AG67" s="17" t="s">
        <v>1</v>
      </c>
      <c r="AH67" s="18">
        <f>IF(AH70="Inchangé",IF(COUNT(AG68)=0,AF68,AG68),IF(AH70="Down 1",IF(COUNT(AG68)=0,AF68,AG68)-VLOOKUP(IF(COUNT(AG68)=0,AF68,AG68),upgrade!$A$4:$B$102,2),IF(AH70="Down 2",IF(COUNT(AG68)=0,AF68,AG68)-2*VLOOKUP(IF(COUNT(AG68)=0,AF68,AG68),upgrade!$A$4:$B$102,2),0)))</f>
        <v>187.1190263089965</v>
      </c>
      <c r="AI67" s="17" t="s">
        <v>1</v>
      </c>
      <c r="AJ67" s="18">
        <f>IF(AJ70="Inchangé",IF(COUNT(AI68)=0,AH68,AI68),IF(AJ70="Down 1",IF(COUNT(AI68)=0,AH68,AI68)-VLOOKUP(IF(COUNT(AI68)=0,AH68,AI68),upgrade!$A$4:$B$102,2),IF(AJ70="Down 2",IF(COUNT(AI68)=0,AH68,AI68)-2*VLOOKUP(IF(COUNT(AI68)=0,AH68,AI68),upgrade!$A$4:$B$102,2),0)))</f>
        <v>202.35933250680222</v>
      </c>
      <c r="AK67" s="17" t="s">
        <v>1</v>
      </c>
      <c r="AL67" s="15" t="str">
        <f>données!BM17</f>
        <v>électronique</v>
      </c>
      <c r="AN67">
        <v>213</v>
      </c>
      <c r="AO67">
        <f>données!C24*AO68</f>
        <v>32</v>
      </c>
      <c r="AP67">
        <f>AO67+AN67</f>
        <v>245</v>
      </c>
    </row>
    <row r="68" spans="1:45">
      <c r="A68" s="5" t="s">
        <v>1</v>
      </c>
      <c r="B68" s="5" t="s">
        <v>56</v>
      </c>
      <c r="C68" s="20"/>
      <c r="D68" s="8">
        <f>D67+IF(D$22="Aucun",0,données!$C$24*D$23/100)+données!E24</f>
        <v>12.90245986123438</v>
      </c>
      <c r="E68" s="9" t="s">
        <v>1</v>
      </c>
      <c r="F68" s="8">
        <f>F67+IF(F$22="Aucun",0,données!$C$24*F$23/100)+données!G24</f>
        <v>24.777498855492524</v>
      </c>
      <c r="G68" s="9" t="s">
        <v>1</v>
      </c>
      <c r="H68" s="8">
        <f>H67+IF(H$22="Aucun",0,données!$C$24*H$23/100)+données!I24</f>
        <v>36.134376011984152</v>
      </c>
      <c r="I68" s="9" t="s">
        <v>1</v>
      </c>
      <c r="J68" s="8">
        <f>J67+IF(J$22="Aucun",0,données!$C$24*J$23/100)+données!K24</f>
        <v>50.38683295518922</v>
      </c>
      <c r="K68" s="9" t="s">
        <v>1</v>
      </c>
      <c r="L68" s="8">
        <f>L67+IF(L$22="Aucun",0,données!$C$24*L$23/100)+données!M24</f>
        <v>51.88683295518922</v>
      </c>
      <c r="M68" s="9" t="s">
        <v>1</v>
      </c>
      <c r="N68" s="8">
        <f>N67+IF(N$22="Aucun",0,données!$C$24*N$23/100)+données!O24</f>
        <v>65.993680984629293</v>
      </c>
      <c r="O68" s="9" t="s">
        <v>1</v>
      </c>
      <c r="P68" s="8">
        <f>P67+IF(P$22="Aucun",0,données!$C$24*P$23/100)+données!Q24</f>
        <v>80.728771854173786</v>
      </c>
      <c r="Q68" s="9" t="s">
        <v>1</v>
      </c>
      <c r="R68" s="8">
        <f>R67+IF(R$22="Aucun",0,données!$C$24*R$23/100)+données!S24</f>
        <v>93.978021811528151</v>
      </c>
      <c r="S68" s="9" t="s">
        <v>1</v>
      </c>
      <c r="T68" s="8">
        <f>T67+IF(T$22="Aucun",0,données!$C$24*T$23/100)+données!U24</f>
        <v>106.31789627010397</v>
      </c>
      <c r="U68" s="9" t="s">
        <v>1</v>
      </c>
      <c r="V68" s="8">
        <f>V67+IF(V$22="Aucun",0,données!$C$24*V$23/100)+données!W24</f>
        <v>119.72656465247449</v>
      </c>
      <c r="W68" s="9" t="s">
        <v>1</v>
      </c>
      <c r="X68" s="8">
        <f>X67+IF(X$22="Aucun",0,données!$C$24*X$23/100)+données!Y24</f>
        <v>132.54981418001762</v>
      </c>
      <c r="Y68" s="9" t="s">
        <v>1</v>
      </c>
      <c r="Z68" s="8">
        <f>Z67+IF(Z$22="Aucun",0,données!$C$24*Z$23/100)+données!AA24</f>
        <v>145.13880569847078</v>
      </c>
      <c r="AA68" s="9" t="s">
        <v>1</v>
      </c>
      <c r="AB68" s="8">
        <f>AB67+IF(AB$22="Aucun",0,données!$C$24*AB$23/100)+données!AC24</f>
        <v>159.56326161167541</v>
      </c>
      <c r="AC68" s="9" t="s">
        <v>1</v>
      </c>
      <c r="AD68" s="8">
        <f>AD67+IF(AD$22="Aucun",0,données!$C$24*AD$23/100)+données!AE24</f>
        <v>174.03758723117397</v>
      </c>
      <c r="AE68" s="9" t="s">
        <v>1</v>
      </c>
      <c r="AF68" s="8">
        <f>AF67+IF(AF$22="Aucun",0,données!$C$24*AF$23/100)+données!AG24</f>
        <v>187.1190263089965</v>
      </c>
      <c r="AG68" s="9" t="s">
        <v>1</v>
      </c>
      <c r="AH68" s="8">
        <f>AH67+IF(AH$22="Aucun",0,données!$C$24*AH$23/100)+données!AI24</f>
        <v>202.35933250680222</v>
      </c>
      <c r="AI68" s="9" t="s">
        <v>1</v>
      </c>
      <c r="AJ68" s="8">
        <f>AJ67+IF(AJ$22="Aucun",0,données!$C$24*AJ$23/100)+données!AK24</f>
        <v>211.48183890939114</v>
      </c>
      <c r="AK68" s="9" t="s">
        <v>1</v>
      </c>
      <c r="AL68" s="15">
        <v>2</v>
      </c>
      <c r="AM68" t="s">
        <v>57</v>
      </c>
      <c r="AN68" s="10">
        <v>2</v>
      </c>
      <c r="AO68">
        <f>AO64</f>
        <v>4</v>
      </c>
      <c r="AP68">
        <v>2</v>
      </c>
      <c r="AQ68">
        <v>229</v>
      </c>
      <c r="AR68">
        <v>221</v>
      </c>
      <c r="AS68" s="20" t="e">
        <f>E68-D68+G68-F68+I68-H68+K68-J68+M68-L68+O68-N68+Q68-P68+S68-R68+U68-T68+W68-V68+Y68-X68+AA68-Z68</f>
        <v>#VALUE!</v>
      </c>
    </row>
    <row r="69" spans="1:45">
      <c r="A69" s="5" t="s">
        <v>1</v>
      </c>
      <c r="B69" s="5" t="s">
        <v>58</v>
      </c>
      <c r="C69" s="10">
        <v>5</v>
      </c>
      <c r="D69" s="8">
        <f>C69</f>
        <v>5</v>
      </c>
      <c r="E69" s="20"/>
      <c r="F69" s="8">
        <f>IF(F70="Down 1",D69-1,IF(F70="Down 2",D69-2,IF(F70="Upgrade",D69+1,IF(F70="Inchangé",D69,VLOOKUP(F70,données!$CY$11:$CZ$19,2)))))</f>
        <v>5</v>
      </c>
      <c r="G69" s="20"/>
      <c r="H69" s="8">
        <f>IF(H70="Down 1",F69-1,IF(H70="Down 2",F69-2,IF(H70="Upgrade",F69+1,IF(H70="Inchangé",F69,VLOOKUP(H70,données!$CY$11:$CZ$19,2)))))</f>
        <v>5</v>
      </c>
      <c r="I69" s="20"/>
      <c r="J69" s="8">
        <f>IF(J70="Down 1",H69-1,IF(J70="Down 2",H69-2,IF(J70="Upgrade",H69+1,IF(J70="Inchangé",H69,VLOOKUP(J70,données!$CY$11:$CZ$19,2)))))</f>
        <v>5</v>
      </c>
      <c r="K69" s="20"/>
      <c r="L69" s="8">
        <f>IF(L70="Down 1",J69-1,IF(L70="Down 2",J69-2,IF(L70="Upgrade",J69+1,IF(L70="Inchangé",J69,VLOOKUP(L70,données!$CY$11:$CZ$19,2)))))</f>
        <v>5</v>
      </c>
      <c r="M69" s="20"/>
      <c r="N69" s="8">
        <f>IF(N70="Down 1",L69-1,IF(N70="Down 2",L69-2,IF(N70="Upgrade",L69+1,IF(N70="Inchangé",L69,VLOOKUP(N70,données!$CY$11:$CZ$19,2)))))</f>
        <v>5</v>
      </c>
      <c r="O69" s="20"/>
      <c r="P69" s="8">
        <f>IF(P70="Down 1",N69-1,IF(P70="Down 2",N69-2,IF(P70="Upgrade",N69+1,IF(P70="Inchangé",N69,VLOOKUP(P70,données!$CY$11:$CZ$19,2)))))</f>
        <v>5</v>
      </c>
      <c r="Q69" s="20"/>
      <c r="R69" s="8">
        <f>IF(R70="Down 1",P69-1,IF(R70="Down 2",P69-2,IF(R70="Upgrade",P69+1,IF(R70="Inchangé",P69,VLOOKUP(R70,données!$CY$11:$CZ$19,2)))))</f>
        <v>5</v>
      </c>
      <c r="S69" s="20"/>
      <c r="T69" s="8">
        <f>IF(T70="Down 1",R69-1,IF(T70="Down 2",R69-2,IF(T70="Upgrade",R69+1,IF(T70="Inchangé",R69,VLOOKUP(T70,données!$CY$11:$CZ$19,2)))))</f>
        <v>5</v>
      </c>
      <c r="U69" s="20"/>
      <c r="V69" s="8">
        <f>IF(V70="Down 1",T69-1,IF(V70="Down 2",T69-2,IF(V70="Upgrade",T69+1,IF(V70="Inchangé",T69,VLOOKUP(V70,données!$CY$11:$CZ$19,2)))))</f>
        <v>5</v>
      </c>
      <c r="W69" s="20"/>
      <c r="X69" s="8">
        <f>IF(X70="Down 1",V69-1,IF(X70="Down 2",V69-2,IF(X70="Upgrade",V69+1,IF(X70="Inchangé",V69,VLOOKUP(X70,données!$CY$11:$CZ$19,2)))))</f>
        <v>5</v>
      </c>
      <c r="Y69" s="20"/>
      <c r="Z69" s="8">
        <f>IF(Z70="Down 1",X69-1,IF(Z70="Down 2",X69-2,IF(Z70="Upgrade",X69+1,IF(Z70="Inchangé",X69,VLOOKUP(Z70,données!$CY$11:$CZ$19,2)))))</f>
        <v>5</v>
      </c>
      <c r="AA69" s="20"/>
      <c r="AB69" s="8">
        <f>IF(AB70="Down 1",Z69-1,IF(AB70="Down 2",Z69-2,IF(AB70="Upgrade",Z69+1,IF(AB70="Inchangé",Z69,VLOOKUP(AB70,données!$CY$11:$CZ$19,2)))))</f>
        <v>5</v>
      </c>
      <c r="AC69" s="20"/>
      <c r="AD69" s="8">
        <f>IF(AD70="Down 1",AB69-1,IF(AD70="Down 2",AB69-2,IF(AD70="Upgrade",AB69+1,IF(AD70="Inchangé",AB69,VLOOKUP(AD70,données!$CY$11:$CZ$19,2)))))</f>
        <v>5</v>
      </c>
      <c r="AE69" s="20"/>
      <c r="AF69" s="8">
        <f>IF(AF70="Down 1",AD69-1,IF(AF70="Down 2",AD69-2,IF(AF70="Upgrade",AD69+1,IF(AF70="Inchangé",AD69,VLOOKUP(AF70,données!$CY$11:$CZ$19,2)))))</f>
        <v>5</v>
      </c>
      <c r="AG69" s="20"/>
      <c r="AH69" s="8">
        <f>IF(AH70="Down 1",AF69-1,IF(AH70="Down 2",AF69-2,IF(AH70="Upgrade",AF69+1,IF(AH70="Inchangé",AF69,VLOOKUP(AH70,données!$CY$11:$CZ$19,2)))))</f>
        <v>5</v>
      </c>
      <c r="AI69" s="20"/>
      <c r="AJ69" s="8">
        <f>IF(AJ70="Down 1",AH69-1,IF(AJ70="Down 2",AH69-2,IF(AJ70="Upgrade",AH69+1,IF(AJ70="Inchangé",AH69,VLOOKUP(AJ70,données!$CY$11:$CZ$19,2)))))</f>
        <v>5</v>
      </c>
      <c r="AK69" s="20"/>
      <c r="AL69" s="15">
        <v>5</v>
      </c>
      <c r="AM69" t="s">
        <v>59</v>
      </c>
      <c r="AN69" s="11">
        <v>5</v>
      </c>
      <c r="AP69">
        <v>7</v>
      </c>
    </row>
    <row r="70" spans="1:45">
      <c r="A70" s="5"/>
      <c r="B70" s="5" t="s">
        <v>60</v>
      </c>
      <c r="C70" s="20"/>
      <c r="D70" s="21"/>
      <c r="E70" s="22"/>
      <c r="F70" s="23" t="s">
        <v>61</v>
      </c>
      <c r="G70" s="20"/>
      <c r="H70" s="23" t="s">
        <v>61</v>
      </c>
      <c r="I70" s="20"/>
      <c r="J70" s="23" t="s">
        <v>61</v>
      </c>
      <c r="K70" s="20"/>
      <c r="L70" s="23" t="s">
        <v>61</v>
      </c>
      <c r="M70" s="20"/>
      <c r="N70" s="23" t="s">
        <v>61</v>
      </c>
      <c r="O70" s="20"/>
      <c r="P70" s="23" t="s">
        <v>61</v>
      </c>
      <c r="Q70" s="20"/>
      <c r="R70" s="23" t="s">
        <v>61</v>
      </c>
      <c r="S70" s="20"/>
      <c r="T70" s="23" t="s">
        <v>61</v>
      </c>
      <c r="U70" s="20"/>
      <c r="V70" s="23" t="s">
        <v>61</v>
      </c>
      <c r="W70" s="20"/>
      <c r="X70" s="23" t="s">
        <v>61</v>
      </c>
      <c r="Y70" s="20"/>
      <c r="Z70" s="23" t="s">
        <v>61</v>
      </c>
      <c r="AA70" s="20"/>
      <c r="AB70" s="23" t="s">
        <v>61</v>
      </c>
      <c r="AC70" s="20"/>
      <c r="AD70" s="23" t="s">
        <v>61</v>
      </c>
      <c r="AE70" s="20"/>
      <c r="AF70" s="23" t="s">
        <v>61</v>
      </c>
      <c r="AG70" s="20"/>
      <c r="AH70" s="23" t="s">
        <v>61</v>
      </c>
      <c r="AI70" s="20"/>
      <c r="AJ70" s="23" t="s">
        <v>61</v>
      </c>
      <c r="AK70" s="20"/>
      <c r="AL70" s="15">
        <f ca="1">OFFSET(données!$BM$17,0,AL69)*AL68</f>
        <v>4415.8</v>
      </c>
      <c r="AM70" t="s">
        <v>52</v>
      </c>
      <c r="AN70">
        <f ca="1">OFFSET(données!$BM$17,0,AN69)*AN68</f>
        <v>4415.8</v>
      </c>
      <c r="AP70">
        <f ca="1">OFFSET(données!$BM$17,0,AP69)*AP68</f>
        <v>6773.3180000000002</v>
      </c>
    </row>
    <row r="71" spans="1:45" ht="15.6">
      <c r="A71" s="5" t="s">
        <v>1</v>
      </c>
      <c r="B71" s="28" t="s">
        <v>22</v>
      </c>
      <c r="C71" s="29" t="s">
        <v>76</v>
      </c>
      <c r="D71" s="192" t="str">
        <f>D4</f>
        <v>Interlagos</v>
      </c>
      <c r="E71" s="192"/>
      <c r="F71" s="191" t="str">
        <f>F4</f>
        <v>Melbourne</v>
      </c>
      <c r="G71" s="191"/>
      <c r="H71" s="192" t="str">
        <f>H4</f>
        <v>Mexico City</v>
      </c>
      <c r="I71" s="192"/>
      <c r="J71" s="191" t="str">
        <f>J4</f>
        <v>Buenos Aires</v>
      </c>
      <c r="K71" s="191"/>
      <c r="L71" s="192" t="str">
        <f>L4</f>
        <v>Las Vegas</v>
      </c>
      <c r="M71" s="192"/>
      <c r="N71" s="191" t="str">
        <f>N4</f>
        <v>Fuji</v>
      </c>
      <c r="O71" s="191"/>
      <c r="P71" s="192" t="str">
        <f>P4</f>
        <v>Yas Marina</v>
      </c>
      <c r="Q71" s="192"/>
      <c r="R71" s="191" t="str">
        <f>R4</f>
        <v>Shanghai</v>
      </c>
      <c r="S71" s="191"/>
      <c r="T71" s="192" t="str">
        <f>T4</f>
        <v>Istanbul</v>
      </c>
      <c r="U71" s="192"/>
      <c r="V71" s="191" t="str">
        <f>V4</f>
        <v>Sepang</v>
      </c>
      <c r="W71" s="191"/>
      <c r="X71" s="192" t="str">
        <f>X4</f>
        <v>Mugello</v>
      </c>
      <c r="Y71" s="192"/>
      <c r="Z71" s="191" t="str">
        <f>Z4</f>
        <v>Hockenheim</v>
      </c>
      <c r="AA71" s="191"/>
      <c r="AB71" s="192" t="str">
        <f>AB4</f>
        <v>Brno</v>
      </c>
      <c r="AC71" s="192"/>
      <c r="AD71" s="191" t="str">
        <f>AD4</f>
        <v>Serres</v>
      </c>
      <c r="AE71" s="191"/>
      <c r="AF71" s="192" t="str">
        <f>AF4</f>
        <v>Portimao</v>
      </c>
      <c r="AG71" s="192"/>
      <c r="AH71" s="191" t="str">
        <f>AH4</f>
        <v>Poznan</v>
      </c>
      <c r="AI71" s="191"/>
      <c r="AJ71" s="192" t="str">
        <f>AJ4</f>
        <v>Oesterreichring</v>
      </c>
      <c r="AK71" s="192"/>
      <c r="AL71" s="5">
        <f ca="1">AL30+AL34+AL38+AL42+AL46+AL50+AL54+AL58+AL62+AL66+AL70</f>
        <v>129252.07000000002</v>
      </c>
      <c r="AM71" t="s">
        <v>844</v>
      </c>
      <c r="AN71">
        <f ca="1">AN30+AN34+AN38+AN42+AN46+AN50+AN54+AN58+AN62+AN66+AN70</f>
        <v>138151.06900000002</v>
      </c>
      <c r="AP71">
        <f ca="1">AP30+AP34+AP38+AP42+AP46+AP50+AP54+AP58+AP62+AP66+AP70</f>
        <v>237540.01600000003</v>
      </c>
    </row>
    <row r="72" spans="1:45">
      <c r="A72" s="5" t="s">
        <v>77</v>
      </c>
      <c r="B72" s="5"/>
      <c r="C72" s="5"/>
      <c r="D72" s="15">
        <f>IF(AND(RIGHT($D134,2)&lt;=D1,RIGHT($D135,2)&gt;=D1),$B134,IF(AND(RIGHT($G134,2)&lt;=D1,RIGHT($G135,2)&gt;=D1),$E134,0))</f>
        <v>400</v>
      </c>
      <c r="E72" s="30"/>
      <c r="F72" s="5">
        <f>IF(AND(RIGHT($D134,2)&lt;=F1,RIGHT($D135,2)&gt;=F1),$B134,IF(AND(RIGHT($G134,2)&lt;=F1,RIGHT($G135,2)&gt;=F1),$E134,0))</f>
        <v>400</v>
      </c>
      <c r="G72" s="5"/>
      <c r="H72" s="15">
        <f>IF(AND(RIGHT($D134,2)&lt;=H1,RIGHT($D135,2)&gt;=H1),$B134,IF(AND(RIGHT($G134,2)&lt;=H1,RIGHT($G135,2)&gt;=H1),$E134,0))</f>
        <v>400</v>
      </c>
      <c r="I72" s="30"/>
      <c r="J72" s="5">
        <f>IF(AND(RIGHT($D134,2)&lt;=J1,RIGHT($D135,2)&gt;=J1),$B134,IF(AND(RIGHT($G134,2)&lt;=J1,RIGHT($G135,2)&gt;=J1),$E134,0))</f>
        <v>400</v>
      </c>
      <c r="K72" s="5"/>
      <c r="L72" s="15">
        <f>IF(AND(RIGHT($D134,2)&lt;=L1,RIGHT($D135,2)&gt;=L1),$B134,IF(AND(RIGHT($G134,2)&lt;=L1,RIGHT($G135,2)&gt;=L1),$E134,0))</f>
        <v>400</v>
      </c>
      <c r="M72" s="30"/>
      <c r="N72" s="5">
        <f>IF(AND(RIGHT($D134,2)&lt;=N1,RIGHT($D135,2)&gt;=N1),$B134,IF(AND(RIGHT($G134,2)&lt;=N1,RIGHT($G135,2)&gt;=N1),$E134,0))</f>
        <v>400</v>
      </c>
      <c r="O72" s="5"/>
      <c r="P72" s="15">
        <f>IF(AND(RIGHT($D134,2)&lt;=P1,RIGHT($D135,2)&gt;=P1),$B134,IF(AND(RIGHT($G134,2)&lt;=P1,RIGHT($G135,2)&gt;=P1),$E134,0))</f>
        <v>400</v>
      </c>
      <c r="Q72" s="30"/>
      <c r="R72" s="5">
        <f>IF(AND(RIGHT($D134,2)&lt;=R1,RIGHT($D135,2)&gt;=R1),$B134,IF(AND(RIGHT($G134,2)&lt;=R1,RIGHT($G135,2)&gt;=R1),$E134,0))</f>
        <v>400</v>
      </c>
      <c r="S72" s="5"/>
      <c r="T72" s="15">
        <f>IF(AND(RIGHT($D134,2)&lt;=T1,RIGHT($D135,2)&gt;=T1),$B134,IF(AND(RIGHT($G134,2)&lt;=T1,RIGHT($G135,2)&gt;=T1),$E134,0))</f>
        <v>400</v>
      </c>
      <c r="U72" s="30"/>
      <c r="V72" s="5">
        <f>IF(AND(RIGHT($D134,2)&lt;=V1,RIGHT($D135,2)&gt;=V1),$B134,IF(AND(RIGHT($G134,2)&lt;=V1,RIGHT($G135,2)&gt;=V1),$E134,0))</f>
        <v>400</v>
      </c>
      <c r="W72" s="5"/>
      <c r="X72" s="15">
        <f>IF(AND(RIGHT($D134,2)&lt;=X1,RIGHT($D135,2)&gt;=X1),$B134,IF(AND(RIGHT($G134,2)&lt;=X1,RIGHT($G135,2)&gt;=X1),$E134,0))</f>
        <v>400</v>
      </c>
      <c r="Y72" s="30"/>
      <c r="Z72" s="5">
        <f>IF(AND(RIGHT($D134,2)&lt;=Z1,RIGHT($D135,2)&gt;=Z1),$B134,IF(AND(RIGHT($G134,2)&lt;=Z1,RIGHT($G135,2)&gt;=Z1),$E134,0))</f>
        <v>400</v>
      </c>
      <c r="AA72" s="5"/>
      <c r="AB72" s="15">
        <f>IF(AND(RIGHT($D134,2)&lt;=AB1,RIGHT($D135,2)&gt;=AB1),$B134,IF(AND(RIGHT($G134,2)&lt;=AB1,RIGHT($G135,2)&gt;=AB1),$E134,0))</f>
        <v>400</v>
      </c>
      <c r="AC72" s="30"/>
      <c r="AD72" s="5">
        <f>IF(AND(RIGHT($D134,2)&lt;=AD1,RIGHT($D135,2)&gt;=AD1),$B134,IF(AND(RIGHT($G134,2)&lt;=AD1,RIGHT($G135,2)&gt;=AD1),$E134,0))</f>
        <v>400</v>
      </c>
      <c r="AE72" s="5"/>
      <c r="AF72" s="15">
        <f>IF(AND(RIGHT($D134,2)&lt;=AF1,RIGHT($D135,2)&gt;=AF1),$B134,IF(AND(RIGHT($G134,2)&lt;=AF1,RIGHT($G135,2)&gt;=AF1),$E134,0))</f>
        <v>400</v>
      </c>
      <c r="AG72" s="30"/>
      <c r="AH72" s="5">
        <f>IF(AND(RIGHT($D134,2)&lt;=AH1,RIGHT($D135,2)&gt;=AH1),$B134,IF(AND(RIGHT($G134,2)&lt;=AH1,RIGHT($G135,2)&gt;=AH1),$E134,0))</f>
        <v>400</v>
      </c>
      <c r="AI72" s="5"/>
      <c r="AJ72" s="15">
        <f>IF(AND(RIGHT($D134,2)&lt;=AJ1,RIGHT($D135,2)&gt;=AJ1),$B134,IF(AND(RIGHT($G134,2)&lt;=AJ1,RIGHT($G135,2)&gt;=AJ1),$E134,0))</f>
        <v>400</v>
      </c>
      <c r="AK72" s="30"/>
      <c r="AL72" s="5" t="s">
        <v>77</v>
      </c>
      <c r="AM72" s="5"/>
      <c r="AN72">
        <f t="shared" ref="AN72:AN88" si="18">SUM(D72:AJ72)</f>
        <v>6800</v>
      </c>
    </row>
    <row r="73" spans="1:45">
      <c r="A73" s="5" t="s">
        <v>78</v>
      </c>
      <c r="B73" s="5"/>
      <c r="C73" s="5"/>
      <c r="D73" s="15">
        <f>IF(AND(RIGHT($J134,2)&lt;=D1,RIGHT($J135,2)&gt;=D1),$H134,IF(AND(RIGHT($M134,2)&lt;=D1,RIGHT($M135,2)&gt;=D1),$K134,0))</f>
        <v>200</v>
      </c>
      <c r="E73" s="30"/>
      <c r="F73" s="5">
        <f>IF(AND(RIGHT($J134,2)&lt;=F1,RIGHT($J135,2)&gt;=F1),$H134,IF(AND(RIGHT($M134,2)&lt;=F1,RIGHT($M135,2)&gt;=F1),$K134,0))</f>
        <v>200</v>
      </c>
      <c r="G73" s="5"/>
      <c r="H73" s="15">
        <f>IF(AND(RIGHT($J134,2)&lt;=H1,RIGHT($J135,2)&gt;=H1),$H134,IF(AND(RIGHT($M134,2)&lt;=H1,RIGHT($M135,2)&gt;=H1),$K134,0))</f>
        <v>200</v>
      </c>
      <c r="I73" s="30"/>
      <c r="J73" s="5">
        <f>IF(AND(RIGHT($J134,2)&lt;=J1,RIGHT($J135,2)&gt;=J1),$H134,IF(AND(RIGHT($M134,2)&lt;=J1,RIGHT($M135,2)&gt;=J1),$K134,0))</f>
        <v>200</v>
      </c>
      <c r="K73" s="5"/>
      <c r="L73" s="15">
        <f>IF(AND(RIGHT($J134,2)&lt;=L1,RIGHT($J135,2)&gt;=L1),$H134,IF(AND(RIGHT($M134,2)&lt;=L1,RIGHT($M135,2)&gt;=L1),$K134,0))</f>
        <v>200</v>
      </c>
      <c r="M73" s="30" t="s">
        <v>842</v>
      </c>
      <c r="N73" s="5">
        <f>IF(AND(RIGHT($J134,2)&lt;=N1,RIGHT($J135,2)&gt;=N1),$H134,IF(AND(RIGHT($M134,2)&lt;=N1,RIGHT($M135,2)&gt;=N1),$K134,0))</f>
        <v>200</v>
      </c>
      <c r="O73" s="5"/>
      <c r="P73" s="15">
        <f>IF(AND(RIGHT($J134,2)&lt;=P1,RIGHT($J135,2)&gt;=P1),$H134,IF(AND(RIGHT($M134,2)&lt;=P1,RIGHT($M135,2)&gt;=P1),$K134,0))</f>
        <v>200</v>
      </c>
      <c r="Q73" s="30"/>
      <c r="R73" s="5">
        <f>IF(AND(RIGHT($J134,2)&lt;=R1,RIGHT($J135,2)&gt;=R1),$H134,IF(AND(RIGHT($M134,2)&lt;=R1,RIGHT($M135,2)&gt;=R1),$K134,0))</f>
        <v>200</v>
      </c>
      <c r="S73" s="5"/>
      <c r="T73" s="15">
        <f>IF(AND(RIGHT($J134,2)&lt;=T1,RIGHT($J135,2)&gt;=T1),$H134,IF(AND(RIGHT($M134,2)&lt;=T1,RIGHT($M135,2)&gt;=T1),$K134,0))</f>
        <v>200</v>
      </c>
      <c r="U73" s="30"/>
      <c r="V73" s="5">
        <f>IF(AND(RIGHT($J134,2)&lt;=V1,RIGHT($J135,2)&gt;=V1),$H134,IF(AND(RIGHT($M134,2)&lt;=V1,RIGHT($M135,2)&gt;=V1),$K134,0))</f>
        <v>200</v>
      </c>
      <c r="W73" s="5"/>
      <c r="X73" s="15">
        <f>IF(AND(RIGHT($J134,2)&lt;=X1,RIGHT($J135,2)&gt;=X1),$H134,IF(AND(RIGHT($M134,2)&lt;=X1,RIGHT($M135,2)&gt;=X1),$K134,0))</f>
        <v>200</v>
      </c>
      <c r="Y73" s="30"/>
      <c r="Z73" s="5">
        <f>IF(AND(RIGHT($J134,2)&lt;=Z1,RIGHT($J135,2)&gt;=Z1),$H134,IF(AND(RIGHT($M134,2)&lt;=Z1,RIGHT($M135,2)&gt;=Z1),$K134,0))</f>
        <v>200</v>
      </c>
      <c r="AA73" s="5"/>
      <c r="AB73" s="15">
        <f>IF(AND(RIGHT($J134,2)&lt;=AB1,RIGHT($J135,2)&gt;=AB1),$H134,IF(AND(RIGHT($M134,2)&lt;=AB1,RIGHT($M135,2)&gt;=AB1),$K134,0))</f>
        <v>200</v>
      </c>
      <c r="AC73" s="30"/>
      <c r="AD73" s="5">
        <f>IF(AND(RIGHT($J134,2)&lt;=AD1,RIGHT($J135,2)&gt;=AD1),$H134,IF(AND(RIGHT($M134,2)&lt;=AD1,RIGHT($M135,2)&gt;=AD1),$K134,0))</f>
        <v>200</v>
      </c>
      <c r="AE73" s="5"/>
      <c r="AF73" s="15">
        <f>IF(AND(RIGHT($J134,2)&lt;=AF1,RIGHT($J135,2)&gt;=AF1),$H134,IF(AND(RIGHT($M134,2)&lt;=AF1,RIGHT($M135,2)&gt;=AF1),$K134,0))</f>
        <v>200</v>
      </c>
      <c r="AG73" s="30"/>
      <c r="AH73" s="5">
        <f>IF(AND(RIGHT($J134,2)&lt;=AH1,RIGHT($J135,2)&gt;=AH1),$H134,IF(AND(RIGHT($M134,2)&lt;=AH1,RIGHT($M135,2)&gt;=AH1),$K134,0))</f>
        <v>200</v>
      </c>
      <c r="AI73" s="5"/>
      <c r="AJ73" s="15">
        <f>IF(AND(RIGHT($J134,2)&lt;=AJ1,RIGHT($J135,2)&gt;=AJ1),$H134,IF(AND(RIGHT($M134,2)&lt;=AJ1,RIGHT($M135,2)&gt;=AJ1),$K134,0))</f>
        <v>200</v>
      </c>
      <c r="AK73" s="30"/>
      <c r="AL73" s="5" t="s">
        <v>78</v>
      </c>
      <c r="AM73" s="5"/>
      <c r="AN73">
        <f t="shared" si="18"/>
        <v>3400</v>
      </c>
    </row>
    <row r="74" spans="1:45">
      <c r="A74" s="5" t="s">
        <v>79</v>
      </c>
      <c r="B74" s="5"/>
      <c r="C74" s="5"/>
      <c r="D74" s="15">
        <f>données!DY7</f>
        <v>750</v>
      </c>
      <c r="E74" s="30"/>
      <c r="F74" s="5">
        <f>données!DZ7</f>
        <v>750</v>
      </c>
      <c r="G74" s="5"/>
      <c r="H74" s="15">
        <f>données!EA7</f>
        <v>750</v>
      </c>
      <c r="I74" s="30"/>
      <c r="J74" s="5">
        <f>données!EB7</f>
        <v>750</v>
      </c>
      <c r="K74" s="5"/>
      <c r="L74" s="15">
        <f>données!EC7</f>
        <v>750</v>
      </c>
      <c r="M74" s="30"/>
      <c r="N74" s="5">
        <f>données!ED7</f>
        <v>750</v>
      </c>
      <c r="O74" s="5"/>
      <c r="P74" s="15">
        <f>données!EE7</f>
        <v>750</v>
      </c>
      <c r="Q74" s="30"/>
      <c r="R74" s="5">
        <f>données!EF7</f>
        <v>750</v>
      </c>
      <c r="S74" s="5"/>
      <c r="T74" s="15">
        <f>données!EG7</f>
        <v>750</v>
      </c>
      <c r="U74" s="30"/>
      <c r="V74" s="5">
        <f>données!EH7</f>
        <v>750</v>
      </c>
      <c r="W74" s="5"/>
      <c r="X74" s="15">
        <f>données!EI7</f>
        <v>750</v>
      </c>
      <c r="Y74" s="30"/>
      <c r="Z74" s="5">
        <f>données!EJ7</f>
        <v>750</v>
      </c>
      <c r="AA74" s="5"/>
      <c r="AB74" s="15">
        <f>données!EK7</f>
        <v>750</v>
      </c>
      <c r="AC74" s="30"/>
      <c r="AD74" s="5">
        <f>données!EL7</f>
        <v>750</v>
      </c>
      <c r="AE74" s="5"/>
      <c r="AF74" s="15">
        <f>données!EM7</f>
        <v>750</v>
      </c>
      <c r="AG74" s="30"/>
      <c r="AH74" s="5">
        <f>données!EN7</f>
        <v>750</v>
      </c>
      <c r="AI74" s="5"/>
      <c r="AJ74" s="15">
        <f>données!EO7</f>
        <v>750</v>
      </c>
      <c r="AK74" s="30" t="s">
        <v>1</v>
      </c>
      <c r="AL74" s="5" t="s">
        <v>79</v>
      </c>
      <c r="AM74" s="5"/>
      <c r="AN74">
        <f t="shared" si="18"/>
        <v>12750</v>
      </c>
    </row>
    <row r="75" spans="1:45">
      <c r="A75" s="5" t="s">
        <v>80</v>
      </c>
      <c r="B75" s="5"/>
      <c r="C75" s="5"/>
      <c r="D75" s="15">
        <f>IF(AND(RIGHT($D104,2)&lt;=D1,RIGHT($D105,2)&gt;=D1),$B104,IF(AND(RIGHT($H104,2)&lt;=D1,RIGHT($H105,2)&gt;=D1),$F104,0))</f>
        <v>492</v>
      </c>
      <c r="E75" s="30"/>
      <c r="F75" s="5">
        <f>IF(AND(RIGHT($D104,2)&lt;=F1,RIGHT($D105,2)&gt;=F1),$B104,IF(AND(RIGHT($H104,2)&lt;=F1,RIGHT($H105,2)&gt;=F1),$F104,0))</f>
        <v>492</v>
      </c>
      <c r="G75" s="5"/>
      <c r="H75" s="15">
        <f>IF(AND(RIGHT($D104,2)&lt;=H1,RIGHT($D105,2)&gt;=H1),$B104,IF(AND(RIGHT($H104,2)&lt;=H1,RIGHT($H105,2)&gt;=H1),$F104,0))</f>
        <v>492</v>
      </c>
      <c r="I75" s="30"/>
      <c r="J75" s="5">
        <f>IF(AND(RIGHT($D104,2)&lt;=J1,RIGHT($D105,2)&gt;=J1),$B104,IF(AND(RIGHT($H104,2)&lt;=J1,RIGHT($H105,2)&gt;=J1),$F104,0))</f>
        <v>492</v>
      </c>
      <c r="K75" s="5"/>
      <c r="L75" s="15">
        <f>IF(AND(RIGHT($D104,2)&lt;=L1,RIGHT($D105,2)&gt;=L1),$B104,IF(AND(RIGHT($H104,2)&lt;=L1,RIGHT($H105,2)&gt;=L1),$F104,0))</f>
        <v>492</v>
      </c>
      <c r="M75" s="30"/>
      <c r="N75" s="5">
        <f>IF(AND(RIGHT($D104,2)&lt;=N1,RIGHT($D105,2)&gt;=N1),$B104,IF(AND(RIGHT($H104,2)&lt;=N1,RIGHT($H105,2)&gt;=N1),$F104,0))</f>
        <v>492</v>
      </c>
      <c r="O75" s="5"/>
      <c r="P75" s="15">
        <f>IF(AND(RIGHT($D104,2)&lt;=P1,RIGHT($D105,2)&gt;=P1),$B104,IF(AND(RIGHT($H104,2)&lt;=P1,RIGHT($H105,2)&gt;=P1),$F104,0))</f>
        <v>492</v>
      </c>
      <c r="Q75" s="30"/>
      <c r="R75" s="5">
        <f>IF(AND(RIGHT($D104,2)&lt;=R1,RIGHT($D105,2)&gt;=R1),$B104,IF(AND(RIGHT($H104,2)&lt;=R1,RIGHT($H105,2)&gt;=R1),$F104,0))</f>
        <v>492</v>
      </c>
      <c r="S75" s="5"/>
      <c r="T75" s="15">
        <f>IF(AND(RIGHT($D104,2)&lt;=T1,RIGHT($D105,2)&gt;=T1),$B104,IF(AND(RIGHT($H104,2)&lt;=T1,RIGHT($H105,2)&gt;=T1),$F104,0))</f>
        <v>492</v>
      </c>
      <c r="U75" s="30"/>
      <c r="V75" s="5">
        <f>IF(AND(RIGHT($D104,2)&lt;=V1,RIGHT($D105,2)&gt;=V1),$B104,IF(AND(RIGHT($H104,2)&lt;=V1,RIGHT($H105,2)&gt;=V1),$F104,0))</f>
        <v>492</v>
      </c>
      <c r="W75" s="5"/>
      <c r="X75" s="15">
        <f>IF(AND(RIGHT($D104,2)&lt;=X1,RIGHT($D105,2)&gt;=X1),$B104,IF(AND(RIGHT($H104,2)&lt;=X1,RIGHT($H105,2)&gt;=X1),$F104,0))</f>
        <v>492</v>
      </c>
      <c r="Y75" s="30"/>
      <c r="Z75" s="5">
        <f>IF(AND(RIGHT($D104,2)&lt;=Z1,RIGHT($D105,2)&gt;=Z1),$B104,IF(AND(RIGHT($H104,2)&lt;=Z1,RIGHT($H105,2)&gt;=Z1),$F104,0))</f>
        <v>492</v>
      </c>
      <c r="AA75" s="5"/>
      <c r="AB75" s="15">
        <f>IF(AND(RIGHT($D104,2)&lt;=AB1,RIGHT($D105,2)&gt;=AB1),$B104,IF(AND(RIGHT($H104,2)&lt;=AB1,RIGHT($H105,2)&gt;=AB1),$F104,0))</f>
        <v>492</v>
      </c>
      <c r="AC75" s="30"/>
      <c r="AD75" s="5">
        <f>IF(AND(RIGHT($D104,2)&lt;=AD1,RIGHT($D105,2)&gt;=AD1),$B104,IF(AND(RIGHT($H104,2)&lt;=AD1,RIGHT($H105,2)&gt;=AD1),$F104,0))</f>
        <v>492</v>
      </c>
      <c r="AE75" s="5"/>
      <c r="AF75" s="15">
        <f>IF(AND(RIGHT($D104,2)&lt;=AF1,RIGHT($D105,2)&gt;=AF1),$B104,IF(AND(RIGHT($H104,2)&lt;=AF1,RIGHT($H105,2)&gt;=AF1),$F104,0))</f>
        <v>492</v>
      </c>
      <c r="AG75" s="30"/>
      <c r="AH75" s="5">
        <f>IF(AND(RIGHT($D104,2)&lt;=AH1,RIGHT($D105,2)&gt;=AH1),$B104,IF(AND(RIGHT($H104,2)&lt;=AH1,RIGHT($H105,2)&gt;=AH1),$F104,0))</f>
        <v>492</v>
      </c>
      <c r="AI75" s="5"/>
      <c r="AJ75" s="15">
        <f>IF(AND(RIGHT($D104,2)&lt;=AJ1,RIGHT($D105,2)&gt;=AJ1),$B104,IF(AND(RIGHT($H104,2)&lt;=AJ1,RIGHT($H105,2)&gt;=AJ1),$F104,0))</f>
        <v>492</v>
      </c>
      <c r="AK75" s="30"/>
      <c r="AL75" s="5" t="s">
        <v>80</v>
      </c>
      <c r="AM75" s="5"/>
      <c r="AN75">
        <f t="shared" si="18"/>
        <v>8364</v>
      </c>
    </row>
    <row r="76" spans="1:45">
      <c r="A76" s="5" t="s">
        <v>81</v>
      </c>
      <c r="B76" s="5"/>
      <c r="C76" s="5"/>
      <c r="D76" s="15">
        <f>IF(RIGHT($D103,2)=D1,$B103)+IF(RIGHT($H103,2)=D1,$F103,0)</f>
        <v>0</v>
      </c>
      <c r="E76" s="30"/>
      <c r="F76" s="5">
        <f>IF(RIGHT($D103,2)=F1,$B103)+IF(RIGHT($H103,2)=F1,$F103,0)</f>
        <v>0</v>
      </c>
      <c r="G76" s="5"/>
      <c r="H76" s="15">
        <f>IF(RIGHT($D103,2)=H1,$B103)+IF(RIGHT($H103,2)=H1,$F103,0)</f>
        <v>0</v>
      </c>
      <c r="I76" s="30"/>
      <c r="J76" s="5">
        <f>IF(RIGHT($D103,2)=J1,$B103)+IF(RIGHT($H103,2)=J1,$F103,0)</f>
        <v>0</v>
      </c>
      <c r="K76" s="5"/>
      <c r="L76" s="15">
        <f>IF(RIGHT($D103,2)=L1,$B103)+IF(RIGHT($H103,2)=L1,$F103,0)</f>
        <v>0</v>
      </c>
      <c r="M76" s="30"/>
      <c r="N76" s="5">
        <f>IF(RIGHT($D103,2)=N1,$B103)+IF(RIGHT($H103,2)=N1,$F103,0)</f>
        <v>0</v>
      </c>
      <c r="O76" s="5"/>
      <c r="P76" s="15">
        <f>IF(RIGHT($D103,2)=P1,$B103)+IF(RIGHT($H103,2)=P1,$F103,0)</f>
        <v>0</v>
      </c>
      <c r="Q76" s="30"/>
      <c r="R76" s="5">
        <f>IF(RIGHT($D103,2)=R1,$B103)+IF(RIGHT($H103,2)=R1,$F103,0)</f>
        <v>0</v>
      </c>
      <c r="S76" s="5"/>
      <c r="T76" s="15">
        <f>IF(RIGHT($D103,2)=T1,$B103)+IF(RIGHT($H103,2)=T1,$F103,0)</f>
        <v>0</v>
      </c>
      <c r="U76" s="30"/>
      <c r="V76" s="5">
        <f>IF(RIGHT($D103,2)=V1,$B103)+IF(RIGHT($H103,2)=V1,$F103,0)</f>
        <v>0</v>
      </c>
      <c r="W76" s="5"/>
      <c r="X76" s="15">
        <f>IF(RIGHT($D103,2)=X1,$B103)+IF(RIGHT($H103,2)=X1,$F103,0)</f>
        <v>0</v>
      </c>
      <c r="Y76" s="30"/>
      <c r="Z76" s="5">
        <f>IF(RIGHT($D103,2)=Z1,$B103)+IF(RIGHT($H103,2)=Z1,$F103,0)</f>
        <v>0</v>
      </c>
      <c r="AA76" s="5"/>
      <c r="AB76" s="15">
        <f>IF(RIGHT($D103,2)=AB1,$B103)+IF(RIGHT($H103,2)=AB1,$F103,0)</f>
        <v>0</v>
      </c>
      <c r="AC76" s="30"/>
      <c r="AD76" s="5">
        <f>IF(RIGHT($D103,2)=AD1,$B103)+IF(RIGHT($H103,2)=AD1,$F103,0)</f>
        <v>0</v>
      </c>
      <c r="AE76" s="5"/>
      <c r="AF76" s="15">
        <f>IF(RIGHT($D103,2)=AF1,$B103)+IF(RIGHT($H103,2)=AF1,$F103,0)</f>
        <v>0</v>
      </c>
      <c r="AG76" s="30"/>
      <c r="AH76" s="5">
        <f>IF(RIGHT($D103,2)=AH1,$B103)+IF(RIGHT($H103,2)=AH1,$F103,0)</f>
        <v>0</v>
      </c>
      <c r="AI76" s="5"/>
      <c r="AJ76" s="15">
        <f>IF(RIGHT($D103,2)=AJ1,$B103)+IF(RIGHT($H103,2)=AJ1,$F103,0)</f>
        <v>0</v>
      </c>
      <c r="AK76" s="30"/>
      <c r="AL76" s="5" t="s">
        <v>81</v>
      </c>
      <c r="AM76" s="5"/>
      <c r="AN76">
        <f t="shared" si="18"/>
        <v>0</v>
      </c>
    </row>
    <row r="77" spans="1:45">
      <c r="A77" s="5" t="s">
        <v>82</v>
      </c>
      <c r="B77" s="5"/>
      <c r="C77" s="5"/>
      <c r="D77" s="15">
        <f>IF(AND(RIGHT($D111,2)&lt;=D1,RIGHT($D112,2)&gt;=D1),$B111,IF(AND(RIGHT($H111,2)&lt;=D1,RIGHT($H112,2)&gt;=D1),$F111,0))</f>
        <v>0</v>
      </c>
      <c r="E77" s="30"/>
      <c r="F77" s="5">
        <f>IF(AND(RIGHT($D111,2)&lt;=F1,RIGHT($D112,2)&gt;=F1),$B111,IF(AND(RIGHT($H111,2)&lt;=F1,RIGHT($H112,2)&gt;=F1),$F111,0))</f>
        <v>0</v>
      </c>
      <c r="G77" s="5"/>
      <c r="H77" s="15">
        <f>IF(AND(RIGHT($D111,2)&lt;=H1,RIGHT($D112,2)&gt;=H1),$B111,IF(AND(RIGHT($H111,2)&lt;=H1,RIGHT($H112,2)&gt;=H1),$F111,0))</f>
        <v>0</v>
      </c>
      <c r="I77" s="30"/>
      <c r="J77" s="5">
        <f>IF(AND(RIGHT($D111,2)&lt;=J1,RIGHT($D112,2)&gt;=J1),$B111,IF(AND(RIGHT($H111,2)&lt;=J1,RIGHT($H112,2)&gt;=J1),$F111,0))</f>
        <v>0</v>
      </c>
      <c r="K77" s="5"/>
      <c r="L77" s="15">
        <f>IF(AND(RIGHT($D111,2)&lt;=L1,RIGHT($D112,2)&gt;=L1),$B111,IF(AND(RIGHT($H111,2)&lt;=L1,RIGHT($H112,2)&gt;=L1),$F111,0))</f>
        <v>0</v>
      </c>
      <c r="M77" s="30"/>
      <c r="N77" s="5">
        <f>IF(AND(RIGHT($D111,2)&lt;=N1,RIGHT($D112,2)&gt;=N1),$B111,IF(AND(RIGHT($H111,2)&lt;=N1,RIGHT($H112,2)&gt;=N1),$F111,0))</f>
        <v>0</v>
      </c>
      <c r="O77" s="5"/>
      <c r="P77" s="15">
        <f>IF(AND(RIGHT($D111,2)&lt;=P1,RIGHT($D112,2)&gt;=P1),$B111,IF(AND(RIGHT($H111,2)&lt;=P1,RIGHT($H112,2)&gt;=P1),$F111,0))</f>
        <v>0</v>
      </c>
      <c r="Q77" s="30"/>
      <c r="R77" s="5">
        <f>IF(AND(RIGHT($D111,2)&lt;=R1,RIGHT($D112,2)&gt;=R1),$B111,IF(AND(RIGHT($H111,2)&lt;=R1,RIGHT($H112,2)&gt;=R1),$F111,0))</f>
        <v>0</v>
      </c>
      <c r="S77" s="5"/>
      <c r="T77" s="15">
        <f>IF(AND(RIGHT($D111,2)&lt;=T1,RIGHT($D112,2)&gt;=T1),$B111,IF(AND(RIGHT($H111,2)&lt;=T1,RIGHT($H112,2)&gt;=T1),$F111,0))</f>
        <v>0</v>
      </c>
      <c r="U77" s="30"/>
      <c r="V77" s="5">
        <f>IF(AND(RIGHT($D111,2)&lt;=V1,RIGHT($D112,2)&gt;=V1),$B111,IF(AND(RIGHT($H111,2)&lt;=V1,RIGHT($H112,2)&gt;=V1),$F111,0))</f>
        <v>0</v>
      </c>
      <c r="W77" s="5"/>
      <c r="X77" s="15">
        <f>IF(AND(RIGHT($D111,2)&lt;=X1,RIGHT($D112,2)&gt;=X1),$B111,IF(AND(RIGHT($H111,2)&lt;=X1,RIGHT($H112,2)&gt;=X1),$F111,0))</f>
        <v>0</v>
      </c>
      <c r="Y77" s="30"/>
      <c r="Z77" s="5">
        <f>IF(AND(RIGHT($D111,2)&lt;=Z1,RIGHT($D112,2)&gt;=Z1),$B111,IF(AND(RIGHT($H111,2)&lt;=Z1,RIGHT($H112,2)&gt;=Z1),$F111,0))</f>
        <v>0</v>
      </c>
      <c r="AA77" s="5"/>
      <c r="AB77" s="15">
        <f>IF(AND(RIGHT($D111,2)&lt;=AB1,RIGHT($D112,2)&gt;=AB1),$B111,IF(AND(RIGHT($H111,2)&lt;=AB1,RIGHT($H112,2)&gt;=AB1),$F111,0))</f>
        <v>0</v>
      </c>
      <c r="AC77" s="30"/>
      <c r="AD77" s="5">
        <f>IF(AND(RIGHT($D111,2)&lt;=AD1,RIGHT($D112,2)&gt;=AD1),$B111,IF(AND(RIGHT($H111,2)&lt;=AD1,RIGHT($H112,2)&gt;=AD1),$F111,0))</f>
        <v>0</v>
      </c>
      <c r="AE77" s="5"/>
      <c r="AF77" s="15">
        <f>IF(AND(RIGHT($D111,2)&lt;=AF1,RIGHT($D112,2)&gt;=AF1),$B111,IF(AND(RIGHT($H111,2)&lt;=AF1,RIGHT($H112,2)&gt;=AF1),$F111,0))</f>
        <v>0</v>
      </c>
      <c r="AG77" s="30"/>
      <c r="AH77" s="5">
        <f>IF(AND(RIGHT($D111,2)&lt;=AH1,RIGHT($D112,2)&gt;=AH1),$B111,IF(AND(RIGHT($H111,2)&lt;=AH1,RIGHT($H112,2)&gt;=AH1),$F111,0))</f>
        <v>0</v>
      </c>
      <c r="AI77" s="5"/>
      <c r="AJ77" s="15">
        <f>IF(AND(RIGHT($D111,2)&lt;=AJ1,RIGHT($D112,2)&gt;=AJ1),$B111,IF(AND(RIGHT($H111,2)&lt;=AJ1,RIGHT($H112,2)&gt;=AJ1),$F111,0))</f>
        <v>0</v>
      </c>
      <c r="AK77" s="30"/>
      <c r="AL77" s="5" t="s">
        <v>82</v>
      </c>
      <c r="AM77" s="5"/>
      <c r="AN77">
        <f t="shared" si="18"/>
        <v>0</v>
      </c>
    </row>
    <row r="78" spans="1:45">
      <c r="A78" s="5" t="s">
        <v>83</v>
      </c>
      <c r="B78" s="5"/>
      <c r="C78" s="5"/>
      <c r="D78" s="15">
        <f>IF(RIGHT($D110,2)=D1,$B110)+IF(RIGHT($H110,2)=D1,$F110,0)</f>
        <v>0</v>
      </c>
      <c r="E78" s="30"/>
      <c r="F78" s="5">
        <f>IF(RIGHT($D110,2)=F1,$B110)+IF(RIGHT($H110,2)=F1,$F110,0)</f>
        <v>0</v>
      </c>
      <c r="G78" s="5"/>
      <c r="H78" s="15">
        <f>IF(RIGHT($D110,2)=H1,$B110)+IF(RIGHT($H110,2)=H1,$F110,0)</f>
        <v>0</v>
      </c>
      <c r="I78" s="30"/>
      <c r="J78" s="5">
        <f>IF(RIGHT($D110,2)=J1,$B110)+IF(RIGHT($H110,2)=J1,$F110,0)</f>
        <v>0</v>
      </c>
      <c r="K78" s="5"/>
      <c r="L78" s="15">
        <f>IF(RIGHT($D110,2)=L1,$B110)+IF(RIGHT($H110,2)=L1,$F110,0)</f>
        <v>0</v>
      </c>
      <c r="M78" s="30"/>
      <c r="N78" s="5">
        <f>IF(RIGHT($D110,2)=N1,$B110)+IF(RIGHT($H110,2)=N1,$F110,0)</f>
        <v>0</v>
      </c>
      <c r="O78" s="5"/>
      <c r="P78" s="15">
        <f>IF(RIGHT($D110,2)=P1,$B110)+IF(RIGHT($H110,2)=P1,$F110,0)</f>
        <v>0</v>
      </c>
      <c r="Q78" s="30"/>
      <c r="R78" s="5">
        <f>IF(RIGHT($D110,2)=R1,$B110)+IF(RIGHT($H110,2)=R1,$F110,0)</f>
        <v>0</v>
      </c>
      <c r="S78" s="5"/>
      <c r="T78" s="15">
        <f>IF(RIGHT($D110,2)=T1,$B110)+IF(RIGHT($H110,2)=T1,$F110,0)</f>
        <v>0</v>
      </c>
      <c r="U78" s="30"/>
      <c r="V78" s="5">
        <f>IF(RIGHT($D110,2)=V1,$B110)+IF(RIGHT($H110,2)=V1,$F110,0)</f>
        <v>0</v>
      </c>
      <c r="W78" s="5"/>
      <c r="X78" s="15">
        <f>IF(RIGHT($D110,2)=X1,$B110)+IF(RIGHT($H110,2)=X1,$F110,0)</f>
        <v>0</v>
      </c>
      <c r="Y78" s="30"/>
      <c r="Z78" s="5">
        <f>IF(RIGHT($D110,2)=Z1,$B110)+IF(RIGHT($H110,2)=Z1,$F110,0)</f>
        <v>0</v>
      </c>
      <c r="AA78" s="5"/>
      <c r="AB78" s="15">
        <f>IF(RIGHT($D110,2)=AB1,$B110)+IF(RIGHT($H110,2)=AB1,$F110,0)</f>
        <v>0</v>
      </c>
      <c r="AC78" s="30"/>
      <c r="AD78" s="5">
        <f>IF(RIGHT($D110,2)=AD1,$B110)+IF(RIGHT($H110,2)=AD1,$F110,0)</f>
        <v>0</v>
      </c>
      <c r="AE78" s="5"/>
      <c r="AF78" s="15">
        <f>IF(RIGHT($D110,2)=AF1,$B110)+IF(RIGHT($H110,2)=AF1,$F110,0)</f>
        <v>0</v>
      </c>
      <c r="AG78" s="30"/>
      <c r="AH78" s="5">
        <f>IF(RIGHT($D110,2)=AH1,$B110)+IF(RIGHT($H110,2)=AH1,$F110,0)</f>
        <v>0</v>
      </c>
      <c r="AI78" s="5"/>
      <c r="AJ78" s="15">
        <f>IF(RIGHT($D110,2)=AJ1,$B110)+IF(RIGHT($H110,2)=AJ1,$F110,0)</f>
        <v>0</v>
      </c>
      <c r="AK78" s="30"/>
      <c r="AL78" s="5" t="s">
        <v>83</v>
      </c>
      <c r="AM78" s="5"/>
      <c r="AN78">
        <f t="shared" si="18"/>
        <v>0</v>
      </c>
    </row>
    <row r="79" spans="1:45">
      <c r="A79" s="5" t="s">
        <v>84</v>
      </c>
      <c r="B79" s="5"/>
      <c r="C79" s="5"/>
      <c r="D79" s="15">
        <f>IF(AND(RIGHT($E114,2)&lt;=D1,RIGHT($E115,2)&gt;=D1),$C114,IF(AND(RIGHT($I114,2)&lt;=D1,RIGHT($I115,2)&gt;=D1),$G114,0))</f>
        <v>650</v>
      </c>
      <c r="E79" s="30"/>
      <c r="F79" s="5">
        <f>IF(AND(RIGHT($E114,2)&lt;=F1,RIGHT($E115,2)&gt;=F1),$C114,IF(AND(RIGHT($I114,2)&lt;=F1,RIGHT($I115,2)&gt;=F1),$G114,0))</f>
        <v>650</v>
      </c>
      <c r="G79" s="5"/>
      <c r="H79" s="15">
        <f>IF(AND(RIGHT($E114,2)&lt;=H1,RIGHT($E115,2)&gt;=H1),$C114,IF(AND(RIGHT($I114,2)&lt;=H1,RIGHT($I115,2)&gt;=H1),$G114,0))</f>
        <v>650</v>
      </c>
      <c r="I79" s="30"/>
      <c r="J79" s="5">
        <f>IF(AND(RIGHT($E114,2)&lt;=J1,RIGHT($E115,2)&gt;=J1),$C114,IF(AND(RIGHT($I114,2)&lt;=J1,RIGHT($I115,2)&gt;=J1),$G114,0))</f>
        <v>650</v>
      </c>
      <c r="K79" s="5"/>
      <c r="L79" s="15">
        <f>IF(AND(RIGHT($E114,2)&lt;=L1,RIGHT($E115,2)&gt;=L1),$C114,IF(AND(RIGHT($I114,2)&lt;=L1,RIGHT($I115,2)&gt;=L1),$G114,0))</f>
        <v>650</v>
      </c>
      <c r="M79" s="30"/>
      <c r="N79" s="5">
        <f>IF(AND(RIGHT($E114,2)&lt;=N1,RIGHT($E115,2)&gt;=N1),$C114,IF(AND(RIGHT($I114,2)&lt;=N1,RIGHT($I115,2)&gt;=N1),$G114,0))</f>
        <v>650</v>
      </c>
      <c r="O79" s="5"/>
      <c r="P79" s="15">
        <f>IF(AND(RIGHT($E114,2)&lt;=P1,RIGHT($E115,2)&gt;=P1),$C114,IF(AND(RIGHT($I114,2)&lt;=P1,RIGHT($I115,2)&gt;=P1),$G114,0))</f>
        <v>650</v>
      </c>
      <c r="Q79" s="30"/>
      <c r="R79" s="5">
        <f>IF(AND(RIGHT($E114,2)&lt;=R1,RIGHT($E115,2)&gt;=R1),$C114,IF(AND(RIGHT($I114,2)&lt;=R1,RIGHT($I115,2)&gt;=R1),$G114,0))</f>
        <v>650</v>
      </c>
      <c r="S79" s="5"/>
      <c r="T79" s="15">
        <f>IF(AND(RIGHT($E114,2)&lt;=T1,RIGHT($E115,2)&gt;=T1),$C114,IF(AND(RIGHT($I114,2)&lt;=T1,RIGHT($I115,2)&gt;=T1),$G114,0))</f>
        <v>650</v>
      </c>
      <c r="U79" s="30"/>
      <c r="V79" s="5">
        <f>IF(AND(RIGHT($E114,2)&lt;=V1,RIGHT($E115,2)&gt;=V1),$C114,IF(AND(RIGHT($I114,2)&lt;=V1,RIGHT($I115,2)&gt;=V1),$G114,0))</f>
        <v>650</v>
      </c>
      <c r="W79" s="5"/>
      <c r="X79" s="15">
        <f>IF(AND(RIGHT($E114,2)&lt;=X1,RIGHT($E115,2)&gt;=X1),$C114,IF(AND(RIGHT($I114,2)&lt;=X1,RIGHT($I115,2)&gt;=X1),$G114,0))</f>
        <v>650</v>
      </c>
      <c r="Y79" s="30"/>
      <c r="Z79" s="5">
        <f>IF(AND(RIGHT($E114,2)&lt;=Z1,RIGHT($E115,2)&gt;=Z1),$C114,IF(AND(RIGHT($I114,2)&lt;=Z1,RIGHT($I115,2)&gt;=Z1),$G114,0))</f>
        <v>650</v>
      </c>
      <c r="AA79" s="5"/>
      <c r="AB79" s="15">
        <f>IF(AND(RIGHT($E114,2)&lt;=AB1,RIGHT($E115,2)&gt;=AB1),$C114,IF(AND(RIGHT($I114,2)&lt;=AB1,RIGHT($I115,2)&gt;=AB1),$G114,0))</f>
        <v>650</v>
      </c>
      <c r="AC79" s="30"/>
      <c r="AD79" s="5">
        <f>IF(AND(RIGHT($E114,2)&lt;=AD1,RIGHT($E115,2)&gt;=AD1),$C114,IF(AND(RIGHT($I114,2)&lt;=AD1,RIGHT($I115,2)&gt;=AD1),$G114,0))</f>
        <v>650</v>
      </c>
      <c r="AE79" s="5"/>
      <c r="AF79" s="15">
        <f>IF(AND(RIGHT($E114,2)&lt;=AF1,RIGHT($E115,2)&gt;=AF1),$C114,IF(AND(RIGHT($I114,2)&lt;=AF1,RIGHT($I115,2)&gt;=AF1),$G114,0))</f>
        <v>650</v>
      </c>
      <c r="AG79" s="30"/>
      <c r="AH79" s="5">
        <f>IF(AND(RIGHT($E114,2)&lt;=AH1,RIGHT($E115,2)&gt;=AH1),$C114,IF(AND(RIGHT($I114,2)&lt;=AH1,RIGHT($I115,2)&gt;=AH1),$G114,0))</f>
        <v>650</v>
      </c>
      <c r="AI79" s="5"/>
      <c r="AJ79" s="15">
        <f>IF(AND(RIGHT($E114,2)&lt;=AJ1,RIGHT($E115,2)&gt;=AJ1),$C114,IF(AND(RIGHT($I114,2)&lt;=AJ1,RIGHT($I115,2)&gt;=AJ1),$G114,0))</f>
        <v>650</v>
      </c>
      <c r="AK79" s="30"/>
      <c r="AL79" s="5" t="s">
        <v>84</v>
      </c>
      <c r="AM79" s="5"/>
      <c r="AN79">
        <f t="shared" si="18"/>
        <v>11050</v>
      </c>
    </row>
    <row r="80" spans="1:45">
      <c r="A80" s="5" t="s">
        <v>85</v>
      </c>
      <c r="B80" s="5"/>
      <c r="C80" s="5"/>
      <c r="D80" s="15">
        <f>IF(AND(RIGHT($E116,2)&lt;=D1,RIGHT($E117,2)&gt;=D1),$C116,IF(AND(RIGHT($I116,2)&lt;=D1,RIGHT($I117,2)&gt;=D1),$G116,0))</f>
        <v>700</v>
      </c>
      <c r="E80" s="30"/>
      <c r="F80" s="5">
        <f>IF(AND(RIGHT($E116,2)&lt;=F1,RIGHT($E117,2)&gt;=F1),$C116,IF(AND(RIGHT($I116,2)&lt;=F1,RIGHT($I117,2)&gt;=F1),$G116,0))</f>
        <v>700</v>
      </c>
      <c r="G80" s="5"/>
      <c r="H80" s="15">
        <f>IF(AND(RIGHT($E116,2)&lt;=H1,RIGHT($E117,2)&gt;=H1),$C116,IF(AND(RIGHT($I116,2)&lt;=H1,RIGHT($I117,2)&gt;=H1),$G116,0))</f>
        <v>700</v>
      </c>
      <c r="I80" s="30"/>
      <c r="J80" s="5">
        <f>IF(AND(RIGHT($E116,2)&lt;=J1,RIGHT($E117,2)&gt;=J1),$C116,IF(AND(RIGHT($I116,2)&lt;=J1,RIGHT($I117,2)&gt;=J1),$G116,0))</f>
        <v>700</v>
      </c>
      <c r="K80" s="5"/>
      <c r="L80" s="15">
        <f>IF(AND(RIGHT($E116,2)&lt;=L1,RIGHT($E117,2)&gt;=L1),$C116,IF(AND(RIGHT($I116,2)&lt;=L1,RIGHT($I117,2)&gt;=L1),$G116,0))</f>
        <v>700</v>
      </c>
      <c r="M80" s="30"/>
      <c r="N80" s="5">
        <f>IF(AND(RIGHT($E116,2)&lt;=N1,RIGHT($E117,2)&gt;=N1),$C116,IF(AND(RIGHT($I116,2)&lt;=N1,RIGHT($I117,2)&gt;=N1),$G116,0))</f>
        <v>700</v>
      </c>
      <c r="O80" s="5"/>
      <c r="P80" s="15">
        <f>IF(AND(RIGHT($E116,2)&lt;=P1,RIGHT($E117,2)&gt;=P1),$C116,IF(AND(RIGHT($I116,2)&lt;=P1,RIGHT($I117,2)&gt;=P1),$G116,0))</f>
        <v>700</v>
      </c>
      <c r="Q80" s="30"/>
      <c r="R80" s="5">
        <f>IF(AND(RIGHT($E116,2)&lt;=R1,RIGHT($E117,2)&gt;=R1),$C116,IF(AND(RIGHT($I116,2)&lt;=R1,RIGHT($I117,2)&gt;=R1),$G116,0))</f>
        <v>700</v>
      </c>
      <c r="S80" s="5"/>
      <c r="T80" s="15">
        <f>IF(AND(RIGHT($E116,2)&lt;=T1,RIGHT($E117,2)&gt;=T1),$C116,IF(AND(RIGHT($I116,2)&lt;=T1,RIGHT($I117,2)&gt;=T1),$G116,0))</f>
        <v>700</v>
      </c>
      <c r="U80" s="30"/>
      <c r="V80" s="5">
        <f>IF(AND(RIGHT($E116,2)&lt;=V1,RIGHT($E117,2)&gt;=V1),$C116,IF(AND(RIGHT($I116,2)&lt;=V1,RIGHT($I117,2)&gt;=V1),$G116,0))</f>
        <v>700</v>
      </c>
      <c r="W80" s="5"/>
      <c r="X80" s="15">
        <f>IF(AND(RIGHT($E116,2)&lt;=X1,RIGHT($E117,2)&gt;=X1),$C116,IF(AND(RIGHT($I116,2)&lt;=X1,RIGHT($I117,2)&gt;=X1),$G116,0))</f>
        <v>700</v>
      </c>
      <c r="Y80" s="30"/>
      <c r="Z80" s="5">
        <f>IF(AND(RIGHT($E116,2)&lt;=Z1,RIGHT($E117,2)&gt;=Z1),$C116,IF(AND(RIGHT($I116,2)&lt;=Z1,RIGHT($I117,2)&gt;=Z1),$G116,0))</f>
        <v>700</v>
      </c>
      <c r="AA80" s="5"/>
      <c r="AB80" s="15">
        <f>IF(AND(RIGHT($E116,2)&lt;=AB1,RIGHT($E117,2)&gt;=AB1),$C116,IF(AND(RIGHT($I116,2)&lt;=AB1,RIGHT($I117,2)&gt;=AB1),$G116,0))</f>
        <v>700</v>
      </c>
      <c r="AC80" s="30"/>
      <c r="AD80" s="5">
        <f>IF(AND(RIGHT($E116,2)&lt;=AD1,RIGHT($E117,2)&gt;=AD1),$C116,IF(AND(RIGHT($I116,2)&lt;=AD1,RIGHT($I117,2)&gt;=AD1),$G116,0))</f>
        <v>700</v>
      </c>
      <c r="AE80" s="5"/>
      <c r="AF80" s="15">
        <f>IF(AND(RIGHT($E116,2)&lt;=AF1,RIGHT($E117,2)&gt;=AF1),$C116,IF(AND(RIGHT($I116,2)&lt;=AF1,RIGHT($I117,2)&gt;=AF1),$G116,0))</f>
        <v>700</v>
      </c>
      <c r="AG80" s="30"/>
      <c r="AH80" s="5">
        <f>IF(AND(RIGHT($E116,2)&lt;=AH1,RIGHT($E117,2)&gt;=AH1),$C116,IF(AND(RIGHT($I116,2)&lt;=AH1,RIGHT($I117,2)&gt;=AH1),$G116,0))</f>
        <v>700</v>
      </c>
      <c r="AI80" s="5"/>
      <c r="AJ80" s="15">
        <f>IF(AND(RIGHT($E116,2)&lt;=AJ1,RIGHT($E117,2)&gt;=AJ1),$C116,IF(AND(RIGHT($I116,2)&lt;=AJ1,RIGHT($I117,2)&gt;=AJ1),$G116,0))</f>
        <v>700</v>
      </c>
      <c r="AK80" s="30"/>
      <c r="AL80" s="5" t="s">
        <v>85</v>
      </c>
      <c r="AM80" s="5"/>
      <c r="AN80">
        <f t="shared" si="18"/>
        <v>11900</v>
      </c>
    </row>
    <row r="81" spans="1:41">
      <c r="A81" s="5" t="s">
        <v>86</v>
      </c>
      <c r="B81" s="5"/>
      <c r="C81" s="5"/>
      <c r="D81" s="15">
        <f>données!DY10</f>
        <v>0</v>
      </c>
      <c r="E81" s="30"/>
      <c r="F81" s="5">
        <f>données!DZ10</f>
        <v>0</v>
      </c>
      <c r="G81" s="5"/>
      <c r="H81" s="15">
        <f>données!EA10</f>
        <v>0</v>
      </c>
      <c r="I81" s="30"/>
      <c r="J81" s="5">
        <f>données!EB10</f>
        <v>0</v>
      </c>
      <c r="K81" s="5"/>
      <c r="L81" s="15">
        <f>données!EC10</f>
        <v>0</v>
      </c>
      <c r="M81" s="30"/>
      <c r="N81" s="5">
        <f>données!ED10</f>
        <v>0</v>
      </c>
      <c r="O81" s="5"/>
      <c r="P81" s="15">
        <f>données!EE10</f>
        <v>0</v>
      </c>
      <c r="Q81" s="30"/>
      <c r="R81" s="5">
        <f>données!EF10</f>
        <v>0</v>
      </c>
      <c r="S81" s="5"/>
      <c r="T81" s="15">
        <f>données!EG10</f>
        <v>0</v>
      </c>
      <c r="U81" s="30"/>
      <c r="V81" s="5">
        <f>données!EH10</f>
        <v>0</v>
      </c>
      <c r="W81" s="5"/>
      <c r="X81" s="15">
        <f>données!EI10</f>
        <v>0</v>
      </c>
      <c r="Y81" s="30"/>
      <c r="Z81" s="5">
        <f>données!EJ10</f>
        <v>0</v>
      </c>
      <c r="AA81" s="5"/>
      <c r="AB81" s="15">
        <f>données!EK10</f>
        <v>0</v>
      </c>
      <c r="AC81" s="30"/>
      <c r="AD81" s="5">
        <f>données!EL10</f>
        <v>0</v>
      </c>
      <c r="AE81" s="5"/>
      <c r="AF81" s="15">
        <f>données!EM10</f>
        <v>0</v>
      </c>
      <c r="AG81" s="30"/>
      <c r="AH81" s="5">
        <f>données!EN10</f>
        <v>0</v>
      </c>
      <c r="AI81" s="5"/>
      <c r="AJ81" s="15">
        <f>données!EO10</f>
        <v>0</v>
      </c>
      <c r="AK81" s="30"/>
      <c r="AL81" s="5" t="s">
        <v>86</v>
      </c>
      <c r="AM81" s="5"/>
      <c r="AN81">
        <f t="shared" si="18"/>
        <v>0</v>
      </c>
    </row>
    <row r="82" spans="1:41">
      <c r="A82" s="5" t="s">
        <v>87</v>
      </c>
      <c r="B82" s="5"/>
      <c r="C82" s="5"/>
      <c r="D82" s="15">
        <f>IF(RIGHT($E$120,2)=D1,((RIGHT($C$121,2)-RIGHT($C$120,2))*(1500+RIGHT($C$120,2)*75)*(20-(RIGHT($C$121,2)-RIGHT($C$120,2))/2)/200*RIGHT($E$121)),0)+IF(RIGHT($I$120,2)=D1,((RIGHT($G$121,2)-RIGHT($G$120,2))*(1500+RIGHT($G$120,2)*75)*(20-(RIGHT($G$121,2)-RIGHT($G$120,2))/2)/200*RIGHT($I$121)),0)+IF(RIGHT($M$120,2)=D1,((RIGHT($K$121,2)-RIGHT($K$120,2))*(1500+RIGHT($K$120,2)*75)*(20-(RIGHT($K$121,2)-RIGHT($K$120,2))/2)/200*RIGHT($M$121)),0)+IF(RIGHT($Q$120,2)=D1,((RIGHT($O$121,2)-RIGHT($O$120,2))*(1500+RIGHT($O$120,2)*75)*(20-(RIGHT($O$121,2)-RIGHT($O$120,2))/2)/200*RIGHT($Q$121)),0)</f>
        <v>0</v>
      </c>
      <c r="E82" s="30"/>
      <c r="F82" s="5">
        <f>IF(RIGHT($E$120,2)=F1,((RIGHT($C$121,2)-RIGHT($C$120,2))*(1500+RIGHT($C$120,2)*75)*(20-(RIGHT($C$121,2)-RIGHT($C$120,2))/2)/200*RIGHT($E$121)),0)+IF(RIGHT($I$120,2)=F1,((RIGHT($G$121,2)-RIGHT($G$120,2))*(1500+RIGHT($G$120,2)*75)*(20-(RIGHT($G$121,2)-RIGHT($G$120,2))/2)/200*RIGHT($I$121)),0)+IF(RIGHT($M$120,2)=F1,((RIGHT($K$121,2)-RIGHT($K$120,2))*(1500+RIGHT($K$120,2)*75)*(20-(RIGHT($K$121,2)-RIGHT($K$120,2))/2)/200*RIGHT($M$121)),0)+IF(RIGHT($Q$120,2)=F1,((RIGHT($O$121,2)-RIGHT($O$120,2))*(1500+RIGHT($O$120,2)*75)*(20-(RIGHT($O$121,2)-RIGHT($O$120,2))/2)/200*RIGHT($Q$121)),0)</f>
        <v>0</v>
      </c>
      <c r="G82" s="5"/>
      <c r="H82" s="15">
        <f>IF(RIGHT($E$120,2)=H1,((RIGHT($C$121,2)-RIGHT($C$120,2))*(1500+RIGHT($C$120,2)*75)*(20-(RIGHT($C$121,2)-RIGHT($C$120,2))/2)/200*RIGHT($E$121)),0)+IF(RIGHT($I$120,2)=H1,((RIGHT($G$121,2)-RIGHT($G$120,2))*(1500+RIGHT($G$120,2)*75)*(20-(RIGHT($G$121,2)-RIGHT($G$120,2))/2)/200*RIGHT($I$121)),0)+IF(RIGHT($M$120,2)=H1,((RIGHT($K$121,2)-RIGHT($K$120,2))*(1500+RIGHT($K$120,2)*75)*(20-(RIGHT($K$121,2)-RIGHT($K$120,2))/2)/200*RIGHT($M$121)),0)+IF(RIGHT($Q$120,2)=H1,((RIGHT($O$121,2)-RIGHT($O$120,2))*(1500+RIGHT($O$120,2)*75)*(20-(RIGHT($O$121,2)-RIGHT($O$120,2))/2)/200*RIGHT($Q$121)),0)</f>
        <v>0</v>
      </c>
      <c r="I82" s="30"/>
      <c r="J82" s="5">
        <f>IF(RIGHT($E$120,2)=J1,((RIGHT($C$121,2)-RIGHT($C$120,2))*(1500+RIGHT($C$120,2)*75)*(20-(RIGHT($C$121,2)-RIGHT($C$120,2))/2)/200*RIGHT($E$121)),0)+IF(RIGHT($I$120,2)=J1,((RIGHT($G$121,2)-RIGHT($G$120,2))*(1500+RIGHT($G$120,2)*75)*(20-(RIGHT($G$121,2)-RIGHT($G$120,2))/2)/200*RIGHT($I$121)),0)+IF(RIGHT($M$120,2)=J1,((RIGHT($K$121,2)-RIGHT($K$120,2))*(1500+RIGHT($K$120,2)*75)*(20-(RIGHT($K$121,2)-RIGHT($K$120,2))/2)/200*RIGHT($M$121)),0)+IF(RIGHT($Q$120,2)=J1,((RIGHT($O$121,2)-RIGHT($O$120,2))*(1500+RIGHT($O$120,2)*75)*(20-(RIGHT($O$121,2)-RIGHT($O$120,2))/2)/200*RIGHT($Q$121)),0)</f>
        <v>0</v>
      </c>
      <c r="K82" s="5"/>
      <c r="L82" s="15">
        <f>IF(RIGHT($E$120,2)=L1,((RIGHT($C$121,2)-RIGHT($C$120,2))*(1500+RIGHT($C$120,2)*75)*(20-(RIGHT($C$121,2)-RIGHT($C$120,2))/2)/200*RIGHT($E$121)),0)+IF(RIGHT($I$120,2)=L1,((RIGHT($G$121,2)-RIGHT($G$120,2))*(1500+RIGHT($G$120,2)*75)*(20-(RIGHT($G$121,2)-RIGHT($G$120,2))/2)/200*RIGHT($I$121)),0)+IF(RIGHT($M$120,2)=L1,((RIGHT($K$121,2)-RIGHT($K$120,2))*(1500+RIGHT($K$120,2)*75)*(20-(RIGHT($K$121,2)-RIGHT($K$120,2))/2)/200*RIGHT($M$121)),0)+IF(RIGHT($Q$120,2)=L1,((RIGHT($O$121,2)-RIGHT($O$120,2))*(1500+RIGHT($O$120,2)*75)*(20-(RIGHT($O$121,2)-RIGHT($O$120,2))/2)/200*RIGHT($Q$121)),0)</f>
        <v>0</v>
      </c>
      <c r="M82" s="30"/>
      <c r="N82" s="5">
        <f>IF(RIGHT($E$120,2)=N1,((RIGHT($C$121,2)-RIGHT($C$120,2))*(1500+RIGHT($C$120,2)*75)*(20-(RIGHT($C$121,2)-RIGHT($C$120,2))/2)/200*RIGHT($E$121)),0)+IF(RIGHT($I$120,2)=N1,((RIGHT($G$121,2)-RIGHT($G$120,2))*(1500+RIGHT($G$120,2)*75)*(20-(RIGHT($G$121,2)-RIGHT($G$120,2))/2)/200*RIGHT($I$121)),0)+IF(RIGHT($M$120,2)=N1,((RIGHT($K$121,2)-RIGHT($K$120,2))*(1500+RIGHT($K$120,2)*75)*(20-(RIGHT($K$121,2)-RIGHT($K$120,2))/2)/200*RIGHT($M$121)),0)+IF(RIGHT($Q$120,2)=N1,((RIGHT($O$121,2)-RIGHT($O$120,2))*(1500+RIGHT($O$120,2)*75)*(20-(RIGHT($O$121,2)-RIGHT($O$120,2))/2)/200*RIGHT($Q$121)),0)</f>
        <v>0</v>
      </c>
      <c r="O82" s="5"/>
      <c r="P82" s="15">
        <f>IF(RIGHT($E$120,2)=P1,((RIGHT($C$121,2)-RIGHT($C$120,2))*(1500+RIGHT($C$120,2)*75)*(20-(RIGHT($C$121,2)-RIGHT($C$120,2))/2)/200*RIGHT($E$121)),0)+IF(RIGHT($I$120,2)=P1,((RIGHT($G$121,2)-RIGHT($G$120,2))*(1500+RIGHT($G$120,2)*75)*(20-(RIGHT($G$121,2)-RIGHT($G$120,2))/2)/200*RIGHT($I$121)),0)+IF(RIGHT($M$120,2)=P1,((RIGHT($K$121,2)-RIGHT($K$120,2))*(1500+RIGHT($K$120,2)*75)*(20-(RIGHT($K$121,2)-RIGHT($K$120,2))/2)/200*RIGHT($M$121)),0)+IF(RIGHT($Q$120,2)=P1,((RIGHT($O$121,2)-RIGHT($O$120,2))*(1500+RIGHT($O$120,2)*75)*(20-(RIGHT($O$121,2)-RIGHT($O$120,2))/2)/200*RIGHT($Q$121)),0)</f>
        <v>0</v>
      </c>
      <c r="Q82" s="30"/>
      <c r="R82" s="5">
        <f>IF(RIGHT($E$120,2)=R1,((RIGHT($C$121,2)-RIGHT($C$120,2))*(1500+RIGHT($C$120,2)*75)*(20-(RIGHT($C$121,2)-RIGHT($C$120,2))/2)/200*RIGHT($E$121)),0)+IF(RIGHT($I$120,2)=R1,((RIGHT($G$121,2)-RIGHT($G$120,2))*(1500+RIGHT($G$120,2)*75)*(20-(RIGHT($G$121,2)-RIGHT($G$120,2))/2)/200*RIGHT($I$121)),0)+IF(RIGHT($M$120,2)=R1,((RIGHT($K$121,2)-RIGHT($K$120,2))*(1500+RIGHT($K$120,2)*75)*(20-(RIGHT($K$121,2)-RIGHT($K$120,2))/2)/200*RIGHT($M$121)),0)+IF(RIGHT($Q$120,2)=R1,((RIGHT($O$121,2)-RIGHT($O$120,2))*(1500+RIGHT($O$120,2)*75)*(20-(RIGHT($O$121,2)-RIGHT($O$120,2))/2)/200*RIGHT($Q$121)),0)</f>
        <v>0</v>
      </c>
      <c r="S82" s="5"/>
      <c r="T82" s="15">
        <f>IF(RIGHT($E$120,2)=T1,((RIGHT($C$121,2)-RIGHT($C$120,2))*(1500+RIGHT($C$120,2)*75)*(20-(RIGHT($C$121,2)-RIGHT($C$120,2))/2)/200*RIGHT($E$121)),0)+IF(RIGHT($I$120,2)=T1,((RIGHT($G$121,2)-RIGHT($G$120,2))*(1500+RIGHT($G$120,2)*75)*(20-(RIGHT($G$121,2)-RIGHT($G$120,2))/2)/200*RIGHT($I$121)),0)+IF(RIGHT($M$120,2)=T1,((RIGHT($K$121,2)-RIGHT($K$120,2))*(1500+RIGHT($K$120,2)*75)*(20-(RIGHT($K$121,2)-RIGHT($K$120,2))/2)/200*RIGHT($M$121)),0)+IF(RIGHT($Q$120,2)=T1,((RIGHT($O$121,2)-RIGHT($O$120,2))*(1500+RIGHT($O$120,2)*75)*(20-(RIGHT($O$121,2)-RIGHT($O$120,2))/2)/200*RIGHT($Q$121)),0)</f>
        <v>0</v>
      </c>
      <c r="U82" s="30"/>
      <c r="V82" s="5">
        <f>IF(RIGHT($E$120,2)=V1,((RIGHT($C$121,2)-RIGHT($C$120,2))*(1500+RIGHT($C$120,2)*75)*(20-(RIGHT($C$121,2)-RIGHT($C$120,2))/2)/200*RIGHT($E$121)),0)+IF(RIGHT($I$120,2)=V1,((RIGHT($G$121,2)-RIGHT($G$120,2))*(1500+RIGHT($G$120,2)*75)*(20-(RIGHT($G$121,2)-RIGHT($G$120,2))/2)/200*RIGHT($I$121)),0)+IF(RIGHT($M$120,2)=V1,((RIGHT($K$121,2)-RIGHT($K$120,2))*(1500+RIGHT($K$120,2)*75)*(20-(RIGHT($K$121,2)-RIGHT($K$120,2))/2)/200*RIGHT($M$121)),0)+IF(RIGHT($Q$120,2)=V1,((RIGHT($O$121,2)-RIGHT($O$120,2))*(1500+RIGHT($O$120,2)*75)*(20-(RIGHT($O$121,2)-RIGHT($O$120,2))/2)/200*RIGHT($Q$121)),0)</f>
        <v>0</v>
      </c>
      <c r="W82" s="5"/>
      <c r="X82" s="15">
        <f>IF(RIGHT($E$120,2)=X1,((RIGHT($C$121,2)-RIGHT($C$120,2))*(1500+RIGHT($C$120,2)*75)*(20-(RIGHT($C$121,2)-RIGHT($C$120,2))/2)/200*RIGHT($E$121)),0)+IF(RIGHT($I$120,2)=X1,((RIGHT($G$121,2)-RIGHT($G$120,2))*(1500+RIGHT($G$120,2)*75)*(20-(RIGHT($G$121,2)-RIGHT($G$120,2))/2)/200*RIGHT($I$121)),0)+IF(RIGHT($M$120,2)=X1,((RIGHT($K$121,2)-RIGHT($K$120,2))*(1500+RIGHT($K$120,2)*75)*(20-(RIGHT($K$121,2)-RIGHT($K$120,2))/2)/200*RIGHT($M$121)),0)+IF(RIGHT($Q$120,2)=X1,((RIGHT($O$121,2)-RIGHT($O$120,2))*(1500+RIGHT($O$120,2)*75)*(20-(RIGHT($O$121,2)-RIGHT($O$120,2))/2)/200*RIGHT($Q$121)),0)</f>
        <v>0</v>
      </c>
      <c r="Y82" s="30"/>
      <c r="Z82" s="5">
        <f>IF(RIGHT($E$120,2)=Z1,((RIGHT($C$121,2)-RIGHT($C$120,2))*(1500+RIGHT($C$120,2)*75)*(20-(RIGHT($C$121,2)-RIGHT($C$120,2))/2)/200*RIGHT($E$121)),0)+IF(RIGHT($I$120,2)=Z1,((RIGHT($G$121,2)-RIGHT($G$120,2))*(1500+RIGHT($G$120,2)*75)*(20-(RIGHT($G$121,2)-RIGHT($G$120,2))/2)/200*RIGHT($I$121)),0)+IF(RIGHT($M$120,2)=Z1,((RIGHT($K$121,2)-RIGHT($K$120,2))*(1500+RIGHT($K$120,2)*75)*(20-(RIGHT($K$121,2)-RIGHT($K$120,2))/2)/200*RIGHT($M$121)),0)+IF(RIGHT($Q$120,2)=Z1,((RIGHT($O$121,2)-RIGHT($O$120,2))*(1500+RIGHT($O$120,2)*75)*(20-(RIGHT($O$121,2)-RIGHT($O$120,2))/2)/200*RIGHT($Q$121)),0)</f>
        <v>0</v>
      </c>
      <c r="AA82" s="5"/>
      <c r="AB82" s="15">
        <f>IF(RIGHT($E$120,2)=AB1,((RIGHT($C$121,2)-RIGHT($C$120,2))*(1500+RIGHT($C$120,2)*75)*(20-(RIGHT($C$121,2)-RIGHT($C$120,2))/2)/200*RIGHT($E$121)),0)+IF(RIGHT($I$120,2)=AB1,((RIGHT($G$121,2)-RIGHT($G$120,2))*(1500+RIGHT($G$120,2)*75)*(20-(RIGHT($G$121,2)-RIGHT($G$120,2))/2)/200*RIGHT($I$121)),0)+IF(RIGHT($M$120,2)=AB1,((RIGHT($K$121,2)-RIGHT($K$120,2))*(1500+RIGHT($K$120,2)*75)*(20-(RIGHT($K$121,2)-RIGHT($K$120,2))/2)/200*RIGHT($M$121)),0)+IF(RIGHT($Q$120,2)=AB1,((RIGHT($O$121,2)-RIGHT($O$120,2))*(1500+RIGHT($O$120,2)*75)*(20-(RIGHT($O$121,2)-RIGHT($O$120,2))/2)/200*RIGHT($Q$121)),0)</f>
        <v>0</v>
      </c>
      <c r="AC82" s="30"/>
      <c r="AD82" s="5">
        <f>IF(RIGHT($E$120,2)=AD1,((RIGHT($C$121,2)-RIGHT($C$120,2))*(1500+RIGHT($C$120,2)*75)*(20-(RIGHT($C$121,2)-RIGHT($C$120,2))/2)/200*RIGHT($E$121)),0)+IF(RIGHT($I$120,2)=AD1,((RIGHT($G$121,2)-RIGHT($G$120,2))*(1500+RIGHT($G$120,2)*75)*(20-(RIGHT($G$121,2)-RIGHT($G$120,2))/2)/200*RIGHT($I$121)),0)+IF(RIGHT($M$120,2)=AD1,((RIGHT($K$121,2)-RIGHT($K$120,2))*(1500+RIGHT($K$120,2)*75)*(20-(RIGHT($K$121,2)-RIGHT($K$120,2))/2)/200*RIGHT($M$121)),0)+IF(RIGHT($Q$120,2)=AD1,((RIGHT($O$121,2)-RIGHT($O$120,2))*(1500+RIGHT($O$120,2)*75)*(20-(RIGHT($O$121,2)-RIGHT($O$120,2))/2)/200*RIGHT($Q$121)),0)</f>
        <v>6000</v>
      </c>
      <c r="AE82" s="5"/>
      <c r="AF82" s="15">
        <f>IF(RIGHT($E$120,2)=AF1,((RIGHT($C$121,2)-RIGHT($C$120,2))*(1500+RIGHT($C$120,2)*75)*(20-(RIGHT($C$121,2)-RIGHT($C$120,2))/2)/200*RIGHT($E$121)),0)+IF(RIGHT($I$120,2)=AF1,((RIGHT($G$121,2)-RIGHT($G$120,2))*(1500+RIGHT($G$120,2)*75)*(20-(RIGHT($G$121,2)-RIGHT($G$120,2))/2)/200*RIGHT($I$121)),0)+IF(RIGHT($M$120,2)=AF1,((RIGHT($K$121,2)-RIGHT($K$120,2))*(1500+RIGHT($K$120,2)*75)*(20-(RIGHT($K$121,2)-RIGHT($K$120,2))/2)/200*RIGHT($M$121)),0)+IF(RIGHT($Q$120,2)=AF1,((RIGHT($O$121,2)-RIGHT($O$120,2))*(1500+RIGHT($O$120,2)*75)*(20-(RIGHT($O$121,2)-RIGHT($O$120,2))/2)/200*RIGHT($Q$121)),0)</f>
        <v>0</v>
      </c>
      <c r="AG82" s="30"/>
      <c r="AH82" s="5">
        <f>IF(RIGHT($E$120,2)=AH1,((RIGHT($C$121,2)-RIGHT($C$120,2))*(1500+RIGHT($C$120,2)*75)*(20-(RIGHT($C$121,2)-RIGHT($C$120,2))/2)/200*RIGHT($E$121)),0)+IF(RIGHT($I$120,2)=AH1,((RIGHT($G$121,2)-RIGHT($G$120,2))*(1500+RIGHT($G$120,2)*75)*(20-(RIGHT($G$121,2)-RIGHT($G$120,2))/2)/200*RIGHT($I$121)),0)+IF(RIGHT($M$120,2)=AH1,((RIGHT($K$121,2)-RIGHT($K$120,2))*(1500+RIGHT($K$120,2)*75)*(20-(RIGHT($K$121,2)-RIGHT($K$120,2))/2)/200*RIGHT($M$121)),0)+IF(RIGHT($Q$120,2)=AH1,((RIGHT($O$121,2)-RIGHT($O$120,2))*(1500+RIGHT($O$120,2)*75)*(20-(RIGHT($O$121,2)-RIGHT($O$120,2))/2)/200*RIGHT($Q$121)),0)</f>
        <v>0</v>
      </c>
      <c r="AI82" s="5"/>
      <c r="AJ82" s="15">
        <f>IF(RIGHT($E$120,2)=AJ1,((RIGHT($C$121,2)-RIGHT($C$120,2))*(1500+RIGHT($C$120,2)*75)*(20-(RIGHT($C$121,2)-RIGHT($C$120,2))/2)/200*RIGHT($E$121)),0)+IF(RIGHT($I$120,2)=AJ1,((RIGHT($G$121,2)-RIGHT($G$120,2))*(1500+RIGHT($G$120,2)*75)*(20-(RIGHT($G$121,2)-RIGHT($G$120,2))/2)/200*RIGHT($I$121)),0)+IF(RIGHT($M$120,2)=AJ1,((RIGHT($K$121,2)-RIGHT($K$120,2))*(1500+RIGHT($K$120,2)*75)*(20-(RIGHT($K$121,2)-RIGHT($K$120,2))/2)/200*RIGHT($M$121)),0)+IF(RIGHT($Q$120,2)=AJ1,((RIGHT($O$121,2)-RIGHT($O$120,2))*(1500+RIGHT($O$120,2)*75)*(20-(RIGHT($O$121,2)-RIGHT($O$120,2))/2)/200*RIGHT($Q$121)),0)</f>
        <v>0</v>
      </c>
      <c r="AK82" s="30"/>
      <c r="AL82" s="5" t="s">
        <v>87</v>
      </c>
      <c r="AM82" s="5"/>
      <c r="AN82">
        <f t="shared" si="18"/>
        <v>6000</v>
      </c>
    </row>
    <row r="83" spans="1:41">
      <c r="A83" s="5" t="s">
        <v>88</v>
      </c>
      <c r="B83" s="5"/>
      <c r="C83" s="5"/>
      <c r="D83" s="15">
        <f>VLOOKUP($B$137,données!$CU$6:$CV$15,2)</f>
        <v>250</v>
      </c>
      <c r="E83" s="30"/>
      <c r="F83" s="5">
        <f>VLOOKUP($B$137,données!$CU$6:$CV$15,2)</f>
        <v>250</v>
      </c>
      <c r="G83" s="5"/>
      <c r="H83" s="15">
        <f>VLOOKUP($B$137,données!$CU$6:$CV$15,2)</f>
        <v>250</v>
      </c>
      <c r="I83" s="30"/>
      <c r="J83" s="5">
        <f>VLOOKUP($B$137,données!$CU$6:$CV$15,2)</f>
        <v>250</v>
      </c>
      <c r="K83" s="5"/>
      <c r="L83" s="15">
        <f>VLOOKUP($B$137,données!$CU$6:$CV$15,2)</f>
        <v>250</v>
      </c>
      <c r="M83" s="30"/>
      <c r="N83" s="5">
        <f>VLOOKUP($B$137,données!$CU$6:$CV$15,2)</f>
        <v>250</v>
      </c>
      <c r="O83" s="5"/>
      <c r="P83" s="15">
        <f>VLOOKUP($B$137,données!$CU$6:$CV$15,2)</f>
        <v>250</v>
      </c>
      <c r="Q83" s="30"/>
      <c r="R83" s="5">
        <f>VLOOKUP($B$137,données!$CU$6:$CV$15,2)</f>
        <v>250</v>
      </c>
      <c r="S83" s="5"/>
      <c r="T83" s="15">
        <f>VLOOKUP($B$137,données!$CU$6:$CV$15,2)</f>
        <v>250</v>
      </c>
      <c r="U83" s="30"/>
      <c r="V83" s="5">
        <f>VLOOKUP($B$137,données!$CU$6:$CV$15,2)</f>
        <v>250</v>
      </c>
      <c r="W83" s="5"/>
      <c r="X83" s="15">
        <f>VLOOKUP($B$137,données!$CU$6:$CV$15,2)</f>
        <v>250</v>
      </c>
      <c r="Y83" s="30"/>
      <c r="Z83" s="5">
        <f>VLOOKUP($B$137,données!$CU$6:$CV$15,2)</f>
        <v>250</v>
      </c>
      <c r="AA83" s="5"/>
      <c r="AB83" s="15">
        <f>VLOOKUP($B$137,données!$CU$6:$CV$15,2)</f>
        <v>250</v>
      </c>
      <c r="AC83" s="30"/>
      <c r="AD83" s="5">
        <f>VLOOKUP($B$137,données!$CU$6:$CV$15,2)</f>
        <v>250</v>
      </c>
      <c r="AE83" s="5"/>
      <c r="AF83" s="15">
        <f>VLOOKUP($B$137,données!$CU$6:$CV$15,2)</f>
        <v>250</v>
      </c>
      <c r="AG83" s="30"/>
      <c r="AH83" s="5">
        <f>VLOOKUP($B$137,données!$CU$6:$CV$15,2)</f>
        <v>250</v>
      </c>
      <c r="AI83" s="5"/>
      <c r="AJ83" s="15">
        <f>VLOOKUP($B$137,données!$CU$6:$CV$15,2)</f>
        <v>250</v>
      </c>
      <c r="AK83" s="30"/>
      <c r="AL83" s="5" t="s">
        <v>88</v>
      </c>
      <c r="AM83" s="5" t="s">
        <v>1</v>
      </c>
      <c r="AN83">
        <f t="shared" si="18"/>
        <v>4250</v>
      </c>
      <c r="AO83" t="s">
        <v>1</v>
      </c>
    </row>
    <row r="84" spans="1:41">
      <c r="A84" s="5" t="s">
        <v>89</v>
      </c>
      <c r="B84" s="5"/>
      <c r="C84" s="5"/>
      <c r="D84" s="15">
        <f>IF(AND(RIGHT($E123,2)&lt;=D$1,RIGHT($E124,2)&gt;=D$1),$C123,0)+IF(AND(RIGHT($I123,2)&lt;=D$1,RIGHT($I124,2)&gt;=D$1),$G123,0)+IF(AND(RIGHT($M123,2)&lt;=D$1,RIGHT($M124,2)&gt;=D$1),$K123,0)+IF(AND(RIGHT($Q123,2)&lt;=D$1,RIGHT($Q124,2)&gt;=D$1),$O123,0)+IF(AND(RIGHT($E125,2)&lt;=D$1,RIGHT($E126,2)&gt;=D$1),$C125,0)+IF(AND(RIGHT($I125,2)&lt;=D$1,RIGHT($I126,2)&gt;=D$1),$G125,0)+IF(AND(RIGHT($M125,2)&lt;=D$1,RIGHT($M126,2)&gt;=D$1),$K125,0)+IF(AND(RIGHT($Q125,2)&lt;=D$1,RIGHT($Q126,2)&gt;=D$1),$O125,0)+IF(AND(RIGHT($E127,2)&lt;=D$1,RIGHT($E128,2)&gt;=D$1),$C127,0)+IF(AND(RIGHT($I127,2)&lt;=D$1,RIGHT($I128,2)&gt;=D$1),$G127,0)+IF(AND(RIGHT($M127,2)&lt;=D$1,RIGHT($M128,2)&gt;=D$1),$K127,0)+IF(AND(RIGHT($Q127,2)&lt;=D$1,RIGHT($Q128,2)&gt;=D$1),$O127,0)</f>
        <v>0</v>
      </c>
      <c r="E84" s="30"/>
      <c r="F84" s="5">
        <f>IF(AND(RIGHT($E123,2)&lt;=F$1,RIGHT($E124,2)&gt;=F$1),$C123,0)+IF(AND(RIGHT($I123,2)&lt;=F$1,RIGHT($I124,2)&gt;=F$1),$G123,0)+IF(AND(RIGHT($M123,2)&lt;=F$1,RIGHT($M124,2)&gt;=F$1),$K123,0)+IF(AND(RIGHT($Q123,2)&lt;=F$1,RIGHT($Q124,2)&gt;=F$1),$O123,0)+IF(AND(RIGHT($E125,2)&lt;=F$1,RIGHT($E126,2)&gt;=F$1),$C125,0)+IF(AND(RIGHT($I125,2)&lt;=F$1,RIGHT($I126,2)&gt;=F$1),$G125,0)+IF(AND(RIGHT($M125,2)&lt;=F$1,RIGHT($M126,2)&gt;=F$1),$K125,0)+IF(AND(RIGHT($Q125,2)&lt;=F$1,RIGHT($Q126,2)&gt;=F$1),$O125,0)+IF(AND(RIGHT($E127,2)&lt;=F$1,RIGHT($E128,2)&gt;=F$1),$C127,0)+IF(AND(RIGHT($I127,2)&lt;=F$1,RIGHT($I128,2)&gt;=F$1),$G127,0)+IF(AND(RIGHT($M127,2)&lt;=F$1,RIGHT($M128,2)&gt;=F$1),$K127,0)+IF(AND(RIGHT($Q127,2)&lt;=F$1,RIGHT($Q128,2)&gt;=F$1),$O127,0)</f>
        <v>0</v>
      </c>
      <c r="G84" s="5"/>
      <c r="H84" s="15">
        <f>IF(AND(RIGHT($E123,2)&lt;=H$1,RIGHT($E124,2)&gt;=H$1),$C123,0)+IF(AND(RIGHT($I123,2)&lt;=H$1,RIGHT($I124,2)&gt;=H$1),$G123,0)+IF(AND(RIGHT($M123,2)&lt;=H$1,RIGHT($M124,2)&gt;=H$1),$K123,0)+IF(AND(RIGHT($Q123,2)&lt;=H$1,RIGHT($Q124,2)&gt;=H$1),$O123,0)+IF(AND(RIGHT($E125,2)&lt;=H$1,RIGHT($E126,2)&gt;=H$1),$C125,0)+IF(AND(RIGHT($I125,2)&lt;=H$1,RIGHT($I126,2)&gt;=H$1),$G125,0)+IF(AND(RIGHT($M125,2)&lt;=H$1,RIGHT($M126,2)&gt;=H$1),$K125,0)+IF(AND(RIGHT($Q125,2)&lt;=H$1,RIGHT($Q126,2)&gt;=H$1),$O125,0)+IF(AND(RIGHT($E127,2)&lt;=H$1,RIGHT($E128,2)&gt;=H$1),$C127,0)+IF(AND(RIGHT($I127,2)&lt;=H$1,RIGHT($I128,2)&gt;=H$1),$G127,0)+IF(AND(RIGHT($M127,2)&lt;=H$1,RIGHT($M128,2)&gt;=H$1),$K127,0)+IF(AND(RIGHT($Q127,2)&lt;=H$1,RIGHT($Q128,2)&gt;=H$1),$O127,0)</f>
        <v>0</v>
      </c>
      <c r="I84" s="30"/>
      <c r="J84" s="5">
        <f>IF(AND(RIGHT($E123,2)&lt;=J$1,RIGHT($E124,2)&gt;=J$1),$C123,0)+IF(AND(RIGHT($I123,2)&lt;=J$1,RIGHT($I124,2)&gt;=J$1),$G123,0)+IF(AND(RIGHT($M123,2)&lt;=J$1,RIGHT($M124,2)&gt;=J$1),$K123,0)+IF(AND(RIGHT($Q123,2)&lt;=J$1,RIGHT($Q124,2)&gt;=J$1),$O123,0)+IF(AND(RIGHT($E125,2)&lt;=J$1,RIGHT($E126,2)&gt;=J$1),$C125,0)+IF(AND(RIGHT($I125,2)&lt;=J$1,RIGHT($I126,2)&gt;=J$1),$G125,0)+IF(AND(RIGHT($M125,2)&lt;=J$1,RIGHT($M126,2)&gt;=J$1),$K125,0)+IF(AND(RIGHT($Q125,2)&lt;=J$1,RIGHT($Q126,2)&gt;=J$1),$O125,0)+IF(AND(RIGHT($E127,2)&lt;=J$1,RIGHT($E128,2)&gt;=J$1),$C127,0)+IF(AND(RIGHT($I127,2)&lt;=J$1,RIGHT($I128,2)&gt;=J$1),$G127,0)+IF(AND(RIGHT($M127,2)&lt;=J$1,RIGHT($M128,2)&gt;=J$1),$K127,0)+IF(AND(RIGHT($Q127,2)&lt;=J$1,RIGHT($Q128,2)&gt;=J$1),$O127,0)</f>
        <v>0</v>
      </c>
      <c r="K84" s="5"/>
      <c r="L84" s="15">
        <f>IF(AND(RIGHT($E123,2)&lt;=L$1,RIGHT($E124,2)&gt;=L$1),$C123,0)+IF(AND(RIGHT($I123,2)&lt;=L$1,RIGHT($I124,2)&gt;=L$1),$G123,0)+IF(AND(RIGHT($M123,2)&lt;=L$1,RIGHT($M124,2)&gt;=L$1),$K123,0)+IF(AND(RIGHT($Q123,2)&lt;=L$1,RIGHT($Q124,2)&gt;=L$1),$O123,0)+IF(AND(RIGHT($E125,2)&lt;=L$1,RIGHT($E126,2)&gt;=L$1),$C125,0)+IF(AND(RIGHT($I125,2)&lt;=L$1,RIGHT($I126,2)&gt;=L$1),$G125,0)+IF(AND(RIGHT($M125,2)&lt;=L$1,RIGHT($M126,2)&gt;=L$1),$K125,0)+IF(AND(RIGHT($Q125,2)&lt;=L$1,RIGHT($Q126,2)&gt;=L$1),$O125,0)+IF(AND(RIGHT($E127,2)&lt;=L$1,RIGHT($E128,2)&gt;=L$1),$C127,0)+IF(AND(RIGHT($I127,2)&lt;=L$1,RIGHT($I128,2)&gt;=L$1),$G127,0)+IF(AND(RIGHT($M127,2)&lt;=L$1,RIGHT($M128,2)&gt;=L$1),$K127,0)+IF(AND(RIGHT($Q127,2)&lt;=L$1,RIGHT($Q128,2)&gt;=L$1),$O127,0)</f>
        <v>0</v>
      </c>
      <c r="M84" s="30"/>
      <c r="N84" s="5">
        <f>IF(AND(RIGHT($E123,2)&lt;=N$1,RIGHT($E124,2)&gt;=N$1),$C123,0)+IF(AND(RIGHT($I123,2)&lt;=N$1,RIGHT($I124,2)&gt;=N$1),$G123,0)+IF(AND(RIGHT($M123,2)&lt;=N$1,RIGHT($M124,2)&gt;=N$1),$K123,0)+IF(AND(RIGHT($Q123,2)&lt;=N$1,RIGHT($Q124,2)&gt;=N$1),$O123,0)+IF(AND(RIGHT($E125,2)&lt;=N$1,RIGHT($E126,2)&gt;=N$1),$C125,0)+IF(AND(RIGHT($I125,2)&lt;=N$1,RIGHT($I126,2)&gt;=N$1),$G125,0)+IF(AND(RIGHT($M125,2)&lt;=N$1,RIGHT($M126,2)&gt;=N$1),$K125,0)+IF(AND(RIGHT($Q125,2)&lt;=N$1,RIGHT($Q126,2)&gt;=N$1),$O125,0)+IF(AND(RIGHT($E127,2)&lt;=N$1,RIGHT($E128,2)&gt;=N$1),$C127,0)+IF(AND(RIGHT($I127,2)&lt;=N$1,RIGHT($I128,2)&gt;=N$1),$G127,0)+IF(AND(RIGHT($M127,2)&lt;=N$1,RIGHT($M128,2)&gt;=N$1),$K127,0)+IF(AND(RIGHT($Q127,2)&lt;=N$1,RIGHT($Q128,2)&gt;=N$1),$O127,0)</f>
        <v>0</v>
      </c>
      <c r="O84" s="5"/>
      <c r="P84" s="15">
        <f>IF(AND(RIGHT($E123,2)&lt;=P$1,RIGHT($E124,2)&gt;=P$1),$C123,0)+IF(AND(RIGHT($I123,2)&lt;=P$1,RIGHT($I124,2)&gt;=P$1),$G123,0)+IF(AND(RIGHT($M123,2)&lt;=P$1,RIGHT($M124,2)&gt;=P$1),$K123,0)+IF(AND(RIGHT($Q123,2)&lt;=P$1,RIGHT($Q124,2)&gt;=P$1),$O123,0)+IF(AND(RIGHT($E125,2)&lt;=P$1,RIGHT($E126,2)&gt;=P$1),$C125,0)+IF(AND(RIGHT($I125,2)&lt;=P$1,RIGHT($I126,2)&gt;=P$1),$G125,0)+IF(AND(RIGHT($M125,2)&lt;=P$1,RIGHT($M126,2)&gt;=P$1),$K125,0)+IF(AND(RIGHT($Q125,2)&lt;=P$1,RIGHT($Q126,2)&gt;=P$1),$O125,0)+IF(AND(RIGHT($E127,2)&lt;=P$1,RIGHT($E128,2)&gt;=P$1),$C127,0)+IF(AND(RIGHT($I127,2)&lt;=P$1,RIGHT($I128,2)&gt;=P$1),$G127,0)+IF(AND(RIGHT($M127,2)&lt;=P$1,RIGHT($M128,2)&gt;=P$1),$K127,0)+IF(AND(RIGHT($Q127,2)&lt;=P$1,RIGHT($Q128,2)&gt;=P$1),$O127,0)</f>
        <v>0</v>
      </c>
      <c r="Q84" s="30"/>
      <c r="R84" s="5">
        <f>IF(AND(RIGHT($E123,2)&lt;=R$1,RIGHT($E124,2)&gt;=R$1),$C123,0)+IF(AND(RIGHT($I123,2)&lt;=R$1,RIGHT($I124,2)&gt;=R$1),$G123,0)+IF(AND(RIGHT($M123,2)&lt;=R$1,RIGHT($M124,2)&gt;=R$1),$K123,0)+IF(AND(RIGHT($Q123,2)&lt;=R$1,RIGHT($Q124,2)&gt;=R$1),$O123,0)+IF(AND(RIGHT($E125,2)&lt;=R$1,RIGHT($E126,2)&gt;=R$1),$C125,0)+IF(AND(RIGHT($I125,2)&lt;=R$1,RIGHT($I126,2)&gt;=R$1),$G125,0)+IF(AND(RIGHT($M125,2)&lt;=R$1,RIGHT($M126,2)&gt;=R$1),$K125,0)+IF(AND(RIGHT($Q125,2)&lt;=R$1,RIGHT($Q126,2)&gt;=R$1),$O125,0)+IF(AND(RIGHT($E127,2)&lt;=R$1,RIGHT($E128,2)&gt;=R$1),$C127,0)+IF(AND(RIGHT($I127,2)&lt;=R$1,RIGHT($I128,2)&gt;=R$1),$G127,0)+IF(AND(RIGHT($M127,2)&lt;=R$1,RIGHT($M128,2)&gt;=R$1),$K127,0)+IF(AND(RIGHT($Q127,2)&lt;=R$1,RIGHT($Q128,2)&gt;=R$1),$O127,0)</f>
        <v>0</v>
      </c>
      <c r="S84" s="5"/>
      <c r="T84" s="15">
        <f>IF(AND(RIGHT($E123,2)&lt;=T$1,RIGHT($E124,2)&gt;=T$1),$C123,0)+IF(AND(RIGHT($I123,2)&lt;=T$1,RIGHT($I124,2)&gt;=T$1),$G123,0)+IF(AND(RIGHT($M123,2)&lt;=T$1,RIGHT($M124,2)&gt;=T$1),$K123,0)+IF(AND(RIGHT($Q123,2)&lt;=T$1,RIGHT($Q124,2)&gt;=T$1),$O123,0)+IF(AND(RIGHT($E125,2)&lt;=T$1,RIGHT($E126,2)&gt;=T$1),$C125,0)+IF(AND(RIGHT($I125,2)&lt;=T$1,RIGHT($I126,2)&gt;=T$1),$G125,0)+IF(AND(RIGHT($M125,2)&lt;=T$1,RIGHT($M126,2)&gt;=T$1),$K125,0)+IF(AND(RIGHT($Q125,2)&lt;=T$1,RIGHT($Q126,2)&gt;=T$1),$O125,0)+IF(AND(RIGHT($E127,2)&lt;=T$1,RIGHT($E128,2)&gt;=T$1),$C127,0)+IF(AND(RIGHT($I127,2)&lt;=T$1,RIGHT($I128,2)&gt;=T$1),$G127,0)+IF(AND(RIGHT($M127,2)&lt;=T$1,RIGHT($M128,2)&gt;=T$1),$K127,0)+IF(AND(RIGHT($Q127,2)&lt;=T$1,RIGHT($Q128,2)&gt;=T$1),$O127,0)</f>
        <v>0</v>
      </c>
      <c r="U84" s="30"/>
      <c r="V84" s="5">
        <f>IF(AND(RIGHT($E123,2)&lt;=V$1,RIGHT($E124,2)&gt;=V$1),$C123,0)+IF(AND(RIGHT($I123,2)&lt;=V$1,RIGHT($I124,2)&gt;=V$1),$G123,0)+IF(AND(RIGHT($M123,2)&lt;=V$1,RIGHT($M124,2)&gt;=V$1),$K123,0)+IF(AND(RIGHT($Q123,2)&lt;=V$1,RIGHT($Q124,2)&gt;=V$1),$O123,0)+IF(AND(RIGHT($E125,2)&lt;=V$1,RIGHT($E126,2)&gt;=V$1),$C125,0)+IF(AND(RIGHT($I125,2)&lt;=V$1,RIGHT($I126,2)&gt;=V$1),$G125,0)+IF(AND(RIGHT($M125,2)&lt;=V$1,RIGHT($M126,2)&gt;=V$1),$K125,0)+IF(AND(RIGHT($Q125,2)&lt;=V$1,RIGHT($Q126,2)&gt;=V$1),$O125,0)+IF(AND(RIGHT($E127,2)&lt;=V$1,RIGHT($E128,2)&gt;=V$1),$C127,0)+IF(AND(RIGHT($I127,2)&lt;=V$1,RIGHT($I128,2)&gt;=V$1),$G127,0)+IF(AND(RIGHT($M127,2)&lt;=V$1,RIGHT($M128,2)&gt;=V$1),$K127,0)+IF(AND(RIGHT($Q127,2)&lt;=V$1,RIGHT($Q128,2)&gt;=V$1),$O127,0)</f>
        <v>0</v>
      </c>
      <c r="W84" s="5"/>
      <c r="X84" s="15">
        <f>IF(AND(RIGHT($E123,2)&lt;=X$1,RIGHT($E124,2)&gt;=X$1),$C123,0)+IF(AND(RIGHT($I123,2)&lt;=X$1,RIGHT($I124,2)&gt;=X$1),$G123,0)+IF(AND(RIGHT($M123,2)&lt;=X$1,RIGHT($M124,2)&gt;=X$1),$K123,0)+IF(AND(RIGHT($Q123,2)&lt;=X$1,RIGHT($Q124,2)&gt;=X$1),$O123,0)+IF(AND(RIGHT($E125,2)&lt;=X$1,RIGHT($E126,2)&gt;=X$1),$C125,0)+IF(AND(RIGHT($I125,2)&lt;=X$1,RIGHT($I126,2)&gt;=X$1),$G125,0)+IF(AND(RIGHT($M125,2)&lt;=X$1,RIGHT($M126,2)&gt;=X$1),$K125,0)+IF(AND(RIGHT($Q125,2)&lt;=X$1,RIGHT($Q126,2)&gt;=X$1),$O125,0)+IF(AND(RIGHT($E127,2)&lt;=X$1,RIGHT($E128,2)&gt;=X$1),$C127,0)+IF(AND(RIGHT($I127,2)&lt;=X$1,RIGHT($I128,2)&gt;=X$1),$G127,0)+IF(AND(RIGHT($M127,2)&lt;=X$1,RIGHT($M128,2)&gt;=X$1),$K127,0)+IF(AND(RIGHT($Q127,2)&lt;=X$1,RIGHT($Q128,2)&gt;=X$1),$O127,0)</f>
        <v>0</v>
      </c>
      <c r="Y84" s="30"/>
      <c r="Z84" s="5">
        <f>IF(AND(RIGHT($E123,2)&lt;=Z$1,RIGHT($E124,2)&gt;=Z$1),$C123,0)+IF(AND(RIGHT($I123,2)&lt;=Z$1,RIGHT($I124,2)&gt;=Z$1),$G123,0)+IF(AND(RIGHT($M123,2)&lt;=Z$1,RIGHT($M124,2)&gt;=Z$1),$K123,0)+IF(AND(RIGHT($Q123,2)&lt;=Z$1,RIGHT($Q124,2)&gt;=Z$1),$O123,0)+IF(AND(RIGHT($E125,2)&lt;=Z$1,RIGHT($E126,2)&gt;=Z$1),$C125,0)+IF(AND(RIGHT($I125,2)&lt;=Z$1,RIGHT($I126,2)&gt;=Z$1),$G125,0)+IF(AND(RIGHT($M125,2)&lt;=Z$1,RIGHT($M126,2)&gt;=Z$1),$K125,0)+IF(AND(RIGHT($Q125,2)&lt;=Z$1,RIGHT($Q126,2)&gt;=Z$1),$O125,0)+IF(AND(RIGHT($E127,2)&lt;=Z$1,RIGHT($E128,2)&gt;=Z$1),$C127,0)+IF(AND(RIGHT($I127,2)&lt;=Z$1,RIGHT($I128,2)&gt;=Z$1),$G127,0)+IF(AND(RIGHT($M127,2)&lt;=Z$1,RIGHT($M128,2)&gt;=Z$1),$K127,0)+IF(AND(RIGHT($Q127,2)&lt;=Z$1,RIGHT($Q128,2)&gt;=Z$1),$O127,0)</f>
        <v>0</v>
      </c>
      <c r="AA84" s="5"/>
      <c r="AB84" s="15">
        <f>IF(AND(RIGHT($E123,2)&lt;=AB$1,RIGHT($E124,2)&gt;=AB$1),$C123,0)+IF(AND(RIGHT($I123,2)&lt;=AB$1,RIGHT($I124,2)&gt;=AB$1),$G123,0)+IF(AND(RIGHT($M123,2)&lt;=AB$1,RIGHT($M124,2)&gt;=AB$1),$K123,0)+IF(AND(RIGHT($Q123,2)&lt;=AB$1,RIGHT($Q124,2)&gt;=AB$1),$O123,0)+IF(AND(RIGHT($E125,2)&lt;=AB$1,RIGHT($E126,2)&gt;=AB$1),$C125,0)+IF(AND(RIGHT($I125,2)&lt;=AB$1,RIGHT($I126,2)&gt;=AB$1),$G125,0)+IF(AND(RIGHT($M125,2)&lt;=AB$1,RIGHT($M126,2)&gt;=AB$1),$K125,0)+IF(AND(RIGHT($Q125,2)&lt;=AB$1,RIGHT($Q126,2)&gt;=AB$1),$O125,0)+IF(AND(RIGHT($E127,2)&lt;=AB$1,RIGHT($E128,2)&gt;=AB$1),$C127,0)+IF(AND(RIGHT($I127,2)&lt;=AB$1,RIGHT($I128,2)&gt;=AB$1),$G127,0)+IF(AND(RIGHT($M127,2)&lt;=AB$1,RIGHT($M128,2)&gt;=AB$1),$K127,0)+IF(AND(RIGHT($Q127,2)&lt;=AB$1,RIGHT($Q128,2)&gt;=AB$1),$O127,0)</f>
        <v>0</v>
      </c>
      <c r="AC84" s="30"/>
      <c r="AD84" s="5">
        <f>IF(AND(RIGHT($E123,2)&lt;=AD$1,RIGHT($E124,2)&gt;=AD$1),$C123,0)+IF(AND(RIGHT($I123,2)&lt;=AD$1,RIGHT($I124,2)&gt;=AD$1),$G123,0)+IF(AND(RIGHT($M123,2)&lt;=AD$1,RIGHT($M124,2)&gt;=AD$1),$K123,0)+IF(AND(RIGHT($Q123,2)&lt;=AD$1,RIGHT($Q124,2)&gt;=AD$1),$O123,0)+IF(AND(RIGHT($E125,2)&lt;=AD$1,RIGHT($E126,2)&gt;=AD$1),$C125,0)+IF(AND(RIGHT($I125,2)&lt;=AD$1,RIGHT($I126,2)&gt;=AD$1),$G125,0)+IF(AND(RIGHT($M125,2)&lt;=AD$1,RIGHT($M126,2)&gt;=AD$1),$K125,0)+IF(AND(RIGHT($Q125,2)&lt;=AD$1,RIGHT($Q126,2)&gt;=AD$1),$O125,0)+IF(AND(RIGHT($E127,2)&lt;=AD$1,RIGHT($E128,2)&gt;=AD$1),$C127,0)+IF(AND(RIGHT($I127,2)&lt;=AD$1,RIGHT($I128,2)&gt;=AD$1),$G127,0)+IF(AND(RIGHT($M127,2)&lt;=AD$1,RIGHT($M128,2)&gt;=AD$1),$K127,0)+IF(AND(RIGHT($Q127,2)&lt;=AD$1,RIGHT($Q128,2)&gt;=AD$1),$O127,0)</f>
        <v>0</v>
      </c>
      <c r="AE84" s="5"/>
      <c r="AF84" s="15">
        <f>IF(AND(RIGHT($E123,2)&lt;=AF$1,RIGHT($E124,2)&gt;=AF$1),$C123,0)+IF(AND(RIGHT($I123,2)&lt;=AF$1,RIGHT($I124,2)&gt;=AF$1),$G123,0)+IF(AND(RIGHT($M123,2)&lt;=AF$1,RIGHT($M124,2)&gt;=AF$1),$K123,0)+IF(AND(RIGHT($Q123,2)&lt;=AF$1,RIGHT($Q124,2)&gt;=AF$1),$O123,0)+IF(AND(RIGHT($E125,2)&lt;=AF$1,RIGHT($E126,2)&gt;=AF$1),$C125,0)+IF(AND(RIGHT($I125,2)&lt;=AF$1,RIGHT($I126,2)&gt;=AF$1),$G125,0)+IF(AND(RIGHT($M125,2)&lt;=AF$1,RIGHT($M126,2)&gt;=AF$1),$K125,0)+IF(AND(RIGHT($Q125,2)&lt;=AF$1,RIGHT($Q126,2)&gt;=AF$1),$O125,0)+IF(AND(RIGHT($E127,2)&lt;=AF$1,RIGHT($E128,2)&gt;=AF$1),$C127,0)+IF(AND(RIGHT($I127,2)&lt;=AF$1,RIGHT($I128,2)&gt;=AF$1),$G127,0)+IF(AND(RIGHT($M127,2)&lt;=AF$1,RIGHT($M128,2)&gt;=AF$1),$K127,0)+IF(AND(RIGHT($Q127,2)&lt;=AF$1,RIGHT($Q128,2)&gt;=AF$1),$O127,0)</f>
        <v>0</v>
      </c>
      <c r="AG84" s="30"/>
      <c r="AH84" s="5">
        <f>IF(AND(RIGHT($E123,2)&lt;=AH$1,RIGHT($E124,2)&gt;=AH$1),$C123,0)+IF(AND(RIGHT($I123,2)&lt;=AH$1,RIGHT($I124,2)&gt;=AH$1),$G123,0)+IF(AND(RIGHT($M123,2)&lt;=AH$1,RIGHT($M124,2)&gt;=AH$1),$K123,0)+IF(AND(RIGHT($Q123,2)&lt;=AH$1,RIGHT($Q124,2)&gt;=AH$1),$O123,0)+IF(AND(RIGHT($E125,2)&lt;=AH$1,RIGHT($E126,2)&gt;=AH$1),$C125,0)+IF(AND(RIGHT($I125,2)&lt;=AH$1,RIGHT($I126,2)&gt;=AH$1),$G125,0)+IF(AND(RIGHT($M125,2)&lt;=AH$1,RIGHT($M126,2)&gt;=AH$1),$K125,0)+IF(AND(RIGHT($Q125,2)&lt;=AH$1,RIGHT($Q126,2)&gt;=AH$1),$O125,0)+IF(AND(RIGHT($E127,2)&lt;=AH$1,RIGHT($E128,2)&gt;=AH$1),$C127,0)+IF(AND(RIGHT($I127,2)&lt;=AH$1,RIGHT($I128,2)&gt;=AH$1),$G127,0)+IF(AND(RIGHT($M127,2)&lt;=AH$1,RIGHT($M128,2)&gt;=AH$1),$K127,0)+IF(AND(RIGHT($Q127,2)&lt;=AH$1,RIGHT($Q128,2)&gt;=AH$1),$O127,0)</f>
        <v>0</v>
      </c>
      <c r="AI84" s="5"/>
      <c r="AJ84" s="15">
        <f>IF(AND(RIGHT($E123,2)&lt;=AJ$1,RIGHT($E124,2)&gt;=AJ$1),$C123,0)+IF(AND(RIGHT($I123,2)&lt;=AJ$1,RIGHT($I124,2)&gt;=AJ$1),$G123,0)+IF(AND(RIGHT($M123,2)&lt;=AJ$1,RIGHT($M124,2)&gt;=AJ$1),$K123,0)+IF(AND(RIGHT($Q123,2)&lt;=AJ$1,RIGHT($Q124,2)&gt;=AJ$1),$O123,0)+IF(AND(RIGHT($E125,2)&lt;=AJ$1,RIGHT($E126,2)&gt;=AJ$1),$C125,0)+IF(AND(RIGHT($I125,2)&lt;=AJ$1,RIGHT($I126,2)&gt;=AJ$1),$G125,0)+IF(AND(RIGHT($M125,2)&lt;=AJ$1,RIGHT($M126,2)&gt;=AJ$1),$K125,0)+IF(AND(RIGHT($Q125,2)&lt;=AJ$1,RIGHT($Q126,2)&gt;=AJ$1),$O125,0)+IF(AND(RIGHT($E127,2)&lt;=AJ$1,RIGHT($E128,2)&gt;=AJ$1),$C127,0)+IF(AND(RIGHT($I127,2)&lt;=AJ$1,RIGHT($I128,2)&gt;=AJ$1),$G127,0)+IF(AND(RIGHT($M127,2)&lt;=AJ$1,RIGHT($M128,2)&gt;=AJ$1),$K127,0)+IF(AND(RIGHT($Q127,2)&lt;=AJ$1,RIGHT($Q128,2)&gt;=AJ$1),$O127,0)</f>
        <v>0</v>
      </c>
      <c r="AK84" s="30"/>
      <c r="AL84" s="5" t="s">
        <v>89</v>
      </c>
      <c r="AM84" s="5"/>
      <c r="AN84">
        <f t="shared" si="18"/>
        <v>0</v>
      </c>
    </row>
    <row r="85" spans="1:41">
      <c r="A85" s="5" t="s">
        <v>90</v>
      </c>
      <c r="B85" s="5"/>
      <c r="C85" s="5"/>
      <c r="D85" s="15">
        <f>IF(AND(RIGHT($E130,2)&lt;=D1,RIGHT($E131,2)&gt;=D1),VLOOKUP($C$130,données!$CI$7:$CS$46,données!$DS$10*2),IF(AND(RIGHT($I130,2)&lt;=D1,RIGHT($I131,2)&gt;=D1),VLOOKUP($G$130,données!$CI$7:$CS$46,données!$DS$10*2),IF(AND(RIGHT($M130,2)&lt;=D1,RIGHT($M131,2)&gt;=D1),VLOOKUP($K$130,données!$CI$7:$CS$46,données!$DS$10*2),IF(AND(RIGHT($Q130,2)&lt;=D1,RIGHT($Q131,2)&gt;=D1),VLOOKUP($O$130,données!$CI$7:$CS$46,données!$DS$10*2),0))))</f>
        <v>620</v>
      </c>
      <c r="E85" s="30"/>
      <c r="F85" s="5">
        <f>IF(AND(RIGHT($E130,2)&lt;=F1,RIGHT($E131,2)&gt;=F1),VLOOKUP($C$130,données!$CI$7:$CS$46,données!$DS$10*2),IF(AND(RIGHT($I130,2)&lt;=F1,RIGHT($I131,2)&gt;=F1),VLOOKUP($G$130,données!$CI$7:$CS$46,données!$DS$10*2),IF(AND(RIGHT($M130,2)&lt;=F1,RIGHT($M131,2)&gt;=F1),VLOOKUP($K$130,données!$CI$7:$CS$46,données!$DS$10*2),IF(AND(RIGHT($Q130,2)&lt;=F1,RIGHT($Q131,2)&gt;=F1),VLOOKUP($O$130,données!$CI$7:$CS$46,données!$DS$10*2),0))))</f>
        <v>620</v>
      </c>
      <c r="G85" s="5"/>
      <c r="H85" s="15">
        <f>IF(AND(RIGHT($E130,2)&lt;=H1,RIGHT($E131,2)&gt;=H1),VLOOKUP($C$130,données!$CI$7:$CS$46,données!$DS$10*2),IF(AND(RIGHT($I130,2)&lt;=H1,RIGHT($I131,2)&gt;=H1),VLOOKUP($G$130,données!$CI$7:$CS$46,données!$DS$10*2),IF(AND(RIGHT($M130,2)&lt;=H1,RIGHT($M131,2)&gt;=H1),VLOOKUP($K$130,données!$CI$7:$CS$46,données!$DS$10*2),IF(AND(RIGHT($Q130,2)&lt;=H1,RIGHT($Q131,2)&gt;=H1),VLOOKUP($O$130,données!$CI$7:$CS$46,données!$DS$10*2),0))))</f>
        <v>620</v>
      </c>
      <c r="I85" s="30"/>
      <c r="J85" s="5">
        <f>IF(AND(RIGHT($E130,2)&lt;=J1,RIGHT($E131,2)&gt;=J1),VLOOKUP($C$130,données!$CI$7:$CS$46,données!$DS$10*2),IF(AND(RIGHT($I130,2)&lt;=J1,RIGHT($I131,2)&gt;=J1),VLOOKUP($G$130,données!$CI$7:$CS$46,données!$DS$10*2),IF(AND(RIGHT($M130,2)&lt;=J1,RIGHT($M131,2)&gt;=J1),VLOOKUP($K$130,données!$CI$7:$CS$46,données!$DS$10*2),IF(AND(RIGHT($Q130,2)&lt;=J1,RIGHT($Q131,2)&gt;=J1),VLOOKUP($O$130,données!$CI$7:$CS$46,données!$DS$10*2),0))))</f>
        <v>620</v>
      </c>
      <c r="K85" s="5"/>
      <c r="L85" s="15">
        <f>IF(AND(RIGHT($E130,2)&lt;=L1,RIGHT($E131,2)&gt;=L1),VLOOKUP($C$130,données!$CI$7:$CS$46,données!$DS$10*2),IF(AND(RIGHT($I130,2)&lt;=L1,RIGHT($I131,2)&gt;=L1),VLOOKUP($G$130,données!$CI$7:$CS$46,données!$DS$10*2),IF(AND(RIGHT($M130,2)&lt;=L1,RIGHT($M131,2)&gt;=L1),VLOOKUP($K$130,données!$CI$7:$CS$46,données!$DS$10*2),IF(AND(RIGHT($Q130,2)&lt;=L1,RIGHT($Q131,2)&gt;=L1),VLOOKUP($O$130,données!$CI$7:$CS$46,données!$DS$10*2),0))))</f>
        <v>620</v>
      </c>
      <c r="M85" s="30"/>
      <c r="N85" s="5">
        <f>IF(AND(RIGHT($E130,2)&lt;=N1,RIGHT($E131,2)&gt;=N1),VLOOKUP($C$130,données!$CI$7:$CS$46,données!$DS$10*2),IF(AND(RIGHT($I130,2)&lt;=N1,RIGHT($I131,2)&gt;=N1),VLOOKUP($G$130,données!$CI$7:$CS$46,données!$DS$10*2),IF(AND(RIGHT($M130,2)&lt;=N1,RIGHT($M131,2)&gt;=N1),VLOOKUP($K$130,données!$CI$7:$CS$46,données!$DS$10*2),IF(AND(RIGHT($Q130,2)&lt;=N1,RIGHT($Q131,2)&gt;=N1),VLOOKUP($O$130,données!$CI$7:$CS$46,données!$DS$10*2),0))))</f>
        <v>460</v>
      </c>
      <c r="O85" s="5"/>
      <c r="P85" s="15">
        <f>IF(AND(RIGHT($E130,2)&lt;=P1,RIGHT($E131,2)&gt;=P1),VLOOKUP($C$130,données!$CI$7:$CS$46,données!$DS$10*2),IF(AND(RIGHT($I130,2)&lt;=P1,RIGHT($I131,2)&gt;=P1),VLOOKUP($G$130,données!$CI$7:$CS$46,données!$DS$10*2),IF(AND(RIGHT($M130,2)&lt;=P1,RIGHT($M131,2)&gt;=P1),VLOOKUP($K$130,données!$CI$7:$CS$46,données!$DS$10*2),IF(AND(RIGHT($Q130,2)&lt;=P1,RIGHT($Q131,2)&gt;=P1),VLOOKUP($O$130,données!$CI$7:$CS$46,données!$DS$10*2),0))))</f>
        <v>460</v>
      </c>
      <c r="Q85" s="30"/>
      <c r="R85" s="5">
        <f>IF(AND(RIGHT($E130,2)&lt;=R1,RIGHT($E131,2)&gt;=R1),VLOOKUP($C$130,données!$CI$7:$CS$46,données!$DS$10*2),IF(AND(RIGHT($I130,2)&lt;=R1,RIGHT($I131,2)&gt;=R1),VLOOKUP($G$130,données!$CI$7:$CS$46,données!$DS$10*2),IF(AND(RIGHT($M130,2)&lt;=R1,RIGHT($M131,2)&gt;=R1),VLOOKUP($K$130,données!$CI$7:$CS$46,données!$DS$10*2),IF(AND(RIGHT($Q130,2)&lt;=R1,RIGHT($Q131,2)&gt;=R1),VLOOKUP($O$130,données!$CI$7:$CS$46,données!$DS$10*2),0))))</f>
        <v>460</v>
      </c>
      <c r="S85" s="5"/>
      <c r="T85" s="15">
        <f>IF(AND(RIGHT($E130,2)&lt;=T1,RIGHT($E131,2)&gt;=T1),VLOOKUP($C$130,données!$CI$7:$CS$46,données!$DS$10*2),IF(AND(RIGHT($I130,2)&lt;=T1,RIGHT($I131,2)&gt;=T1),VLOOKUP($G$130,données!$CI$7:$CS$46,données!$DS$10*2),IF(AND(RIGHT($M130,2)&lt;=T1,RIGHT($M131,2)&gt;=T1),VLOOKUP($K$130,données!$CI$7:$CS$46,données!$DS$10*2),IF(AND(RIGHT($Q130,2)&lt;=T1,RIGHT($Q131,2)&gt;=T1),VLOOKUP($O$130,données!$CI$7:$CS$46,données!$DS$10*2),0))))</f>
        <v>460</v>
      </c>
      <c r="U85" s="30"/>
      <c r="V85" s="5">
        <f>IF(AND(RIGHT($E130,2)&lt;=V1,RIGHT($E131,2)&gt;=V1),VLOOKUP($C$130,données!$CI$7:$CS$46,données!$DS$10*2),IF(AND(RIGHT($I130,2)&lt;=V1,RIGHT($I131,2)&gt;=V1),VLOOKUP($G$130,données!$CI$7:$CS$46,données!$DS$10*2),IF(AND(RIGHT($M130,2)&lt;=V1,RIGHT($M131,2)&gt;=V1),VLOOKUP($K$130,données!$CI$7:$CS$46,données!$DS$10*2),IF(AND(RIGHT($Q130,2)&lt;=V1,RIGHT($Q131,2)&gt;=V1),VLOOKUP($O$130,données!$CI$7:$CS$46,données!$DS$10*2),0))))</f>
        <v>460</v>
      </c>
      <c r="W85" s="5"/>
      <c r="X85" s="15">
        <f>IF(AND(RIGHT($E130,2)&lt;=X1,RIGHT($E131,2)&gt;=X1),VLOOKUP($C$130,données!$CI$7:$CS$46,données!$DS$10*2),IF(AND(RIGHT($I130,2)&lt;=X1,RIGHT($I131,2)&gt;=X1),VLOOKUP($G$130,données!$CI$7:$CS$46,données!$DS$10*2),IF(AND(RIGHT($M130,2)&lt;=X1,RIGHT($M131,2)&gt;=X1),VLOOKUP($K$130,données!$CI$7:$CS$46,données!$DS$10*2),IF(AND(RIGHT($Q130,2)&lt;=X1,RIGHT($Q131,2)&gt;=X1),VLOOKUP($O$130,données!$CI$7:$CS$46,données!$DS$10*2),0))))</f>
        <v>460</v>
      </c>
      <c r="Y85" s="30"/>
      <c r="Z85" s="5">
        <f>IF(AND(RIGHT($E130,2)&lt;=Z1,RIGHT($E131,2)&gt;=Z1),VLOOKUP($C$130,données!$CI$7:$CS$46,données!$DS$10*2),IF(AND(RIGHT($I130,2)&lt;=Z1,RIGHT($I131,2)&gt;=Z1),VLOOKUP($G$130,données!$CI$7:$CS$46,données!$DS$10*2),IF(AND(RIGHT($M130,2)&lt;=Z1,RIGHT($M131,2)&gt;=Z1),VLOOKUP($K$130,données!$CI$7:$CS$46,données!$DS$10*2),IF(AND(RIGHT($Q130,2)&lt;=Z1,RIGHT($Q131,2)&gt;=Z1),VLOOKUP($O$130,données!$CI$7:$CS$46,données!$DS$10*2),0))))</f>
        <v>460</v>
      </c>
      <c r="AA85" s="5"/>
      <c r="AB85" s="15">
        <f>IF(AND(RIGHT($E130,2)&lt;=AB1,RIGHT($E131,2)&gt;=AB1),VLOOKUP($C$130,données!$CI$7:$CS$46,données!$DS$10*2),IF(AND(RIGHT($I130,2)&lt;=AB1,RIGHT($I131,2)&gt;=AB1),VLOOKUP($G$130,données!$CI$7:$CS$46,données!$DS$10*2),IF(AND(RIGHT($M130,2)&lt;=AB1,RIGHT($M131,2)&gt;=AB1),VLOOKUP($K$130,données!$CI$7:$CS$46,données!$DS$10*2),IF(AND(RIGHT($Q130,2)&lt;=AB1,RIGHT($Q131,2)&gt;=AB1),VLOOKUP($O$130,données!$CI$7:$CS$46,données!$DS$10*2),0))))</f>
        <v>460</v>
      </c>
      <c r="AC85" s="30"/>
      <c r="AD85" s="5">
        <f>IF(AND(RIGHT($E130,2)&lt;=AD1,RIGHT($E131,2)&gt;=AD1),VLOOKUP($C$130,données!$CI$7:$CS$46,données!$DS$10*2),IF(AND(RIGHT($I130,2)&lt;=AD1,RIGHT($I131,2)&gt;=AD1),VLOOKUP($G$130,données!$CI$7:$CS$46,données!$DS$10*2),IF(AND(RIGHT($M130,2)&lt;=AD1,RIGHT($M131,2)&gt;=AD1),VLOOKUP($K$130,données!$CI$7:$CS$46,données!$DS$10*2),IF(AND(RIGHT($Q130,2)&lt;=AD1,RIGHT($Q131,2)&gt;=AD1),VLOOKUP($O$130,données!$CI$7:$CS$46,données!$DS$10*2),0))))</f>
        <v>460</v>
      </c>
      <c r="AE85" s="5"/>
      <c r="AF85" s="15">
        <f>IF(AND(RIGHT($E130,2)&lt;=AF1,RIGHT($E131,2)&gt;=AF1),VLOOKUP($C$130,données!$CI$7:$CS$46,données!$DS$10*2),IF(AND(RIGHT($I130,2)&lt;=AF1,RIGHT($I131,2)&gt;=AF1),VLOOKUP($G$130,données!$CI$7:$CS$46,données!$DS$10*2),IF(AND(RIGHT($M130,2)&lt;=AF1,RIGHT($M131,2)&gt;=AF1),VLOOKUP($K$130,données!$CI$7:$CS$46,données!$DS$10*2),IF(AND(RIGHT($Q130,2)&lt;=AF1,RIGHT($Q131,2)&gt;=AF1),VLOOKUP($O$130,données!$CI$7:$CS$46,données!$DS$10*2),0))))</f>
        <v>460</v>
      </c>
      <c r="AG85" s="30"/>
      <c r="AH85" s="5">
        <f>IF(AND(RIGHT($E130,2)&lt;=AH1,RIGHT($E131,2)&gt;=AH1),VLOOKUP($C$130,données!$CI$7:$CS$46,données!$DS$10*2),IF(AND(RIGHT($I130,2)&lt;=AH1,RIGHT($I131,2)&gt;=AH1),VLOOKUP($G$130,données!$CI$7:$CS$46,données!$DS$10*2),IF(AND(RIGHT($M130,2)&lt;=AH1,RIGHT($M131,2)&gt;=AH1),VLOOKUP($K$130,données!$CI$7:$CS$46,données!$DS$10*2),IF(AND(RIGHT($Q130,2)&lt;=AH1,RIGHT($Q131,2)&gt;=AH1),VLOOKUP($O$130,données!$CI$7:$CS$46,données!$DS$10*2),0))))</f>
        <v>460</v>
      </c>
      <c r="AI85" s="5"/>
      <c r="AJ85" s="15">
        <f>IF(AND(RIGHT($E130,2)&lt;=AJ1,RIGHT($E131,2)&gt;=AJ1),VLOOKUP($C$130,données!$CI$7:$CS$46,données!$DS$10*2),IF(AND(RIGHT($I130,2)&lt;=AJ1,RIGHT($I131,2)&gt;=AJ1),VLOOKUP($G$130,données!$CI$7:$CS$46,données!$DS$10*2),IF(AND(RIGHT($M130,2)&lt;=AJ1,RIGHT($M131,2)&gt;=AJ1),VLOOKUP($K$130,données!$CI$7:$CS$46,données!$DS$10*2),IF(AND(RIGHT($Q130,2)&lt;=AJ1,RIGHT($Q131,2)&gt;=AJ1),VLOOKUP($O$130,données!$CI$7:$CS$46,données!$DS$10*2),0))))</f>
        <v>460</v>
      </c>
      <c r="AK85" s="30"/>
      <c r="AL85" s="5" t="s">
        <v>90</v>
      </c>
      <c r="AM85" s="5"/>
      <c r="AN85">
        <f t="shared" si="18"/>
        <v>8620</v>
      </c>
    </row>
    <row r="86" spans="1:41">
      <c r="A86" s="5" t="s">
        <v>91</v>
      </c>
      <c r="B86" s="5"/>
      <c r="C86" s="5"/>
      <c r="D86" s="15">
        <f>IF(AND(RIGHT($E132,2)&lt;=D1,RIGHT($E133,2)&gt;=D1),VLOOKUP($C$132,données!$CI$7:$CS$46,données!$DS$10*2+1),IF(AND(RIGHT($I132,2)&lt;=D1,RIGHT($I133,2)&gt;=D1),VLOOKUP($G$132,données!$CI$7:$CS$46,données!$DS$10*2+1),IF(AND(RIGHT($M132,2)&lt;=D1,RIGHT($M133,2)&gt;=D1),VLOOKUP($K$132,données!$CI$7:$CS$46,données!$DS$10*2+1),IF(AND(RIGHT($Q132,2)&lt;=D1,RIGHT($Q133,2)&gt;=D1),VLOOKUP($O$132,données!$CI$7:$CS$46,données!$DS$10*2+1),0))))</f>
        <v>10538.46</v>
      </c>
      <c r="E86" s="30"/>
      <c r="F86" s="5">
        <f>IF(AND(RIGHT($E132,2)&lt;=F1,RIGHT($E133,2)&gt;=F1),VLOOKUP($C$132,données!$CI$7:$CS$46,données!$DS$10*2+1),IF(AND(RIGHT($I132,2)&lt;=F1,RIGHT($I133,2)&gt;=F1),VLOOKUP($G$132,données!$CI$7:$CS$46,données!$DS$10*2+1),IF(AND(RIGHT($M132,2)&lt;=F1,RIGHT($M133,2)&gt;=F1),VLOOKUP($K$132,données!$CI$7:$CS$46,données!$DS$10*2+1),IF(AND(RIGHT($Q132,2)&lt;=F1,RIGHT($Q133,2)&gt;=F1),VLOOKUP($O$132,données!$CI$7:$CS$46,données!$DS$10*2+1),0))))</f>
        <v>10538.46</v>
      </c>
      <c r="G86" s="5"/>
      <c r="H86" s="15">
        <f>IF(AND(RIGHT($E132,2)&lt;=H1,RIGHT($E133,2)&gt;=H1),VLOOKUP($C$132,données!$CI$7:$CS$46,données!$DS$10*2+1),IF(AND(RIGHT($I132,2)&lt;=H1,RIGHT($I133,2)&gt;=H1),VLOOKUP($G$132,données!$CI$7:$CS$46,données!$DS$10*2+1),IF(AND(RIGHT($M132,2)&lt;=H1,RIGHT($M133,2)&gt;=H1),VLOOKUP($K$132,données!$CI$7:$CS$46,données!$DS$10*2+1),IF(AND(RIGHT($Q132,2)&lt;=H1,RIGHT($Q133,2)&gt;=H1),VLOOKUP($O$132,données!$CI$7:$CS$46,données!$DS$10*2+1),0))))</f>
        <v>10538.46</v>
      </c>
      <c r="I86" s="30"/>
      <c r="J86" s="5">
        <f>IF(AND(RIGHT($E132,2)&lt;=J1,RIGHT($E133,2)&gt;=J1),VLOOKUP($C$132,données!$CI$7:$CS$46,données!$DS$10*2+1),IF(AND(RIGHT($I132,2)&lt;=J1,RIGHT($I133,2)&gt;=J1),VLOOKUP($G$132,données!$CI$7:$CS$46,données!$DS$10*2+1),IF(AND(RIGHT($M132,2)&lt;=J1,RIGHT($M133,2)&gt;=J1),VLOOKUP($K$132,données!$CI$7:$CS$46,données!$DS$10*2+1),IF(AND(RIGHT($Q132,2)&lt;=J1,RIGHT($Q133,2)&gt;=J1),VLOOKUP($O$132,données!$CI$7:$CS$46,données!$DS$10*2+1),0))))</f>
        <v>10538.46</v>
      </c>
      <c r="K86" s="5"/>
      <c r="L86" s="15">
        <f>IF(AND(RIGHT($E132,2)&lt;=L1,RIGHT($E133,2)&gt;=L1),VLOOKUP($C$132,données!$CI$7:$CS$46,données!$DS$10*2+1),IF(AND(RIGHT($I132,2)&lt;=L1,RIGHT($I133,2)&gt;=L1),VLOOKUP($G$132,données!$CI$7:$CS$46,données!$DS$10*2+1),IF(AND(RIGHT($M132,2)&lt;=L1,RIGHT($M133,2)&gt;=L1),VLOOKUP($K$132,données!$CI$7:$CS$46,données!$DS$10*2+1),IF(AND(RIGHT($Q132,2)&lt;=L1,RIGHT($Q133,2)&gt;=L1),VLOOKUP($O$132,données!$CI$7:$CS$46,données!$DS$10*2+1),0))))</f>
        <v>10538.46</v>
      </c>
      <c r="M86" s="30"/>
      <c r="N86" s="5">
        <f>IF(AND(RIGHT($E132,2)&lt;=N1,RIGHT($E133,2)&gt;=N1),VLOOKUP($C$132,données!$CI$7:$CS$46,données!$DS$10*2+1),IF(AND(RIGHT($I132,2)&lt;=N1,RIGHT($I133,2)&gt;=N1),VLOOKUP($G$132,données!$CI$7:$CS$46,données!$DS$10*2+1),IF(AND(RIGHT($M132,2)&lt;=N1,RIGHT($M133,2)&gt;=N1),VLOOKUP($K$132,données!$CI$7:$CS$46,données!$DS$10*2+1),IF(AND(RIGHT($Q132,2)&lt;=N1,RIGHT($Q133,2)&gt;=N1),VLOOKUP($O$132,données!$CI$7:$CS$46,données!$DS$10*2+1),0))))</f>
        <v>9328.2039999999997</v>
      </c>
      <c r="O86" s="5"/>
      <c r="P86" s="15">
        <f>IF(AND(RIGHT($E132,2)&lt;=P1,RIGHT($E133,2)&gt;=P1),VLOOKUP($C$132,données!$CI$7:$CS$46,données!$DS$10*2+1),IF(AND(RIGHT($I132,2)&lt;=P1,RIGHT($I133,2)&gt;=P1),VLOOKUP($G$132,données!$CI$7:$CS$46,données!$DS$10*2+1),IF(AND(RIGHT($M132,2)&lt;=P1,RIGHT($M133,2)&gt;=P1),VLOOKUP($K$132,données!$CI$7:$CS$46,données!$DS$10*2+1),IF(AND(RIGHT($Q132,2)&lt;=P1,RIGHT($Q133,2)&gt;=P1),VLOOKUP($O$132,données!$CI$7:$CS$46,données!$DS$10*2+1),0))))</f>
        <v>9328.2039999999997</v>
      </c>
      <c r="Q86" s="30"/>
      <c r="R86" s="5">
        <f>IF(AND(RIGHT($E132,2)&lt;=R1,RIGHT($E133,2)&gt;=R1),VLOOKUP($C$132,données!$CI$7:$CS$46,données!$DS$10*2+1),IF(AND(RIGHT($I132,2)&lt;=R1,RIGHT($I133,2)&gt;=R1),VLOOKUP($G$132,données!$CI$7:$CS$46,données!$DS$10*2+1),IF(AND(RIGHT($M132,2)&lt;=R1,RIGHT($M133,2)&gt;=R1),VLOOKUP($K$132,données!$CI$7:$CS$46,données!$DS$10*2+1),IF(AND(RIGHT($Q132,2)&lt;=R1,RIGHT($Q133,2)&gt;=R1),VLOOKUP($O$132,données!$CI$7:$CS$46,données!$DS$10*2+1),0))))</f>
        <v>9328.2039999999997</v>
      </c>
      <c r="S86" s="5"/>
      <c r="T86" s="15">
        <f>IF(AND(RIGHT($E132,2)&lt;=T1,RIGHT($E133,2)&gt;=T1),VLOOKUP($C$132,données!$CI$7:$CS$46,données!$DS$10*2+1),IF(AND(RIGHT($I132,2)&lt;=T1,RIGHT($I133,2)&gt;=T1),VLOOKUP($G$132,données!$CI$7:$CS$46,données!$DS$10*2+1),IF(AND(RIGHT($M132,2)&lt;=T1,RIGHT($M133,2)&gt;=T1),VLOOKUP($K$132,données!$CI$7:$CS$46,données!$DS$10*2+1),IF(AND(RIGHT($Q132,2)&lt;=T1,RIGHT($Q133,2)&gt;=T1),VLOOKUP($O$132,données!$CI$7:$CS$46,données!$DS$10*2+1),0))))</f>
        <v>9328.2039999999997</v>
      </c>
      <c r="U86" s="30"/>
      <c r="V86" s="5">
        <f>IF(AND(RIGHT($E132,2)&lt;=V1,RIGHT($E133,2)&gt;=V1),VLOOKUP($C$132,données!$CI$7:$CS$46,données!$DS$10*2+1),IF(AND(RIGHT($I132,2)&lt;=V1,RIGHT($I133,2)&gt;=V1),VLOOKUP($G$132,données!$CI$7:$CS$46,données!$DS$10*2+1),IF(AND(RIGHT($M132,2)&lt;=V1,RIGHT($M133,2)&gt;=V1),VLOOKUP($K$132,données!$CI$7:$CS$46,données!$DS$10*2+1),IF(AND(RIGHT($Q132,2)&lt;=V1,RIGHT($Q133,2)&gt;=V1),VLOOKUP($O$132,données!$CI$7:$CS$46,données!$DS$10*2+1),0))))</f>
        <v>9328.2039999999997</v>
      </c>
      <c r="W86" s="5"/>
      <c r="X86" s="15">
        <f>IF(AND(RIGHT($E132,2)&lt;=X1,RIGHT($E133,2)&gt;=X1),VLOOKUP($C$132,données!$CI$7:$CS$46,données!$DS$10*2+1),IF(AND(RIGHT($I132,2)&lt;=X1,RIGHT($I133,2)&gt;=X1),VLOOKUP($G$132,données!$CI$7:$CS$46,données!$DS$10*2+1),IF(AND(RIGHT($M132,2)&lt;=X1,RIGHT($M133,2)&gt;=X1),VLOOKUP($K$132,données!$CI$7:$CS$46,données!$DS$10*2+1),IF(AND(RIGHT($Q132,2)&lt;=X1,RIGHT($Q133,2)&gt;=X1),VLOOKUP($O$132,données!$CI$7:$CS$46,données!$DS$10*2+1),0))))</f>
        <v>9328.2039999999997</v>
      </c>
      <c r="Y86" s="30"/>
      <c r="Z86" s="5">
        <f>IF(AND(RIGHT($E132,2)&lt;=Z1,RIGHT($E133,2)&gt;=Z1),VLOOKUP($C$132,données!$CI$7:$CS$46,données!$DS$10*2+1),IF(AND(RIGHT($I132,2)&lt;=Z1,RIGHT($I133,2)&gt;=Z1),VLOOKUP($G$132,données!$CI$7:$CS$46,données!$DS$10*2+1),IF(AND(RIGHT($M132,2)&lt;=Z1,RIGHT($M133,2)&gt;=Z1),VLOOKUP($K$132,données!$CI$7:$CS$46,données!$DS$10*2+1),IF(AND(RIGHT($Q132,2)&lt;=Z1,RIGHT($Q133,2)&gt;=Z1),VLOOKUP($O$132,données!$CI$7:$CS$46,données!$DS$10*2+1),0))))</f>
        <v>9328.2039999999997</v>
      </c>
      <c r="AA86" s="5"/>
      <c r="AB86" s="15">
        <f>IF(AND(RIGHT($E132,2)&lt;=AB1,RIGHT($E133,2)&gt;=AB1),VLOOKUP($C$132,données!$CI$7:$CS$46,données!$DS$10*2+1),IF(AND(RIGHT($I132,2)&lt;=AB1,RIGHT($I133,2)&gt;=AB1),VLOOKUP($G$132,données!$CI$7:$CS$46,données!$DS$10*2+1),IF(AND(RIGHT($M132,2)&lt;=AB1,RIGHT($M133,2)&gt;=AB1),VLOOKUP($K$132,données!$CI$7:$CS$46,données!$DS$10*2+1),IF(AND(RIGHT($Q132,2)&lt;=AB1,RIGHT($Q133,2)&gt;=AB1),VLOOKUP($O$132,données!$CI$7:$CS$46,données!$DS$10*2+1),0))))</f>
        <v>9328.2039999999997</v>
      </c>
      <c r="AC86" s="30"/>
      <c r="AD86" s="5">
        <f>IF(AND(RIGHT($E132,2)&lt;=AD1,RIGHT($E133,2)&gt;=AD1),VLOOKUP($C$132,données!$CI$7:$CS$46,données!$DS$10*2+1),IF(AND(RIGHT($I132,2)&lt;=AD1,RIGHT($I133,2)&gt;=AD1),VLOOKUP($G$132,données!$CI$7:$CS$46,données!$DS$10*2+1),IF(AND(RIGHT($M132,2)&lt;=AD1,RIGHT($M133,2)&gt;=AD1),VLOOKUP($K$132,données!$CI$7:$CS$46,données!$DS$10*2+1),IF(AND(RIGHT($Q132,2)&lt;=AD1,RIGHT($Q133,2)&gt;=AD1),VLOOKUP($O$132,données!$CI$7:$CS$46,données!$DS$10*2+1),0))))</f>
        <v>9328.2039999999997</v>
      </c>
      <c r="AE86" s="5"/>
      <c r="AF86" s="15">
        <f>IF(AND(RIGHT($E132,2)&lt;=AF1,RIGHT($E133,2)&gt;=AF1),VLOOKUP($C$132,données!$CI$7:$CS$46,données!$DS$10*2+1),IF(AND(RIGHT($I132,2)&lt;=AF1,RIGHT($I133,2)&gt;=AF1),VLOOKUP($G$132,données!$CI$7:$CS$46,données!$DS$10*2+1),IF(AND(RIGHT($M132,2)&lt;=AF1,RIGHT($M133,2)&gt;=AF1),VLOOKUP($K$132,données!$CI$7:$CS$46,données!$DS$10*2+1),IF(AND(RIGHT($Q132,2)&lt;=AF1,RIGHT($Q133,2)&gt;=AF1),VLOOKUP($O$132,données!$CI$7:$CS$46,données!$DS$10*2+1),0))))</f>
        <v>9328.2039999999997</v>
      </c>
      <c r="AG86" s="30"/>
      <c r="AH86" s="5">
        <f>IF(AND(RIGHT($E132,2)&lt;=AH1,RIGHT($E133,2)&gt;=AH1),VLOOKUP($C$132,données!$CI$7:$CS$46,données!$DS$10*2+1),IF(AND(RIGHT($I132,2)&lt;=AH1,RIGHT($I133,2)&gt;=AH1),VLOOKUP($G$132,données!$CI$7:$CS$46,données!$DS$10*2+1),IF(AND(RIGHT($M132,2)&lt;=AH1,RIGHT($M133,2)&gt;=AH1),VLOOKUP($K$132,données!$CI$7:$CS$46,données!$DS$10*2+1),IF(AND(RIGHT($Q132,2)&lt;=AH1,RIGHT($Q133,2)&gt;=AH1),VLOOKUP($O$132,données!$CI$7:$CS$46,données!$DS$10*2+1),0))))</f>
        <v>9328.2039999999997</v>
      </c>
      <c r="AI86" s="5"/>
      <c r="AJ86" s="15">
        <f>IF(AND(RIGHT($E132,2)&lt;=AJ1,RIGHT($E133,2)&gt;=AJ1),VLOOKUP($C$132,données!$CI$7:$CS$46,données!$DS$10*2+1),IF(AND(RIGHT($I132,2)&lt;=AJ1,RIGHT($I133,2)&gt;=AJ1),VLOOKUP($G$132,données!$CI$7:$CS$46,données!$DS$10*2+1),IF(AND(RIGHT($M132,2)&lt;=AJ1,RIGHT($M133,2)&gt;=AJ1),VLOOKUP($K$132,données!$CI$7:$CS$46,données!$DS$10*2+1),IF(AND(RIGHT($Q132,2)&lt;=AJ1,RIGHT($Q133,2)&gt;=AJ1),VLOOKUP($O$132,données!$CI$7:$CS$46,données!$DS$10*2+1),0))))</f>
        <v>9328.2039999999997</v>
      </c>
      <c r="AK86" s="30"/>
      <c r="AL86" s="5" t="s">
        <v>91</v>
      </c>
      <c r="AM86" s="5"/>
      <c r="AN86">
        <f t="shared" si="18"/>
        <v>164630.74799999999</v>
      </c>
    </row>
    <row r="87" spans="1:41">
      <c r="A87" s="5" t="s">
        <v>92</v>
      </c>
      <c r="B87" s="5"/>
      <c r="C87" s="5" t="s">
        <v>1</v>
      </c>
      <c r="D87" s="15">
        <v>0</v>
      </c>
      <c r="E87" s="30"/>
      <c r="F87" s="5">
        <f ca="1">IF(F27=0,OFFSET(données!$BM$7,0,F29),0)+IF(F31=0,OFFSET(données!$BM$8,0,F33),0)+IF(F35=0,OFFSET(données!$BM$9,0,F37),0)+IF(F39=0,OFFSET(données!$BM$10,0,F41),0)+IF(F43=0,OFFSET(données!$BM$11,0,F45),0)+IF(F47=0,OFFSET(données!$BM$12,0,F49),0)+IF(F51=0,OFFSET(données!$BM$13,0,F53),0)+IF(F55=0,OFFSET(données!$BM$14,0,F57),0)+IF(F59=0,OFFSET(données!$BM$15,0,F61),0)+IF(F63=0,OFFSET(données!$BM$16,0,F65),0)+IF(F67=0,OFFSET(données!$BM$17,0,F69),0)</f>
        <v>0</v>
      </c>
      <c r="G87" s="5"/>
      <c r="H87" s="15">
        <f ca="1">IF(H27=0,OFFSET(données!$BM$7,0,H29),0)+IF(H31=0,OFFSET(données!$BM$8,0,H33),0)+IF(H35=0,OFFSET(données!$BM$9,0,H37),0)+IF(H39=0,OFFSET(données!$BM$10,0,H41),0)+IF(H43=0,OFFSET(données!$BM$11,0,H45),0)+IF(H47=0,OFFSET(données!$BM$12,0,H49),0)+IF(H51=0,OFFSET(données!$BM$13,0,H53),0)+IF(H55=0,OFFSET(données!$BM$14,0,H57),0)+IF(H59=0,OFFSET(données!$BM$15,0,H61),0)+IF(H63=0,OFFSET(données!$BM$16,0,H65),0)+IF(H67=0,OFFSET(données!$BM$17,0,H69),0)</f>
        <v>0</v>
      </c>
      <c r="I87" s="30"/>
      <c r="J87" s="5">
        <f ca="1">IF(J27=0,OFFSET(données!$BM$7,0,J29),0)+IF(J31=0,OFFSET(données!$BM$8,0,J33),0)+IF(J35=0,OFFSET(données!$BM$9,0,J37),0)+IF(J39=0,OFFSET(données!$BM$10,0,J41),0)+IF(J43=0,OFFSET(données!$BM$11,0,J45),0)+IF(J47=0,OFFSET(données!$BM$12,0,J49),0)+IF(J51=0,OFFSET(données!$BM$13,0,J53),0)+IF(J55=0,OFFSET(données!$BM$14,0,J57),0)+IF(J59=0,OFFSET(données!$BM$15,0,J61),0)+IF(J63=0,OFFSET(données!$BM$16,0,J65),0)+IF(J67=0,OFFSET(données!$BM$17,0,J69),0)</f>
        <v>0</v>
      </c>
      <c r="K87" s="5"/>
      <c r="L87" s="15">
        <f ca="1">IF(L27=0,OFFSET(données!$BM$7,0,L29),0)+IF(L31=0,OFFSET(données!$BM$8,0,L33),0)+IF(L35=0,OFFSET(données!$BM$9,0,L37),0)+IF(L39=0,OFFSET(données!$BM$10,0,L41),0)+IF(L43=0,OFFSET(données!$BM$11,0,L45),0)+IF(L47=0,OFFSET(données!$BM$12,0,L49),0)+IF(L51=0,OFFSET(données!$BM$13,0,L53),0)+IF(L55=0,OFFSET(données!$BM$14,0,L57),0)+IF(L59=0,OFFSET(données!$BM$15,0,L61),0)+IF(L63=0,OFFSET(données!$BM$16,0,L65),0)+IF(L67=0,OFFSET(données!$BM$17,0,L69),0)</f>
        <v>0</v>
      </c>
      <c r="M87" s="30"/>
      <c r="N87" s="5">
        <f ca="1">IF(N27=0,OFFSET(données!$BM$7,0,N29),0)+IF(N31=0,OFFSET(données!$BM$8,0,N33),0)+IF(N35=0,OFFSET(données!$BM$9,0,N37),0)+IF(N39=0,OFFSET(données!$BM$10,0,N41),0)+IF(N43=0,OFFSET(données!$BM$11,0,N45),0)+IF(N47=0,OFFSET(données!$BM$12,0,N49),0)+IF(N51=0,OFFSET(données!$BM$13,0,N53),0)+IF(N55=0,OFFSET(données!$BM$14,0,N57),0)+IF(N59=0,OFFSET(données!$BM$15,0,N61),0)+IF(N63=0,OFFSET(données!$BM$16,0,N65),0)+IF(N67=0,OFFSET(données!$BM$17,0,N69),0)</f>
        <v>0</v>
      </c>
      <c r="O87" s="5"/>
      <c r="P87" s="15">
        <f ca="1">IF(P27=0,OFFSET(données!$BM$7,0,P29),0)+IF(P31=0,OFFSET(données!$BM$8,0,P33),0)+IF(P35=0,OFFSET(données!$BM$9,0,P37),0)+IF(P39=0,OFFSET(données!$BM$10,0,P41),0)+IF(P43=0,OFFSET(données!$BM$11,0,P45),0)+IF(P47=0,OFFSET(données!$BM$12,0,P49),0)+IF(P51=0,OFFSET(données!$BM$13,0,P53),0)+IF(P55=0,OFFSET(données!$BM$14,0,P57),0)+IF(P59=0,OFFSET(données!$BM$15,0,P61),0)+IF(P63=0,OFFSET(données!$BM$16,0,P65),0)+IF(P67=0,OFFSET(données!$BM$17,0,P69),0)</f>
        <v>0</v>
      </c>
      <c r="Q87" s="30"/>
      <c r="R87" s="5">
        <f ca="1">IF(R27=0,OFFSET(données!$BM$7,0,R29),0)+IF(R31=0,OFFSET(données!$BM$8,0,R33),0)+IF(R35=0,OFFSET(données!$BM$9,0,R37),0)+IF(R39=0,OFFSET(données!$BM$10,0,R41),0)+IF(R43=0,OFFSET(données!$BM$11,0,R45),0)+IF(R47=0,OFFSET(données!$BM$12,0,R49),0)+IF(R51=0,OFFSET(données!$BM$13,0,R53),0)+IF(R55=0,OFFSET(données!$BM$14,0,R57),0)+IF(R59=0,OFFSET(données!$BM$15,0,R61),0)+IF(R63=0,OFFSET(données!$BM$16,0,R65),0)+IF(R67=0,OFFSET(données!$BM$17,0,R69),0)</f>
        <v>0</v>
      </c>
      <c r="S87" s="5"/>
      <c r="T87" s="15">
        <f ca="1">IF(T27=0,OFFSET(données!$BM$7,0,T29),0)+IF(T31=0,OFFSET(données!$BM$8,0,T33),0)+IF(T35=0,OFFSET(données!$BM$9,0,T37),0)+IF(T39=0,OFFSET(données!$BM$10,0,T41),0)+IF(T43=0,OFFSET(données!$BM$11,0,T45),0)+IF(T47=0,OFFSET(données!$BM$12,0,T49),0)+IF(T51=0,OFFSET(données!$BM$13,0,T53),0)+IF(T55=0,OFFSET(données!$BM$14,0,T57),0)+IF(T59=0,OFFSET(données!$BM$15,0,T61),0)+IF(T63=0,OFFSET(données!$BM$16,0,T65),0)+IF(T67=0,OFFSET(données!$BM$17,0,T69),0)</f>
        <v>0</v>
      </c>
      <c r="U87" s="30"/>
      <c r="V87" s="5">
        <f ca="1">IF(V27=0,OFFSET(données!$BM$7,0,V29),0)+IF(V31=0,OFFSET(données!$BM$8,0,V33),0)+IF(V35=0,OFFSET(données!$BM$9,0,V37),0)+IF(V39=0,OFFSET(données!$BM$10,0,V41),0)+IF(V43=0,OFFSET(données!$BM$11,0,V45),0)+IF(V47=0,OFFSET(données!$BM$12,0,V49),0)+IF(V51=0,OFFSET(données!$BM$13,0,V53),0)+IF(V55=0,OFFSET(données!$BM$14,0,V57),0)+IF(V59=0,OFFSET(données!$BM$15,0,V61),0)+IF(V63=0,OFFSET(données!$BM$16,0,V65),0)+IF(V67=0,OFFSET(données!$BM$17,0,V69),0)</f>
        <v>0</v>
      </c>
      <c r="W87" s="5"/>
      <c r="X87" s="15">
        <f ca="1">IF(X27=0,OFFSET(données!$BM$7,0,X29),0)+IF(X31=0,OFFSET(données!$BM$8,0,X33),0)+IF(X35=0,OFFSET(données!$BM$9,0,X37),0)+IF(X39=0,OFFSET(données!$BM$10,0,X41),0)+IF(X43=0,OFFSET(données!$BM$11,0,X45),0)+IF(X47=0,OFFSET(données!$BM$12,0,X49),0)+IF(X51=0,OFFSET(données!$BM$13,0,X53),0)+IF(X55=0,OFFSET(données!$BM$14,0,X57),0)+IF(X59=0,OFFSET(données!$BM$15,0,X61),0)+IF(X63=0,OFFSET(données!$BM$16,0,X65),0)+IF(X67=0,OFFSET(données!$BM$17,0,X69),0)</f>
        <v>0</v>
      </c>
      <c r="Y87" s="30"/>
      <c r="Z87" s="5">
        <f ca="1">IF(Z27=0,OFFSET(données!$BM$7,0,Z29),0)+IF(Z31=0,OFFSET(données!$BM$8,0,Z33),0)+IF(Z35=0,OFFSET(données!$BM$9,0,Z37),0)+IF(Z39=0,OFFSET(données!$BM$10,0,Z41),0)+IF(Z43=0,OFFSET(données!$BM$11,0,Z45),0)+IF(Z47=0,OFFSET(données!$BM$12,0,Z49),0)+IF(Z51=0,OFFSET(données!$BM$13,0,Z53),0)+IF(Z55=0,OFFSET(données!$BM$14,0,Z57),0)+IF(Z59=0,OFFSET(données!$BM$15,0,Z61),0)+IF(Z63=0,OFFSET(données!$BM$16,0,Z65),0)+IF(Z67=0,OFFSET(données!$BM$17,0,Z69),0)</f>
        <v>0</v>
      </c>
      <c r="AA87" s="5"/>
      <c r="AB87" s="15">
        <f ca="1">IF(AB27=0,OFFSET(données!$BM$7,0,AB29),0)+IF(AB31=0,OFFSET(données!$BM$8,0,AB33),0)+IF(AB35=0,OFFSET(données!$BM$9,0,AB37),0)+IF(AB39=0,OFFSET(données!$BM$10,0,AB41),0)+IF(AB43=0,OFFSET(données!$BM$11,0,AB45),0)+IF(AB47=0,OFFSET(données!$BM$12,0,AB49),0)+IF(AB51=0,OFFSET(données!$BM$13,0,AB53),0)+IF(AB55=0,OFFSET(données!$BM$14,0,AB57),0)+IF(AB59=0,OFFSET(données!$BM$15,0,AB61),0)+IF(AB63=0,OFFSET(données!$BM$16,0,AB65),0)+IF(AB67=0,OFFSET(données!$BM$17,0,AB69),0)</f>
        <v>0</v>
      </c>
      <c r="AC87" s="30"/>
      <c r="AD87" s="5">
        <f ca="1">IF(AD27=0,OFFSET(données!$BM$7,0,AD29),0)+IF(AD31=0,OFFSET(données!$BM$8,0,AD33),0)+IF(AD35=0,OFFSET(données!$BM$9,0,AD37),0)+IF(AD39=0,OFFSET(données!$BM$10,0,AD41),0)+IF(AD43=0,OFFSET(données!$BM$11,0,AD45),0)+IF(AD47=0,OFFSET(données!$BM$12,0,AD49),0)+IF(AD51=0,OFFSET(données!$BM$13,0,AD53),0)+IF(AD55=0,OFFSET(données!$BM$14,0,AD57),0)+IF(AD59=0,OFFSET(données!$BM$15,0,AD61),0)+IF(AD63=0,OFFSET(données!$BM$16,0,AD65),0)+IF(AD67=0,OFFSET(données!$BM$17,0,AD69),0)</f>
        <v>0</v>
      </c>
      <c r="AE87" s="5"/>
      <c r="AF87" s="15">
        <f ca="1">IF(AF27=0,OFFSET(données!$BM$7,0,AF29),0)+IF(AF31=0,OFFSET(données!$BM$8,0,AF33),0)+IF(AF35=0,OFFSET(données!$BM$9,0,AF37),0)+IF(AF39=0,OFFSET(données!$BM$10,0,AF41),0)+IF(AF43=0,OFFSET(données!$BM$11,0,AF45),0)+IF(AF47=0,OFFSET(données!$BM$12,0,AF49),0)+IF(AF51=0,OFFSET(données!$BM$13,0,AF53),0)+IF(AF55=0,OFFSET(données!$BM$14,0,AF57),0)+IF(AF59=0,OFFSET(données!$BM$15,0,AF61),0)+IF(AF63=0,OFFSET(données!$BM$16,0,AF65),0)+IF(AF67=0,OFFSET(données!$BM$17,0,AF69),0)</f>
        <v>0</v>
      </c>
      <c r="AG87" s="30"/>
      <c r="AH87" s="5">
        <f ca="1">IF(AH27=0,OFFSET(données!$BM$7,0,AH29),0)+IF(AH31=0,OFFSET(données!$BM$8,0,AH33),0)+IF(AH35=0,OFFSET(données!$BM$9,0,AH37),0)+IF(AH39=0,OFFSET(données!$BM$10,0,AH41),0)+IF(AH43=0,OFFSET(données!$BM$11,0,AH45),0)+IF(AH47=0,OFFSET(données!$BM$12,0,AH49),0)+IF(AH51=0,OFFSET(données!$BM$13,0,AH53),0)+IF(AH55=0,OFFSET(données!$BM$14,0,AH57),0)+IF(AH59=0,OFFSET(données!$BM$15,0,AH61),0)+IF(AH63=0,OFFSET(données!$BM$16,0,AH65),0)+IF(AH67=0,OFFSET(données!$BM$17,0,AH69),0)</f>
        <v>0</v>
      </c>
      <c r="AI87" s="5"/>
      <c r="AJ87" s="15">
        <f ca="1">IF(AJ27=0,OFFSET(données!$BM$7,0,AJ29),0)+IF(AJ31=0,OFFSET(données!$BM$8,0,AJ33),0)+IF(AJ35=0,OFFSET(données!$BM$9,0,AJ37),0)+IF(AJ39=0,OFFSET(données!$BM$10,0,AJ41),0)+IF(AJ43=0,OFFSET(données!$BM$11,0,AJ45),0)+IF(AJ47=0,OFFSET(données!$BM$12,0,AJ49),0)+IF(AJ51=0,OFFSET(données!$BM$13,0,AJ53),0)+IF(AJ55=0,OFFSET(données!$BM$14,0,AJ57),0)+IF(AJ59=0,OFFSET(données!$BM$15,0,AJ61),0)+IF(AJ63=0,OFFSET(données!$BM$16,0,AJ65),0)+IF(AJ67=0,OFFSET(données!$BM$17,0,AJ69),0)</f>
        <v>0</v>
      </c>
      <c r="AK87" s="30"/>
      <c r="AL87" s="5" t="s">
        <v>92</v>
      </c>
      <c r="AM87" s="5"/>
      <c r="AN87">
        <f t="shared" ca="1" si="18"/>
        <v>0</v>
      </c>
      <c r="AO87">
        <f ca="1">AN87+AN83+AN82+AN81+AN80+AN79+AN78+AN77+AN76+AN75+AN74+AN73+AN72</f>
        <v>64514</v>
      </c>
    </row>
    <row r="88" spans="1:41">
      <c r="A88" s="5"/>
      <c r="B88" s="5"/>
      <c r="C88" s="5" t="s">
        <v>1</v>
      </c>
      <c r="D88" s="15"/>
      <c r="E88" s="30"/>
      <c r="F88" s="5"/>
      <c r="G88" s="5"/>
      <c r="H88" s="15"/>
      <c r="I88" s="30"/>
      <c r="J88" s="5"/>
      <c r="K88" s="5"/>
      <c r="L88" s="15"/>
      <c r="M88" s="30"/>
      <c r="N88" s="5"/>
      <c r="O88" s="5"/>
      <c r="P88" s="15"/>
      <c r="Q88" s="30"/>
      <c r="R88" s="5"/>
      <c r="S88" s="5"/>
      <c r="T88" s="15"/>
      <c r="U88" s="30"/>
      <c r="V88" s="5"/>
      <c r="W88" s="5"/>
      <c r="X88" s="15"/>
      <c r="Y88" s="30"/>
      <c r="Z88" s="5"/>
      <c r="AA88" s="5"/>
      <c r="AB88" s="15"/>
      <c r="AC88" s="30"/>
      <c r="AD88" s="5"/>
      <c r="AE88" s="5"/>
      <c r="AF88" s="15"/>
      <c r="AG88" s="30"/>
      <c r="AH88" s="5"/>
      <c r="AI88" s="5"/>
      <c r="AJ88" s="15"/>
      <c r="AK88" s="30"/>
      <c r="AL88" s="5"/>
      <c r="AM88" s="5"/>
      <c r="AN88">
        <f t="shared" si="18"/>
        <v>0</v>
      </c>
      <c r="AO88">
        <f>AN86+AN85+AN84</f>
        <v>173250.74799999999</v>
      </c>
    </row>
    <row r="89" spans="1:41" ht="17.399999999999999">
      <c r="A89" s="5" t="s">
        <v>93</v>
      </c>
      <c r="B89" s="5"/>
      <c r="C89" s="106">
        <v>82314</v>
      </c>
      <c r="D89" s="15">
        <f>C89-(D87+D72+D73+D74+D76+D78+D81+D82)</f>
        <v>80964</v>
      </c>
      <c r="E89" s="30" t="s">
        <v>1</v>
      </c>
      <c r="F89" s="5">
        <f ca="1">IF(COUNT(E90)=0,D90,E90)-(F87+F72+F73+F74+F76+F78+F81+F82)</f>
        <v>88680.459999999992</v>
      </c>
      <c r="G89" s="30"/>
      <c r="H89" s="5">
        <f ca="1">IF(COUNT(G90)=0,F90,G90)-(H87+H72+H73+H74+H76+H78+H81+H82)</f>
        <v>96396.919999999984</v>
      </c>
      <c r="I89" s="30"/>
      <c r="J89" s="5">
        <f ca="1">IF(COUNT(I90)=0,H90,I90)-(J87+J72+J73+J74+J76+J78+J81+J82)</f>
        <v>104113.37999999998</v>
      </c>
      <c r="K89" s="30"/>
      <c r="L89" s="5">
        <f ca="1">IF(COUNT(K90)=0,J90,K90)-(L87+L72+L73+L74+L76+L78+L81+L82)</f>
        <v>111829.83999999997</v>
      </c>
      <c r="M89" s="30" t="s">
        <v>1</v>
      </c>
      <c r="N89" s="5">
        <f ca="1">IF(COUNT(M90)=0,L90,M90)-(N87+N72+N73+N74+N76+N78+N81+N82)</f>
        <v>119546.29999999996</v>
      </c>
      <c r="O89" s="30"/>
      <c r="P89" s="5">
        <f ca="1">IF(COUNT(O90)=0,N90,O90)-(P87+P72+P73+P74+P76+P78+P81+P82)</f>
        <v>125892.50399999996</v>
      </c>
      <c r="Q89" s="30"/>
      <c r="R89" s="5">
        <f ca="1">IF(COUNT(Q90)=0,P90,Q90)-(R87+R72+R73+R74+R76+R78+R81+R82)</f>
        <v>132238.70799999996</v>
      </c>
      <c r="S89" s="30"/>
      <c r="T89" s="5">
        <f ca="1">IF(COUNT(S90)=0,R90,S90)-(T87+T72+T73+T74+T76+T78+T81+T82)</f>
        <v>138584.91199999995</v>
      </c>
      <c r="U89" s="30"/>
      <c r="V89" s="5">
        <f ca="1">IF(COUNT(U90)=0,T90,U90)-(V87+V72+V73+V74+V76+V78+V81+V82)</f>
        <v>144931.11599999995</v>
      </c>
      <c r="W89" s="30"/>
      <c r="X89" s="5">
        <f ca="1">IF(COUNT(W90)=0,V90,W90)-(X87+X72+X73+X74+X76+X78+X81+X82)</f>
        <v>151277.31999999995</v>
      </c>
      <c r="Y89" s="30"/>
      <c r="Z89" s="5">
        <f ca="1">IF(COUNT(Y90)=0,X90,Y90)-(Z87+Z72+Z73+Z74+Z76+Z78+Z81+Z82)</f>
        <v>157623.52399999995</v>
      </c>
      <c r="AA89" s="30"/>
      <c r="AB89" s="5">
        <f ca="1">IF(COUNT(AA90)=0,Z90,AA90)-(AB87+AB72+AB73+AB74+AB76+AB78+AB81+AB82)</f>
        <v>163969.72799999994</v>
      </c>
      <c r="AC89" s="30"/>
      <c r="AD89" s="5">
        <f ca="1">IF(COUNT(AC90)=0,AB90,AC90)-(AD87+AD72+AD73+AD74+AD76+AD78+AD81+AD82)</f>
        <v>164315.93199999994</v>
      </c>
      <c r="AE89" s="30"/>
      <c r="AF89" s="5">
        <f ca="1">IF(COUNT(AE90)=0,AD90,AE90)-(AF87+AF72+AF73+AF74+AF76+AF78+AF81+AF82)</f>
        <v>170662.13599999994</v>
      </c>
      <c r="AG89" s="30"/>
      <c r="AH89" s="5">
        <f ca="1">IF(COUNT(AG90)=0,AF90,AG90)-(AH87+AH72+AH73+AH74+AH76+AH78+AH81+AH82)</f>
        <v>177008.33999999994</v>
      </c>
      <c r="AI89" s="30"/>
      <c r="AJ89" s="5">
        <f ca="1">IF(COUNT(AI90)=0,AH90,AI90)-(AJ87+AJ72+AJ73+AJ74+AJ76+AJ78+AJ81+AJ82)</f>
        <v>183354.54399999994</v>
      </c>
      <c r="AK89" s="30"/>
      <c r="AL89" s="5" t="s">
        <v>93</v>
      </c>
      <c r="AM89" s="5"/>
      <c r="AN89">
        <f>C89</f>
        <v>82314</v>
      </c>
    </row>
    <row r="90" spans="1:41" ht="13.8" thickBot="1">
      <c r="A90" s="5" t="s">
        <v>94</v>
      </c>
      <c r="B90" s="5"/>
      <c r="C90" s="5"/>
      <c r="D90" s="15">
        <f>D89-(D75+D77+D79+D80+D83)+D84+D85+D86</f>
        <v>90030.459999999992</v>
      </c>
      <c r="E90" s="9" t="s">
        <v>1</v>
      </c>
      <c r="F90" s="5">
        <f ca="1">F89-(F75+F77+F79+F80+F83)+F84+F85+F86</f>
        <v>97746.919999999984</v>
      </c>
      <c r="G90" s="9" t="s">
        <v>1</v>
      </c>
      <c r="H90" s="15">
        <f ca="1">H89-(H75+H77+H79+H80+H83)+H84+H85+H86</f>
        <v>105463.37999999998</v>
      </c>
      <c r="I90" s="9" t="s">
        <v>1</v>
      </c>
      <c r="J90" s="5">
        <f ca="1">J89-(J75+J77+J79+J80+J83)+J84+J85+J86</f>
        <v>113179.83999999997</v>
      </c>
      <c r="K90" s="9" t="s">
        <v>1</v>
      </c>
      <c r="L90" s="15">
        <f ca="1">L89-(L75+L77+L79+L80+L83)+L84+L85+L86</f>
        <v>120896.29999999996</v>
      </c>
      <c r="M90" s="9" t="s">
        <v>1</v>
      </c>
      <c r="N90" s="5">
        <f ca="1">N89-(N75+N77+N79+N80+N83)+N84+N85+N86</f>
        <v>127242.50399999996</v>
      </c>
      <c r="O90" s="9" t="s">
        <v>1</v>
      </c>
      <c r="P90" s="5">
        <f ca="1">P89-(P75+P77+P79+P80+P83)+P84+P85+P86</f>
        <v>133588.70799999996</v>
      </c>
      <c r="Q90" s="9" t="s">
        <v>1</v>
      </c>
      <c r="R90" s="5">
        <f ca="1">R89-(R75+R77+R79+R80+R83)+R84+R85+R86</f>
        <v>139934.91199999995</v>
      </c>
      <c r="S90" s="9" t="s">
        <v>1</v>
      </c>
      <c r="T90" s="15">
        <f ca="1">T89-(T75+T77+T79+T80+T83)+T84+T85+T86</f>
        <v>146281.11599999995</v>
      </c>
      <c r="U90" s="9" t="s">
        <v>1</v>
      </c>
      <c r="V90" s="15">
        <f ca="1">V89-(V75+V77+V79+V80+V83)+V84+V85+V86</f>
        <v>152627.31999999995</v>
      </c>
      <c r="W90" s="9" t="s">
        <v>1</v>
      </c>
      <c r="X90" s="15">
        <f ca="1">X89-(X75+X77+X79+X80+X83)+X84+X85+X86</f>
        <v>158973.52399999995</v>
      </c>
      <c r="Y90" s="9" t="s">
        <v>1</v>
      </c>
      <c r="Z90" s="5">
        <f ca="1">Z89-(Z75+Z77+Z79+Z80+Z83)+Z84+Z85+Z86</f>
        <v>165319.72799999994</v>
      </c>
      <c r="AA90" s="9" t="s">
        <v>1</v>
      </c>
      <c r="AB90" s="15">
        <f ca="1">AB89-(AB75+AB77+AB79+AB80+AB83)+AB84+AB85+AB86</f>
        <v>171665.93199999994</v>
      </c>
      <c r="AC90" s="9" t="s">
        <v>1</v>
      </c>
      <c r="AD90" s="5">
        <f ca="1">AD89-(AD75+AD77+AD79+AD80+AD83)+AD84+AD85+AD86</f>
        <v>172012.13599999994</v>
      </c>
      <c r="AE90" s="9" t="s">
        <v>1</v>
      </c>
      <c r="AF90" s="15">
        <f ca="1">AF89-(AF75+AF77+AF79+AF80+AF83)+AF84+AF85+AF86</f>
        <v>178358.33999999994</v>
      </c>
      <c r="AG90" s="9" t="s">
        <v>1</v>
      </c>
      <c r="AH90" s="5">
        <f ca="1">AH89-(AH75+AH77+AH79+AH80+AH83)+AH84+AH85+AH86</f>
        <v>184704.54399999994</v>
      </c>
      <c r="AI90" s="9" t="s">
        <v>1</v>
      </c>
      <c r="AJ90" s="15">
        <f ca="1">AJ89-(AJ75+AJ77+AJ79+AJ80+AJ83)+AJ84+AJ85+AJ86</f>
        <v>191050.74799999993</v>
      </c>
      <c r="AK90" s="9" t="s">
        <v>1</v>
      </c>
      <c r="AL90" s="5" t="s">
        <v>94</v>
      </c>
      <c r="AM90" s="5"/>
      <c r="AN90">
        <f ca="1">AJ90</f>
        <v>191050.74799999993</v>
      </c>
      <c r="AO90">
        <f ca="1">AO88-AO87</f>
        <v>108736.74799999999</v>
      </c>
    </row>
    <row r="91" spans="1:41" ht="13.8" thickBot="1">
      <c r="C91" t="s">
        <v>1</v>
      </c>
      <c r="D91" s="152" t="str">
        <f>D71</f>
        <v>Interlagos</v>
      </c>
      <c r="E91" s="153"/>
      <c r="F91" s="152" t="str">
        <f t="shared" ref="F91:AJ91" si="19">F71</f>
        <v>Melbourne</v>
      </c>
      <c r="G91" s="153"/>
      <c r="H91" s="152" t="str">
        <f t="shared" si="19"/>
        <v>Mexico City</v>
      </c>
      <c r="I91" s="153"/>
      <c r="J91" s="152" t="str">
        <f t="shared" si="19"/>
        <v>Buenos Aires</v>
      </c>
      <c r="K91" s="153"/>
      <c r="L91" s="152" t="str">
        <f t="shared" si="19"/>
        <v>Las Vegas</v>
      </c>
      <c r="M91" s="153"/>
      <c r="N91" s="152" t="str">
        <f t="shared" si="19"/>
        <v>Fuji</v>
      </c>
      <c r="O91" s="153"/>
      <c r="P91" s="152" t="str">
        <f t="shared" si="19"/>
        <v>Yas Marina</v>
      </c>
      <c r="Q91" s="153"/>
      <c r="R91" s="152" t="str">
        <f t="shared" si="19"/>
        <v>Shanghai</v>
      </c>
      <c r="S91" s="153"/>
      <c r="T91" s="152" t="str">
        <f t="shared" si="19"/>
        <v>Istanbul</v>
      </c>
      <c r="U91" s="153"/>
      <c r="V91" s="152" t="str">
        <f t="shared" si="19"/>
        <v>Sepang</v>
      </c>
      <c r="W91" s="153"/>
      <c r="X91" s="152" t="str">
        <f t="shared" si="19"/>
        <v>Mugello</v>
      </c>
      <c r="Y91" s="153"/>
      <c r="Z91" s="152" t="str">
        <f t="shared" si="19"/>
        <v>Hockenheim</v>
      </c>
      <c r="AA91" s="153"/>
      <c r="AB91" s="152" t="str">
        <f t="shared" si="19"/>
        <v>Brno</v>
      </c>
      <c r="AC91" s="153"/>
      <c r="AD91" s="152" t="str">
        <f t="shared" si="19"/>
        <v>Serres</v>
      </c>
      <c r="AE91" s="153"/>
      <c r="AF91" s="152" t="str">
        <f t="shared" si="19"/>
        <v>Portimao</v>
      </c>
      <c r="AG91" s="153"/>
      <c r="AH91" s="152" t="str">
        <f t="shared" si="19"/>
        <v>Poznan</v>
      </c>
      <c r="AI91" s="153"/>
      <c r="AJ91" s="152" t="str">
        <f t="shared" si="19"/>
        <v>Oesterreichring</v>
      </c>
      <c r="AK91" s="153"/>
    </row>
    <row r="92" spans="1:41" ht="17.399999999999999">
      <c r="A92" s="14" t="s">
        <v>95</v>
      </c>
      <c r="B92" s="5" t="s">
        <v>96</v>
      </c>
      <c r="C92" s="104">
        <v>155</v>
      </c>
      <c r="D92" s="23">
        <f>IF(COUNT(E92)=0,C92+IF(AND(RIGHT($D106,2)&lt;=D1,RIGHT($D107,2)&gt;=D1),IF(B106="Fitness",données!$C2,0)+IF(B106="Yoga",données!$C3,0)+IF(B106="RP",données!$C4,0)+IF(B106="Ninja",données!$C7,0),IF(AND(RIGHT($G106,2)&lt;=D1,RIGHT($G107,2)&gt;=D1),IF(E106="Fitness",données!$C2,0)+IF(E106="Yoga",données!$C3,0)+IF(E106="RP",données!$C4,0)+IF(E106="Ninja",données!$C7,0),IF(AND(RIGHT($J106,2)&lt;=D1,RIGHT($J107,2)&gt;=D1),IF(H106="Fitness",données!$C2,0)+IF(H106="Yoga",données!$C3,0)+IF(H106="RP",données!$C4,0)+IF(H106="Ninja",données!$C7,0)))),E92)</f>
        <v>155</v>
      </c>
      <c r="E92" s="22"/>
      <c r="F92" s="23">
        <f>IF(COUNT(G92)=0,D92+IF(AND(RIGHT($D106,2)&lt;=F1,RIGHT($D107,2)&gt;=F1),IF($D106="Fitness",données!$C2,0)+IF($D106="Yoga",données!$C3,0)+IF($D106="RP",données!$C4,0)+IF($D106="Ninja",données!$C7,0),IF(AND(RIGHT($G106,2)&lt;=F1,RIGHT($G107,2)&gt;=F1),IF(G106="Fitness",données!$C2,0)+IF(G106="Yoga",données!$C3,0)+IF(G106="RP",données!$C4,0)+IF(G106="Ninja",données!$C7,0),IF(AND(RIGHT($J106,2)&lt;=F1,RIGHT($J107,2)&gt;=F1),IF($J106="Fitness",données!$C2,0)+IF($J106="Yoga",données!$C3,0)+IF($J106="RP",données!$C4,0)+IF($J106="Ninja",données!$C7,0)))),G92)</f>
        <v>155</v>
      </c>
      <c r="G92" s="20" t="s">
        <v>1</v>
      </c>
      <c r="H92" s="23">
        <f>IF(COUNT(I92)=0,F92+IF(AND(RIGHT($D106,2)&lt;=H1,RIGHT($D107,2)&gt;=H1),IF($D106="Fitness",données!$C2,0)+IF($D106="Yoga",données!$C3,0)+IF($D106="RP",données!$C4,0)+IF($D106="Ninja",données!$C7,0),IF(AND(RIGHT($G106,2)&lt;=H1,RIGHT($G107,2)&gt;=H1),IF(I106="Fitness",données!$C2,0)+IF(I106="Yoga",données!$C3,0)+IF(I106="RP",données!$C4,0)+IF(I106="Ninja",données!$C7,0),IF(AND(RIGHT($J106,2)&lt;=H1,RIGHT($J107,2)&gt;=H1),IF($J106="Fitness",données!$C2,0)+IF($J106="Yoga",données!$C3,0)+IF($J106="RP",données!$C4,0)+IF($J106="Ninja",données!$C7,0)))),I92)</f>
        <v>155</v>
      </c>
      <c r="I92" s="22"/>
      <c r="J92" s="23">
        <f>IF(COUNT(K92)=0,H92+IF(AND(RIGHT($D106,2)&lt;=J1,RIGHT($D107,2)&gt;=J1),IF($D106="Fitness",données!$C2,0)+IF($D106="Yoga",données!$C3,0)+IF($D106="RP",données!$C4,0)+IF($D106="Ninja",données!$C7,0),IF(AND(RIGHT($G106,2)&lt;=J1,RIGHT($G107,2)&gt;=J1),IF(K106="Fitness",données!$C2,0)+IF(K106="Yoga",données!$C3,0)+IF(K106="RP",données!$C4,0)+IF(K106="Ninja",données!$C7,0),IF(AND(RIGHT($J106,2)&lt;=J1,RIGHT($J107,2)&gt;=J1),IF($J106="Fitness",données!$C2,0)+IF($J106="Yoga",données!$C3,0)+IF($J106="RP",données!$C4,0)+IF($J106="Ninja",données!$C7,0)))),K92)</f>
        <v>155</v>
      </c>
      <c r="K92" s="20" t="s">
        <v>1</v>
      </c>
      <c r="L92" s="23">
        <f>IF(COUNT(M92)=0,J92+IF(AND(RIGHT($D106,2)&lt;=L1,RIGHT($D107,2)&gt;=L1),IF($D106="Fitness",données!$C2,0)+IF($D106="Yoga",données!$C3,0)+IF($D106="RP",données!$C4,0)+IF($D106="Ninja",données!$C7,0),IF(AND(RIGHT($G106,2)&lt;=L1,RIGHT($G107,2)&gt;=L1),IF(M106="Fitness",données!$C2,0)+IF(M106="Yoga",données!$C3,0)+IF(M106="RP",données!$C4,0)+IF(M106="Ninja",données!$C7,0),IF(AND(RIGHT($J106,2)&lt;=L1,RIGHT($J107,2)&gt;=L1),IF($J106="Fitness",données!$C2,0)+IF($J106="Yoga",données!$C3,0)+IF($J106="RP",données!$C4,0)+IF($J106="Ninja",données!$C7,0)))),M92)</f>
        <v>155</v>
      </c>
      <c r="M92" s="22"/>
      <c r="N92" s="23">
        <f>IF(COUNT(O92)=0,L92+IF(AND(RIGHT($D106,2)&lt;=N1,RIGHT($D107,2)&gt;=N1),IF($D106="Fitness",données!$C2,0)+IF($D106="Yoga",données!$C3,0)+IF($D106="RP",données!$C4,0)+IF($D106="Ninja",données!$C7,0),IF(AND(RIGHT($G106,2)&lt;=N1,RIGHT($G107,2)&gt;=N1),IF(O106="Fitness",données!$C2,0)+IF(O106="Yoga",données!$C3,0)+IF(O106="RP",données!$C4,0)+IF(O106="Ninja",données!$C7,0),IF(AND(RIGHT($J106,2)&lt;=N1,RIGHT($J107,2)&gt;=N1),IF($J106="Fitness",données!$C2,0)+IF($J106="Yoga",données!$C3,0)+IF($J106="RP",données!$C4,0)+IF($J106="Ninja",données!$C7,0)))),O92)</f>
        <v>155</v>
      </c>
      <c r="O92" s="20" t="s">
        <v>1</v>
      </c>
      <c r="P92" s="23">
        <f>IF(COUNT(Q92)=0,N92+IF(AND(RIGHT($D106,2)&lt;=P1,RIGHT($D107,2)&gt;=P1),IF($D106="Fitness",données!$C2,0)+IF($D106="Yoga",données!$C3,0)+IF($D106="RP",données!$C4,0)+IF($D106="Ninja",données!$C7,0),IF(AND(RIGHT($G106,2)&lt;=P1,RIGHT($G107,2)&gt;=P1),IF(Q106="Fitness",données!$C2,0)+IF(Q106="Yoga",données!$C3,0)+IF(Q106="RP",données!$C4,0)+IF(Q106="Ninja",données!$C7,0),IF(AND(RIGHT($J106,2)&lt;=P1,RIGHT($J107,2)&gt;=P1),IF($J106="Fitness",données!$C2,0)+IF($J106="Yoga",données!$C3,0)+IF($J106="RP",données!$C4,0)+IF($J106="Ninja",données!$C7,0)))),Q92)</f>
        <v>155</v>
      </c>
      <c r="Q92" s="22" t="s">
        <v>1</v>
      </c>
      <c r="R92" s="23">
        <f>IF(COUNT(S92)=0,P92+IF(AND(RIGHT($D106,2)&lt;=R1,RIGHT($D107,2)&gt;=R1),IF($D106="Fitness",données!$C2,0)+IF($D106="Yoga",données!$C3,0)+IF($D106="RP",données!$C4,0)+IF($D106="Ninja",données!$C7,0),IF(AND(RIGHT($G106,2)&lt;=R1,RIGHT($G107,2)&gt;=R1),IF(S106="Fitness",données!$C2,0)+IF(S106="Yoga",données!$C3,0)+IF(S106="RP",données!$C4,0)+IF(S106="Ninja",données!$C7,0),IF(AND(RIGHT($J106,2)&lt;=R1,RIGHT($J107,2)&gt;=R1),IF($J106="Fitness",données!$C2,0)+IF($J106="Yoga",données!$C3,0)+IF($J106="RP",données!$C4,0)+IF($J106="Ninja",données!$C7,0)))),S92)</f>
        <v>155</v>
      </c>
      <c r="S92" s="20" t="s">
        <v>1</v>
      </c>
      <c r="T92" s="23">
        <f>IF(COUNT(U92)=0,R92+IF(AND(RIGHT($D106,2)&lt;=T1,RIGHT($D107,2)&gt;=T1),IF($D106="Fitness",données!$C2,0)+IF($D106="Yoga",données!$C3,0)+IF($D106="RP",données!$C4,0)+IF($D106="Ninja",données!$C7,0),IF(AND(RIGHT($G106,2)&lt;=T1,RIGHT($G107,2)&gt;=T1),IF(U106="Fitness",données!$C2,0)+IF(U106="Yoga",données!$C3,0)+IF(U106="RP",données!$C4,0)+IF(U106="Ninja",données!$C7,0),IF(AND(RIGHT($J106,2)&lt;=T1,RIGHT($J107,2)&gt;=T1),IF($J106="Fitness",données!$C2,0)+IF($J106="Yoga",données!$C3,0)+IF($J106="RP",données!$C4,0)+IF($J106="Ninja",données!$C7,0)))),U92)</f>
        <v>155</v>
      </c>
      <c r="U92" s="22"/>
      <c r="V92" s="23">
        <f>IF(COUNT(W92)=0,T92+IF(AND(RIGHT($D106,2)&lt;=V1,RIGHT($D107,2)&gt;=V1),IF($D106="Fitness",données!$C2,0)+IF($D106="Yoga",données!$C3,0)+IF($D106="RP",données!$C4,0)+IF($D106="Ninja",données!$C7,0),IF(AND(RIGHT($G106,2)&lt;=V1,RIGHT($G107,2)&gt;=V1),IF(W106="Fitness",données!$C2,0)+IF(W106="Yoga",données!$C3,0)+IF(W106="RP",données!$C4,0)+IF(W106="Ninja",données!$C7,0),IF(AND(RIGHT($J106,2)&lt;=V1,RIGHT($J107,2)&gt;=V1),IF($J106="Fitness",données!$C2,0)+IF($J106="Yoga",données!$C3,0)+IF($J106="RP",données!$C4,0)+IF($J106="Ninja",données!$C7,0)))),W92)</f>
        <v>155</v>
      </c>
      <c r="W92" s="20"/>
      <c r="X92" s="23">
        <f>IF(COUNT(Y92)=0,V92+IF(AND(RIGHT($D106,2)&lt;=X1,RIGHT($D107,2)&gt;=X1),IF($D106="Fitness",données!$C2,0)+IF($D106="Yoga",données!$C3,0)+IF($D106="RP",données!$C4,0)+IF($D106="Ninja",données!$C7,0),IF(AND(RIGHT($G106,2)&lt;=X1,RIGHT($G107,2)&gt;=X1),IF(Y106="Fitness",données!$C2,0)+IF(Y106="Yoga",données!$C3,0)+IF(Y106="RP",données!$C4,0)+IF(Y106="Ninja",données!$C7,0),IF(AND(RIGHT($J106,2)&lt;=X1,RIGHT($J107,2)&gt;=X1),IF($J106="Fitness",données!$C2,0)+IF($J106="Yoga",données!$C3,0)+IF($J106="RP",données!$C4,0)+IF($J106="Ninja",données!$C7,0)))),Y92)</f>
        <v>155</v>
      </c>
      <c r="Y92" s="22"/>
      <c r="Z92" s="23">
        <f>IF(COUNT(AA92)=0,X92+IF(AND(RIGHT($D106,2)&lt;=Z1,RIGHT($D107,2)&gt;=Z1),IF($D106="Fitness",données!$C2,0)+IF($D106="Yoga",données!$C3,0)+IF($D106="RP",données!$C4,0)+IF($D106="Ninja",données!$C7,0),IF(AND(RIGHT($G106,2)&lt;=Z1,RIGHT($G107,2)&gt;=Z1),IF(AA106="Fitness",données!$C2,0)+IF(AA106="Yoga",données!$C3,0)+IF(AA106="RP",données!$C4,0)+IF(AA106="Ninja",données!$C7,0),IF(AND(RIGHT($J106,2)&lt;=Z1,RIGHT($J107,2)&gt;=Z1),IF($J106="Fitness",données!$C2,0)+IF($J106="Yoga",données!$C3,0)+IF($J106="RP",données!$C4,0)+IF($J106="Ninja",données!$C7,0)))),AA92)</f>
        <v>155</v>
      </c>
      <c r="AA92" s="20"/>
      <c r="AB92" s="23">
        <f>IF(COUNT(AC92)=0,Z92+IF(AND(RIGHT($D106,2)&lt;=AB1,RIGHT($D107,2)&gt;=AB1),IF($D106="Fitness",données!$C2,0)+IF($D106="Yoga",données!$C3,0)+IF($D106="RP",données!$C4,0)+IF($D106="Ninja",données!$C7,0),IF(AND(RIGHT($G106,2)&lt;=AB1,RIGHT($G107,2)&gt;=AB1),IF(AC106="Fitness",données!$C2,0)+IF(AC106="Yoga",données!$C3,0)+IF(AC106="RP",données!$C4,0)+IF(AC106="Ninja",données!$C7,0),IF(AND(RIGHT($J106,2)&lt;=AB1,RIGHT($J107,2)&gt;=AB1),IF($J106="Fitness",données!$C2,0)+IF($J106="Yoga",données!$C3,0)+IF($J106="RP",données!$C4,0)+IF($J106="Ninja",données!$C7,0)))),AC92)</f>
        <v>155</v>
      </c>
      <c r="AC92" s="22"/>
      <c r="AD92" s="23">
        <f>IF(COUNT(AE92)=0,AB92+IF(AND(RIGHT($D106,2)&lt;=AD1,RIGHT($D107,2)&gt;=AD1),IF($D106="Fitness",données!$C2,0)+IF($D106="Yoga",données!$C3,0)+IF($D106="RP",données!$C4,0)+IF($D106="Ninja",données!$C7,0),IF(AND(RIGHT($G106,2)&lt;=AD1,RIGHT($G107,2)&gt;=AD1),IF(AE106="Fitness",données!$C2,0)+IF(AE106="Yoga",données!$C3,0)+IF(AE106="RP",données!$C4,0)+IF(AE106="Ninja",données!$C7,0),IF(AND(RIGHT($J106,2)&lt;=AD1,RIGHT($J107,2)&gt;=AD1),IF($J106="Fitness",données!$C2,0)+IF($J106="Yoga",données!$C3,0)+IF($J106="RP",données!$C4,0)+IF($J106="Ninja",données!$C7,0)))),AE92)</f>
        <v>155</v>
      </c>
      <c r="AE92" s="20"/>
      <c r="AF92" s="23">
        <f>IF(COUNT(AG92)=0,AD92+IF(AND(RIGHT($D106,2)&lt;=AF1,RIGHT($D107,2)&gt;=AF1),IF($D106="Fitness",données!$C2,0)+IF($D106="Yoga",données!$C3,0)+IF($D106="RP",données!$C4,0)+IF($D106="Ninja",données!$C7,0),IF(AND(RIGHT($G106,2)&lt;=AF1,RIGHT($G107,2)&gt;=AF1),IF(AG106="Fitness",données!$C2,0)+IF(AG106="Yoga",données!$C3,0)+IF(AG106="RP",données!$C4,0)+IF(AG106="Ninja",données!$C7,0),IF(AND(RIGHT($J106,2)&lt;=AF1,RIGHT($J107,2)&gt;=AF1),IF($J106="Fitness",données!$C2,0)+IF($J106="Yoga",données!$C3,0)+IF($J106="RP",données!$C4,0)+IF($J106="Ninja",données!$C7,0)))),AG92)</f>
        <v>155</v>
      </c>
      <c r="AG92" s="22"/>
      <c r="AH92" s="23">
        <f>IF(COUNT(AI92)=0,AF92+IF(AND(RIGHT($D106,2)&lt;=AH1,RIGHT($D107,2)&gt;=AH1),IF($D106="Fitness",données!$C2,0)+IF($D106="Yoga",données!$C3,0)+IF($D106="RP",données!$C4,0)+IF($D106="Ninja",données!$C7,0),IF(AND(RIGHT($G106,2)&lt;=AH1,RIGHT($G107,2)&gt;=AH1),IF(AI106="Fitness",données!$C2,0)+IF(AI106="Yoga",données!$C3,0)+IF(AI106="RP",données!$C4,0)+IF(AI106="Ninja",données!$C7,0),IF(AND(RIGHT($J106,2)&lt;=AH1,RIGHT($J107,2)&gt;=AH1),IF($J106="Fitness",données!$C2,0)+IF($J106="Yoga",données!$C3,0)+IF($J106="RP",données!$C4,0)+IF($J106="Ninja",données!$C7,0)))),AI92)</f>
        <v>155</v>
      </c>
      <c r="AI92" s="20"/>
      <c r="AJ92" s="23">
        <f>IF(COUNT(AK92)=0,AH92+IF(AND(RIGHT($D106,2)&lt;=AJ1,RIGHT($D107,2)&gt;=AJ1),IF($D106="Fitness",données!$C2,0)+IF($D106="Yoga",données!$C3,0)+IF($D106="RP",données!$C4,0)+IF($D106="Ninja",données!$C7,0),IF(AND(RIGHT($G106,2)&lt;=AJ1,RIGHT($G107,2)&gt;=AJ1),IF(AK106="Fitness",données!$C2,0)+IF(AK106="Yoga",données!$C3,0)+IF(AK106="RP",données!$C4,0)+IF(AK106="Ninja",données!$C7,0),IF(AND(RIGHT($J106,2)&lt;=AJ1,RIGHT($J107,2)&gt;=AJ1),IF($J106="Fitness",données!$C2,0)+IF($J106="Yoga",données!$C3,0)+IF($J106="RP",données!$C4,0)+IF($J106="Ninja",données!$C7,0)))),AK92)</f>
        <v>155</v>
      </c>
      <c r="AK92" s="32"/>
      <c r="AL92" t="str">
        <f>B92</f>
        <v xml:space="preserve">concentration </v>
      </c>
      <c r="AM92">
        <v>9</v>
      </c>
      <c r="AN92">
        <v>6484</v>
      </c>
    </row>
    <row r="93" spans="1:41" ht="17.399999999999999">
      <c r="A93" s="5"/>
      <c r="B93" s="5" t="s">
        <v>97</v>
      </c>
      <c r="C93" s="104">
        <v>206</v>
      </c>
      <c r="D93" s="23">
        <f>IF(COUNT(E93)=0,C93,E93)</f>
        <v>206</v>
      </c>
      <c r="E93" s="22"/>
      <c r="F93" s="23">
        <f>IF(COUNT(G93)=0,D93,G93)</f>
        <v>206</v>
      </c>
      <c r="G93" s="20"/>
      <c r="H93" s="23">
        <f>IF(COUNT(I93)=0,F93,I93)</f>
        <v>206</v>
      </c>
      <c r="I93" s="22"/>
      <c r="J93" s="23">
        <f>IF(COUNT(K93)=0,H93,K93)</f>
        <v>206</v>
      </c>
      <c r="K93" s="20" t="s">
        <v>1</v>
      </c>
      <c r="L93" s="23">
        <f>IF(COUNT(M93)=0,J93,M93)</f>
        <v>206</v>
      </c>
      <c r="M93" s="22"/>
      <c r="N93" s="23">
        <f>IF(COUNT(O93)=0,L93,O93)</f>
        <v>206</v>
      </c>
      <c r="O93" s="20" t="s">
        <v>1</v>
      </c>
      <c r="P93" s="23">
        <f>IF(COUNT(Q93)=0,N93,Q93)</f>
        <v>206</v>
      </c>
      <c r="Q93" s="22" t="s">
        <v>1</v>
      </c>
      <c r="R93" s="23">
        <f>IF(COUNT(S93)=0,P93,S93)</f>
        <v>206</v>
      </c>
      <c r="S93" s="20"/>
      <c r="T93" s="23">
        <f>IF(COUNT(U93)=0,R93,U93)</f>
        <v>206</v>
      </c>
      <c r="U93" s="22"/>
      <c r="V93" s="23">
        <f>IF(COUNT(W93)=0,T93,W93)</f>
        <v>206</v>
      </c>
      <c r="W93" s="20"/>
      <c r="X93" s="23">
        <f>IF(COUNT(Y93)=0,V93,Y93)</f>
        <v>206</v>
      </c>
      <c r="Y93" s="22"/>
      <c r="Z93" s="23">
        <f>IF(COUNT(AA93)=0,X93,AA93)</f>
        <v>206</v>
      </c>
      <c r="AA93" s="20"/>
      <c r="AB93" s="23">
        <f>IF(COUNT(AC93)=0,Z93,AC93)</f>
        <v>206</v>
      </c>
      <c r="AC93" s="22"/>
      <c r="AD93" s="23">
        <f>IF(COUNT(AE93)=0,AB93,AE93)</f>
        <v>206</v>
      </c>
      <c r="AE93" s="20"/>
      <c r="AF93" s="23">
        <f>IF(COUNT(AG93)=0,AD93,AG93)</f>
        <v>206</v>
      </c>
      <c r="AG93" s="22"/>
      <c r="AH93" s="23">
        <f>IF(COUNT(AI93)=0,AF93,AI93)</f>
        <v>206</v>
      </c>
      <c r="AI93" s="20"/>
      <c r="AJ93" s="23">
        <f>IF(COUNT(AK93)=0,AH93,AK93)</f>
        <v>206</v>
      </c>
      <c r="AK93" s="32"/>
      <c r="AL93" t="str">
        <f t="shared" ref="AL93:AL100" si="20">B93</f>
        <v xml:space="preserve">talent </v>
      </c>
      <c r="AM93">
        <v>16</v>
      </c>
      <c r="AN93">
        <v>-16095</v>
      </c>
    </row>
    <row r="94" spans="1:41" ht="18" thickBot="1">
      <c r="A94" s="33"/>
      <c r="B94" s="33" t="s">
        <v>98</v>
      </c>
      <c r="C94" s="105">
        <v>80</v>
      </c>
      <c r="D94" s="34">
        <f>IF(COUNT(E94)=0,C94+données!$AK1,G94)</f>
        <v>81.2</v>
      </c>
      <c r="E94" s="27"/>
      <c r="F94" s="34">
        <f>IF(COUNT(G94)=0,D94+données!$AK1,G94)</f>
        <v>82.4</v>
      </c>
      <c r="G94" s="25"/>
      <c r="H94" s="34">
        <f>IF(COUNT(I94)=0,F94+données!$AK1,I94)</f>
        <v>83.600000000000009</v>
      </c>
      <c r="I94" s="27"/>
      <c r="J94" s="34">
        <f>IF(COUNT(K94)=0,H94+données!$AK1,K94)</f>
        <v>84.800000000000011</v>
      </c>
      <c r="K94" s="25" t="s">
        <v>1</v>
      </c>
      <c r="L94" s="34">
        <f>IF(COUNT(M94)=0,J94+données!$AK1,M94)</f>
        <v>86.000000000000014</v>
      </c>
      <c r="M94" s="27"/>
      <c r="N94" s="34">
        <f>IF(COUNT(O94)=0,L94+données!$AK1,O94)</f>
        <v>87.200000000000017</v>
      </c>
      <c r="O94" s="25" t="s">
        <v>1</v>
      </c>
      <c r="P94" s="34">
        <f>IF(COUNT(Q94)=0,N94+données!$AK1,Q94)</f>
        <v>88.40000000000002</v>
      </c>
      <c r="Q94" s="27" t="s">
        <v>1</v>
      </c>
      <c r="R94" s="34">
        <f>IF(COUNT(S94)=0,P94+données!$AK1,S94)</f>
        <v>89.600000000000023</v>
      </c>
      <c r="S94" s="25"/>
      <c r="T94" s="34">
        <f>IF(COUNT(U94)=0,R94+données!$AK1,U94)</f>
        <v>90.800000000000026</v>
      </c>
      <c r="U94" s="27"/>
      <c r="V94" s="34">
        <f>IF(COUNT(W94)=0,T94+données!$AK1,W94)</f>
        <v>92.000000000000028</v>
      </c>
      <c r="W94" s="25"/>
      <c r="X94" s="34">
        <f>IF(COUNT(Y94)=0,V94+données!$AK1,Y94)</f>
        <v>93.200000000000031</v>
      </c>
      <c r="Y94" s="27" t="s">
        <v>1</v>
      </c>
      <c r="Z94" s="34">
        <f>IF(COUNT(AA94)=0,X94+données!$AK1,AA94)</f>
        <v>94.400000000000034</v>
      </c>
      <c r="AA94" s="25"/>
      <c r="AB94" s="34">
        <f>IF(COUNT(AC94)=0,Z94+données!$AK1,AC94)</f>
        <v>95.600000000000037</v>
      </c>
      <c r="AC94" s="27"/>
      <c r="AD94" s="34">
        <f>IF(COUNT(AE94)=0,AB94+données!$AK1,AE94)</f>
        <v>96.80000000000004</v>
      </c>
      <c r="AE94" s="25"/>
      <c r="AF94" s="34">
        <f>IF(COUNT(AG94)=0,AD94+données!$AK1,AG94)</f>
        <v>98.000000000000043</v>
      </c>
      <c r="AG94" s="27"/>
      <c r="AH94" s="34">
        <f>IF(COUNT(AI94)=0,AF94+données!$AK1,AI94)</f>
        <v>99.200000000000045</v>
      </c>
      <c r="AI94" s="25"/>
      <c r="AJ94" s="34">
        <f>IF(COUNT(AK94)=0,AH94+données!$AK1,AK94)</f>
        <v>100.40000000000005</v>
      </c>
      <c r="AK94" s="35"/>
      <c r="AL94" t="str">
        <f t="shared" si="20"/>
        <v>expérience</v>
      </c>
      <c r="AM94">
        <v>22</v>
      </c>
      <c r="AN94">
        <v>-35448</v>
      </c>
    </row>
    <row r="95" spans="1:41" ht="17.399999999999999">
      <c r="A95" s="5" t="s">
        <v>896</v>
      </c>
      <c r="B95" s="5" t="s">
        <v>899</v>
      </c>
      <c r="C95" s="104">
        <v>0</v>
      </c>
      <c r="D95" s="23">
        <f>IF(COUNT(E95)=0,C95+IF(AND(RIGHT($D106,2)&lt;=D1,RIGHT($D107,2)&gt;=D1),IF(B106="Yoga",données!$D3,0)+IF(B106="Ninja",données!$D7,0),IF(AND(RIGHT($G106,2)&lt;=D1,RIGHT($G107,2)&gt;=D1),IF(E106="Yoga",données!$D3,0)+IF(E106="Ninja",données!$D7,0),IF(AND(RIGHT($J106,2)&lt;=D1,RIGHT($J107,2)&gt;=D1),IF(H106="Yoga",données!$D3,0)+IF(H106="Ninja",données!$D7,0)))),E95)</f>
        <v>0</v>
      </c>
      <c r="E95" s="22"/>
      <c r="F95" s="23">
        <f>IF(COUNT(G95)=0,D95+IF(AND(RIGHT($D106,2)&lt;=F1,RIGHT($D107,2)&gt;=F1),IF($D106="Yoga",données!$D3,0)+IF($D106="Ninja",données!$D7,0),IF(AND(RIGHT($G106,2)&lt;=F1,RIGHT($G107,2)&gt;=F1),IF(G106="Yoga",données!$D3,0)+IF(G106="Ninja",données!$D7,0),IF(AND(RIGHT($J106,2)&lt;=F1,RIGHT($J107,2)&gt;=F1),IF($J106="Yoga",données!$D3,0)+IF($J106="Ninja",données!$D7,0)))),G95)</f>
        <v>0</v>
      </c>
      <c r="G95" s="20"/>
      <c r="H95" s="23">
        <f>IF(COUNT(I95)=0,F95+IF(AND(RIGHT($D106,2)&lt;=H1,RIGHT($D107,2)&gt;=H1),IF($D106="Yoga",données!$D3,0)+IF($D106="Ninja",données!$D7,0),IF(AND(RIGHT($G106,2)&lt;=H1,RIGHT($G107,2)&gt;=H1),IF(I106="Yoga",données!$D3,0)+IF(I106="Ninja",données!$D7,0),IF(AND(RIGHT($J106,2)&lt;=H1,RIGHT($J107,2)&gt;=H1),IF($J106="Yoga",données!$D3,0)+IF($J106="Ninja",données!$D7,0)))),I95)</f>
        <v>0</v>
      </c>
      <c r="I95" s="22"/>
      <c r="J95" s="23">
        <f>IF(COUNT(K95)=0,H95+IF(AND(RIGHT($D106,2)&lt;=J1,RIGHT($D107,2)&gt;=J1),IF($D106="Yoga",données!$D3,0)+IF($D106="Ninja",données!$D7,0),IF(AND(RIGHT($G106,2)&lt;=J1,RIGHT($G107,2)&gt;=J1),IF(K106="Yoga",données!$D3,0)+IF(K106="Ninja",données!$D7,0),IF(AND(RIGHT($J106,2)&lt;=J1,RIGHT($J107,2)&gt;=J1),IF($J106="Yoga",données!$D3,0)+IF($J106="Ninja",données!$D7,0)))),K95)</f>
        <v>0</v>
      </c>
      <c r="K95" s="20" t="s">
        <v>1</v>
      </c>
      <c r="L95" s="23">
        <f>IF(COUNT(M95)=0,J95+IF(AND(RIGHT($D106,2)&lt;=L1,RIGHT($D107,2)&gt;=L1),IF($D106="Yoga",données!$D3,0)+IF($D106="Ninja",données!$D7,0),IF(AND(RIGHT($G106,2)&lt;=L1,RIGHT($G107,2)&gt;=L1),IF(M106="Yoga",données!$D3,0)+IF(M106="Ninja",données!$D7,0),IF(AND(RIGHT($J106,2)&lt;=L1,RIGHT($J107,2)&gt;=L1),IF($J106="Yoga",données!$D3,0)+IF($J106="Ninja",données!$D7,0)))),M95)</f>
        <v>0</v>
      </c>
      <c r="M95" s="22"/>
      <c r="N95" s="23">
        <f>IF(COUNT(O95)=0,L95+IF(AND(RIGHT($D106,2)&lt;=N1,RIGHT($D107,2)&gt;=N1),IF($D106="Yoga",données!$D3,0)+IF($D106="Ninja",données!$D7,0),IF(AND(RIGHT($G106,2)&lt;=N1,RIGHT($G107,2)&gt;=N1),IF(O106="Yoga",données!$D3,0)+IF(O106="Ninja",données!$D7,0),IF(AND(RIGHT($J106,2)&lt;=N1,RIGHT($J107,2)&gt;=N1),IF($J106="Yoga",données!$D3,0)+IF($J106="Ninja",données!$D7,0)))),O95)</f>
        <v>0</v>
      </c>
      <c r="O95" s="20" t="s">
        <v>1</v>
      </c>
      <c r="P95" s="23">
        <f>IF(COUNT(Q95)=0,N95+IF(AND(RIGHT($D106,2)&lt;=P1,RIGHT($D107,2)&gt;=P1),IF($D106="Yoga",données!$D3,0)+IF($D106="Ninja",données!$D7,0),IF(AND(RIGHT($G106,2)&lt;=P1,RIGHT($G107,2)&gt;=P1),IF(Q106="Yoga",données!$D3,0)+IF(Q106="Ninja",données!$D7,0),IF(AND(RIGHT($J106,2)&lt;=P1,RIGHT($J107,2)&gt;=P1),IF($J106="Yoga",données!$D3,0)+IF($J106="Ninja",données!$D7,0)))),Q95)</f>
        <v>0</v>
      </c>
      <c r="Q95" s="22" t="s">
        <v>1</v>
      </c>
      <c r="R95" s="23">
        <f>IF(COUNT(S95)=0,P95+IF(AND(RIGHT($D106,2)&lt;=R1,RIGHT($D107,2)&gt;=R1),IF($D106="Yoga",données!$D3,0)+IF($D106="Ninja",données!$D7,0),IF(AND(RIGHT($G106,2)&lt;=R1,RIGHT($G107,2)&gt;=R1),IF(S106="Yoga",données!$D3,0)+IF(S106="Ninja",données!$D7,0),IF(AND(RIGHT($J106,2)&lt;=R1,RIGHT($J107,2)&gt;=R1),IF($J106="Yoga",données!$D3,0)+IF($J106="Ninja",données!$D7,0)))),S95)</f>
        <v>0</v>
      </c>
      <c r="S95" s="20"/>
      <c r="T95" s="23">
        <f>IF(COUNT(U95)=0,R95+IF(AND(RIGHT($D106,2)&lt;=T1,RIGHT($D107,2)&gt;=T1),IF($D106="Yoga",données!$D3,0)+IF($D106="Ninja",données!$D7,0),IF(AND(RIGHT($G106,2)&lt;=T1,RIGHT($G107,2)&gt;=T1),IF(U106="Yoga",données!$D3,0)+IF(U106="Ninja",données!$D7,0),IF(AND(RIGHT($J106,2)&lt;=T1,RIGHT($J107,2)&gt;=T1),IF($J106="Yoga",données!$D3,0)+IF($J106="Ninja",données!$D7,0)))),U95)</f>
        <v>0</v>
      </c>
      <c r="U95" s="22"/>
      <c r="V95" s="23">
        <f>IF(COUNT(W95)=0,T95+IF(AND(RIGHT($D106,2)&lt;=V1,RIGHT($D107,2)&gt;=V1),IF($D106="Yoga",données!$D3,0)+IF($D106="Ninja",données!$D7,0),IF(AND(RIGHT($G106,2)&lt;=V1,RIGHT($G107,2)&gt;=V1),IF(W106="Yoga",données!$D3,0)+IF(W106="Ninja",données!$D7,0),IF(AND(RIGHT($J106,2)&lt;=V1,RIGHT($J107,2)&gt;=V1),IF($J106="Yoga",données!$D3,0)+IF($J106="Ninja",données!$D7,0)))),W95)</f>
        <v>0</v>
      </c>
      <c r="W95" s="20"/>
      <c r="X95" s="23">
        <f>IF(COUNT(Y95)=0,V95+IF(AND(RIGHT($D106,2)&lt;=X1,RIGHT($D107,2)&gt;=X1),IF($D106="Yoga",données!$D3,0)+IF($D106="Ninja",données!$D7,0),IF(AND(RIGHT($G106,2)&lt;=X1,RIGHT($G107,2)&gt;=X1),IF(Y106="Yoga",données!$D3,0)+IF(Y106="Ninja",données!$D7,0),IF(AND(RIGHT($J106,2)&lt;=X1,RIGHT($J107,2)&gt;=X1),IF($J106="Yoga",données!$D3,0)+IF($J106="Ninja",données!$D7,0)))),Y95)</f>
        <v>0</v>
      </c>
      <c r="Y95" s="22" t="s">
        <v>1</v>
      </c>
      <c r="Z95" s="23">
        <f>IF(COUNT(AA95)=0,X95+IF(AND(RIGHT($D106,2)&lt;=Z1,RIGHT($D107,2)&gt;=Z1),IF($D106="Yoga",données!$D3,0)+IF($D106="Ninja",données!$D7,0),IF(AND(RIGHT($G106,2)&lt;=Z1,RIGHT($G107,2)&gt;=Z1),IF(AA106="Yoga",données!$D3,0)+IF(AA106="Ninja",données!$D7,0),IF(AND(RIGHT($J106,2)&lt;=Z1,RIGHT($J107,2)&gt;=Z1),IF($J106="Yoga",données!$D3,0)+IF($J106="Ninja",données!$D7,0)))),AA95)</f>
        <v>0</v>
      </c>
      <c r="AA95" s="20"/>
      <c r="AB95" s="23">
        <f>IF(COUNT(AC95)=0,Z95+IF(AND(RIGHT($D106,2)&lt;=AB1,RIGHT($D107,2)&gt;=AB1),IF($D106="Yoga",données!$D3,0)+IF($D106="Ninja",données!$D7,0),IF(AND(RIGHT($G106,2)&lt;=AB1,RIGHT($G107,2)&gt;=AB1),IF(AC106="Yoga",données!$D3,0)+IF(AC106="Ninja",données!$D7,0),IF(AND(RIGHT($J106,2)&lt;=AB1,RIGHT($J107,2)&gt;=AB1),IF($J106="Yoga",données!$D3,0)+IF($J106="Ninja",données!$D7,0)))),AC95)</f>
        <v>0</v>
      </c>
      <c r="AC95" s="22"/>
      <c r="AD95" s="23">
        <f>IF(COUNT(AE95)=0,AB95+IF(AND(RIGHT($D106,2)&lt;=AD1,RIGHT($D107,2)&gt;=AD1),IF($D106="Yoga",données!$D3,0)+IF($D106="Ninja",données!$D7,0),IF(AND(RIGHT($G106,2)&lt;=AD1,RIGHT($G107,2)&gt;=AD1),IF(AE106="Yoga",données!$D3,0)+IF(AE106="Ninja",données!$D7,0),IF(AND(RIGHT($J106,2)&lt;=AD1,RIGHT($J107,2)&gt;=AD1),IF($J106="Yoga",données!$D3,0)+IF($J106="Ninja",données!$D7,0)))),AE95)</f>
        <v>0</v>
      </c>
      <c r="AE95" s="20"/>
      <c r="AF95" s="23">
        <f>IF(COUNT(AG95)=0,AD95+IF(AND(RIGHT($D106,2)&lt;=AF1,RIGHT($D107,2)&gt;=AF1),IF($D106="Yoga",données!$D3,0)+IF($D106="Ninja",données!$D7,0),IF(AND(RIGHT($G106,2)&lt;=AF1,RIGHT($G107,2)&gt;=AF1),IF(AG106="Yoga",données!$D3,0)+IF(AG106="Ninja",données!$D7,0),IF(AND(RIGHT($J106,2)&lt;=AF1,RIGHT($J107,2)&gt;=AF1),IF($J106="Yoga",données!$D3,0)+IF($J106="Ninja",données!$D7,0)))),AG95)</f>
        <v>0</v>
      </c>
      <c r="AG95" s="22"/>
      <c r="AH95" s="23">
        <f>IF(COUNT(AI95)=0,AF95+IF(AND(RIGHT($D106,2)&lt;=AH1,RIGHT($D107,2)&gt;=AH1),IF($D106="Yoga",données!$D3,0)+IF($D106="Ninja",données!$D7,0),IF(AND(RIGHT($G106,2)&lt;=AH1,RIGHT($G107,2)&gt;=AH1),IF(AI106="Yoga",données!$D3,0)+IF(AI106="Ninja",données!$D7,0),IF(AND(RIGHT($J106,2)&lt;=AH1,RIGHT($J107,2)&gt;=AH1),IF($J106="Yoga",données!$D3,0)+IF($J106="Ninja",données!$D7,0)))),AI95)</f>
        <v>0</v>
      </c>
      <c r="AI95" s="20"/>
      <c r="AJ95" s="23">
        <f>IF(COUNT(AK95)=0,AH95+IF(AND(RIGHT($D106,2)&lt;=AJ1,RIGHT($D107,2)&gt;=AJ1),IF($D106="Yoga",données!$D3,0)+IF($D106="Ninja",données!$D7,0),IF(AND(RIGHT($G106,2)&lt;=AJ1,RIGHT($G107,2)&gt;=AJ1),IF(AK106="Yoga",données!$D3,0)+IF(AK106="Ninja",données!$D7,0),IF(AND(RIGHT($J106,2)&lt;=AJ1,RIGHT($J107,2)&gt;=AJ1),IF($J106="Yoga",données!$D3,0)+IF($J106="Ninja",données!$D7,0)))),AK95)</f>
        <v>0</v>
      </c>
      <c r="AK95" s="32"/>
      <c r="AL95" t="str">
        <f t="shared" si="20"/>
        <v>agressivité</v>
      </c>
      <c r="AN95">
        <v>1991</v>
      </c>
    </row>
    <row r="96" spans="1:41" ht="17.399999999999999">
      <c r="A96" s="5"/>
      <c r="B96" s="5" t="s">
        <v>834</v>
      </c>
      <c r="C96" s="104">
        <v>118</v>
      </c>
      <c r="D96" s="23">
        <f>IF(COUNT(E96)=0,C96+données!$AK2,E96)</f>
        <v>118.9</v>
      </c>
      <c r="E96" s="22"/>
      <c r="F96" s="23">
        <f>IF(COUNT(G96)=0,D96+données!$AK2,G96)</f>
        <v>119.80000000000001</v>
      </c>
      <c r="G96" s="20"/>
      <c r="H96" s="23">
        <f>IF(COUNT(I96)=0,F96+données!$AK2,I96)</f>
        <v>120.70000000000002</v>
      </c>
      <c r="I96" s="22"/>
      <c r="J96" s="23">
        <f>IF(COUNT(K96)=0,H96+données!$AK2,K96)</f>
        <v>121.60000000000002</v>
      </c>
      <c r="K96" s="20" t="s">
        <v>1</v>
      </c>
      <c r="L96" s="23">
        <f>IF(COUNT(M96)=0,J96+données!$AK2,M96)</f>
        <v>122.50000000000003</v>
      </c>
      <c r="M96" s="22"/>
      <c r="N96" s="23">
        <f>IF(COUNT(O96)=0,L96+données!$AK2,O96)</f>
        <v>123.40000000000003</v>
      </c>
      <c r="O96" s="20" t="s">
        <v>1</v>
      </c>
      <c r="P96" s="23">
        <f>IF(COUNT(Q96)=0,N96+données!$AK2,Q96)</f>
        <v>124.30000000000004</v>
      </c>
      <c r="Q96" s="22" t="s">
        <v>1</v>
      </c>
      <c r="R96" s="23">
        <f>IF(COUNT(S96)=0,P96+données!$AK2,S96)</f>
        <v>125.20000000000005</v>
      </c>
      <c r="S96" s="20"/>
      <c r="T96" s="23">
        <f>IF(COUNT(U96)=0,R96+données!$AK2,U96)</f>
        <v>126.10000000000005</v>
      </c>
      <c r="U96" s="22"/>
      <c r="V96" s="23">
        <f>IF(COUNT(W96)=0,T96+données!$AK2,W96)</f>
        <v>127.00000000000006</v>
      </c>
      <c r="W96" s="20"/>
      <c r="X96" s="23">
        <f>IF(COUNT(Y96)=0,V96+données!$AK2,Y96)</f>
        <v>127.90000000000006</v>
      </c>
      <c r="Y96" s="22" t="s">
        <v>1</v>
      </c>
      <c r="Z96" s="23">
        <f>IF(COUNT(AA96)=0,X96+données!$AK2,AA96)</f>
        <v>128.80000000000007</v>
      </c>
      <c r="AA96" s="20"/>
      <c r="AB96" s="23">
        <f>IF(COUNT(AC96)=0,Z96+données!$AK2,AC96)</f>
        <v>129.70000000000007</v>
      </c>
      <c r="AC96" s="22"/>
      <c r="AD96" s="23">
        <f>IF(COUNT(AE96)=0,AB96+données!$AK2,AE96)</f>
        <v>130.60000000000008</v>
      </c>
      <c r="AE96" s="20"/>
      <c r="AF96" s="23">
        <f>IF(COUNT(AG96)=0,AD96+données!$AK2,AG96)</f>
        <v>131.50000000000009</v>
      </c>
      <c r="AG96" s="22"/>
      <c r="AH96" s="23">
        <f>IF(COUNT(AI96)=0,AF96+données!$AK2,AI96)</f>
        <v>132.40000000000009</v>
      </c>
      <c r="AI96" s="20"/>
      <c r="AJ96" s="23">
        <f>IF(COUNT(AK96)=0,AH96+données!$AK2,AK96)</f>
        <v>133.3000000000001</v>
      </c>
      <c r="AK96" s="32"/>
      <c r="AL96" t="str">
        <f t="shared" si="20"/>
        <v>technique</v>
      </c>
      <c r="AN96">
        <v>191</v>
      </c>
    </row>
    <row r="97" spans="1:41" ht="17.399999999999999">
      <c r="A97" s="5"/>
      <c r="B97" s="5" t="s">
        <v>907</v>
      </c>
      <c r="C97" s="104">
        <v>93</v>
      </c>
      <c r="D97" s="23">
        <f>IF(COUNT(E97)=0,C97+IF(AND(RIGHT($D106,2)&lt;=D1,RIGHT($D107,2)&gt;=D1),IF(B106="Yoga",données!$E3,0)+IF(B106="Fitness",données!$E2,0),IF(AND(RIGHT($G106,2)&lt;=D1,RIGHT($G107,2)&gt;=D1),IF(E106="Yoga",données!$E3,0)+IF(E106="Fitness",données!$E2,0),IF(AND(RIGHT($J106,2)&lt;=D1,RIGHT($J107,2)&gt;=D1),IF(H106="Yoga",données!$E3,0)+IF(H106="Fitness",données!$E2,0)))),E97)</f>
        <v>95</v>
      </c>
      <c r="E97" s="22"/>
      <c r="F97" s="23">
        <f>IF(COUNT(G97)=0,D97+IF(AND(RIGHT($D106,2)&lt;=F1,RIGHT($D107,2)&gt;=F1),IF($D106="Yoga",données!$E3,0)+IF($D106="Fitness",données!$E2,0),IF(AND(RIGHT($G106,2)&lt;=F1,RIGHT($G107,2)&gt;=F1),IF(G106="Yoga",données!$E3,0)+IF(G106="Fitness",données!$E2,0),IF(AND(RIGHT($J106,2)&lt;=F1,RIGHT($J107,2)&gt;=F1),IF($J106="Yoga",données!$E3,0)+IF($J106="Fitness",données!$E2,0)))),G97)</f>
        <v>95</v>
      </c>
      <c r="G97" s="20"/>
      <c r="H97" s="23">
        <f>IF(COUNT(I97)=0,F97+IF(AND(RIGHT($D106,2)&lt;=H1,RIGHT($D107,2)&gt;=H1),IF($D106="Yoga",données!$E3,0)+IF($D106="Fitness",données!$E2,0),IF(AND(RIGHT($G106,2)&lt;=H1,RIGHT($G107,2)&gt;=H1),IF(I106="Yoga",données!$E3,0)+IF(I106="Fitness",données!$E2,0),IF(AND(RIGHT($J106,2)&lt;=H1,RIGHT($J107,2)&gt;=H1),IF($J106="Yoga",données!$E3,0)+IF($J106="Fitness",données!$E2,0)))),I97)</f>
        <v>95</v>
      </c>
      <c r="I97" s="22"/>
      <c r="J97" s="23">
        <f>IF(COUNT(K97)=0,H97+IF(AND(RIGHT($D106,2)&lt;=J1,RIGHT($D107,2)&gt;=J1),IF($D106="Yoga",données!$E3,0)+IF($D106="Fitness",données!$E2,0),IF(AND(RIGHT($G106,2)&lt;=J1,RIGHT($G107,2)&gt;=J1),IF(K106="Yoga",données!$E3,0)+IF(K106="Fitness",données!$E2,0),IF(AND(RIGHT($J106,2)&lt;=J1,RIGHT($J107,2)&gt;=J1),IF($J106="Yoga",données!$E3,0)+IF($J106="Fitness",données!$E2,0)))),K97)</f>
        <v>95</v>
      </c>
      <c r="K97" s="20" t="s">
        <v>1</v>
      </c>
      <c r="L97" s="23">
        <f>IF(COUNT(M97)=0,J97+IF(AND(RIGHT($D106,2)&lt;=L1,RIGHT($D107,2)&gt;=L1),IF($D106="Yoga",données!$E3,0)+IF($D106="Fitness",données!$E2,0),IF(AND(RIGHT($G106,2)&lt;=L1,RIGHT($G107,2)&gt;=L1),IF(M106="Yoga",données!$E3,0)+IF(M106="Fitness",données!$E2,0),IF(AND(RIGHT($J106,2)&lt;=L1,RIGHT($J107,2)&gt;=L1),IF($J106="Yoga",données!$E3,0)+IF($J106="Fitness",données!$E2,0)))),M97)</f>
        <v>95</v>
      </c>
      <c r="M97" s="22"/>
      <c r="N97" s="23">
        <f>IF(COUNT(O97)=0,L97+IF(AND(RIGHT($D106,2)&lt;=N1,RIGHT($D107,2)&gt;=N1),IF($D106="Yoga",données!$E3,0)+IF($D106="Fitness",données!$E2,0),IF(AND(RIGHT($G106,2)&lt;=N1,RIGHT($G107,2)&gt;=N1),IF(O106="Yoga",données!$E3,0)+IF(O106="Fitness",données!$E2,0),IF(AND(RIGHT($J106,2)&lt;=N1,RIGHT($J107,2)&gt;=N1),IF($J106="Yoga",données!$E3,0)+IF($J106="Fitness",données!$E2,0)))),O97)</f>
        <v>95</v>
      </c>
      <c r="O97" s="20" t="s">
        <v>1</v>
      </c>
      <c r="P97" s="23">
        <f>IF(COUNT(Q97)=0,N97+IF(AND(RIGHT($D106,2)&lt;=P1,RIGHT($D107,2)&gt;=P1),IF($D106="Yoga",données!$E3,0)+IF($D106="Fitness",données!$E2,0),IF(AND(RIGHT($G106,2)&lt;=P1,RIGHT($G107,2)&gt;=P1),IF(Q106="Yoga",données!$E3,0)+IF(Q106="Fitness",données!$E2,0),IF(AND(RIGHT($J106,2)&lt;=P1,RIGHT($J107,2)&gt;=P1),IF($J106="Yoga",données!$E3,0)+IF($J106="Fitness",données!$E2,0)))),Q97)</f>
        <v>95</v>
      </c>
      <c r="Q97" s="22" t="s">
        <v>1</v>
      </c>
      <c r="R97" s="23">
        <f>IF(COUNT(S97)=0,P97+IF(AND(RIGHT($D106,2)&lt;=R1,RIGHT($D107,2)&gt;=R1),IF($D106="Yoga",données!$E3,0)+IF($D106="Fitness",données!$E2,0),IF(AND(RIGHT($G106,2)&lt;=R1,RIGHT($G107,2)&gt;=R1),IF(S106="Yoga",données!$E3,0)+IF(S106="Fitness",données!$E2,0),IF(AND(RIGHT($J106,2)&lt;=R1,RIGHT($J107,2)&gt;=R1),IF($J106="Yoga",données!$E3,0)+IF($J106="Fitness",données!$E2,0)))),S97)</f>
        <v>95</v>
      </c>
      <c r="S97" s="20" t="s">
        <v>1</v>
      </c>
      <c r="T97" s="23">
        <f>IF(COUNT(U97)=0,R97+IF(AND(RIGHT($D106,2)&lt;=T1,RIGHT($D107,2)&gt;=T1),IF($D106="Yoga",données!$E3,0)+IF($D106="Fitness",données!$E2,0),IF(AND(RIGHT($G106,2)&lt;=T1,RIGHT($G107,2)&gt;=T1),IF(U106="Yoga",données!$E3,0)+IF(U106="Fitness",données!$E2,0),IF(AND(RIGHT($J106,2)&lt;=T1,RIGHT($J107,2)&gt;=T1),IF($J106="Yoga",données!$E3,0)+IF($J106="Fitness",données!$E2,0)))),U97)</f>
        <v>95</v>
      </c>
      <c r="U97" s="22"/>
      <c r="V97" s="23">
        <f>IF(COUNT(W97)=0,T97+IF(AND(RIGHT($D106,2)&lt;=V1,RIGHT($D107,2)&gt;=V1),IF($D106="Yoga",données!$E3,0)+IF($D106="Fitness",données!$E2,0),IF(AND(RIGHT($G106,2)&lt;=V1,RIGHT($G107,2)&gt;=V1),IF(W106="Yoga",données!$E3,0)+IF(W106="Fitness",données!$E2,0),IF(AND(RIGHT($J106,2)&lt;=V1,RIGHT($J107,2)&gt;=V1),IF($J106="Yoga",données!$E3,0)+IF($J106="Fitness",données!$E2,0)))),W97)</f>
        <v>95</v>
      </c>
      <c r="W97" s="20"/>
      <c r="X97" s="23">
        <f>IF(COUNT(Y97)=0,V97+IF(AND(RIGHT($D106,2)&lt;=X1,RIGHT($D107,2)&gt;=X1),IF($D106="Yoga",données!$E3,0)+IF($D106="Fitness",données!$E2,0),IF(AND(RIGHT($G106,2)&lt;=X1,RIGHT($G107,2)&gt;=X1),IF(Y106="Yoga",données!$E3,0)+IF(Y106="Fitness",données!$E2,0),IF(AND(RIGHT($J106,2)&lt;=X1,RIGHT($J107,2)&gt;=X1),IF($J106="Yoga",données!$E3,0)+IF($J106="Fitness",données!$E2,0)))),Y97)</f>
        <v>95</v>
      </c>
      <c r="Y97" s="22" t="s">
        <v>1</v>
      </c>
      <c r="Z97" s="23">
        <f>IF(COUNT(AA97)=0,X97+IF(AND(RIGHT($D106,2)&lt;=Z1,RIGHT($D107,2)&gt;=Z1),IF($D106="Yoga",données!$E3,0)+IF($D106="Fitness",données!$E2,0),IF(AND(RIGHT($G106,2)&lt;=Z1,RIGHT($G107,2)&gt;=Z1),IF(AA106="Yoga",données!$E3,0)+IF(AA106="Fitness",données!$E2,0),IF(AND(RIGHT($J106,2)&lt;=Z1,RIGHT($J107,2)&gt;=Z1),IF($J106="Yoga",données!$E3,0)+IF($J106="Fitness",données!$E2,0)))),AA97)</f>
        <v>95</v>
      </c>
      <c r="AA97" s="20"/>
      <c r="AB97" s="23">
        <f>IF(COUNT(AC97)=0,Z97+IF(AND(RIGHT($D106,2)&lt;=AB1,RIGHT($D107,2)&gt;=AB1),IF($D106="Yoga",données!$E3,0)+IF($D106="Fitness",données!$E2,0),IF(AND(RIGHT($G106,2)&lt;=AB1,RIGHT($G107,2)&gt;=AB1),IF(AC106="Yoga",données!$E3,0)+IF(AC106="Fitness",données!$E2,0),IF(AND(RIGHT($J106,2)&lt;=AB1,RIGHT($J107,2)&gt;=AB1),IF($J106="Yoga",données!$E3,0)+IF($J106="Fitness",données!$E2,0)))),AC97)</f>
        <v>95</v>
      </c>
      <c r="AC97" s="22"/>
      <c r="AD97" s="23">
        <f>IF(COUNT(AE97)=0,AB97+IF(AND(RIGHT($D106,2)&lt;=AD1,RIGHT($D107,2)&gt;=AD1),IF($D106="Yoga",données!$E3,0)+IF($D106="Fitness",données!$E2,0),IF(AND(RIGHT($G106,2)&lt;=AD1,RIGHT($G107,2)&gt;=AD1),IF(AE106="Yoga",données!$E3,0)+IF(AE106="Fitness",données!$E2,0),IF(AND(RIGHT($J106,2)&lt;=AD1,RIGHT($J107,2)&gt;=AD1),IF($J106="Yoga",données!$E3,0)+IF($J106="Fitness",données!$E2,0)))),AE97)</f>
        <v>95</v>
      </c>
      <c r="AE97" s="20"/>
      <c r="AF97" s="23">
        <f>IF(COUNT(AG97)=0,AD97+IF(AND(RIGHT($D106,2)&lt;=AF1,RIGHT($D107,2)&gt;=AF1),IF($D106="Yoga",données!$E3,0)+IF($D106="Fitness",données!$E2,0),IF(AND(RIGHT($G106,2)&lt;=AF1,RIGHT($G107,2)&gt;=AF1),IF(AG106="Yoga",données!$E3,0)+IF(AG106="Fitness",données!$E2,0),IF(AND(RIGHT($J106,2)&lt;=AF1,RIGHT($J107,2)&gt;=AF1),IF($J106="Yoga",données!$E3,0)+IF($J106="Fitness",données!$E2,0)))),AG97)</f>
        <v>95</v>
      </c>
      <c r="AG97" s="22"/>
      <c r="AH97" s="23">
        <f>IF(COUNT(AI97)=0,AF97+IF(AND(RIGHT($D106,2)&lt;=AH1,RIGHT($D107,2)&gt;=AH1),IF($D106="Yoga",données!$E3,0)+IF($D106="Fitness",données!$E2,0),IF(AND(RIGHT($G106,2)&lt;=AH1,RIGHT($G107,2)&gt;=AH1),IF(AI106="Yoga",données!$E3,0)+IF(AI106="Fitness",données!$E2,0),IF(AND(RIGHT($J106,2)&lt;=AH1,RIGHT($J107,2)&gt;=AH1),IF($J106="Yoga",données!$E3,0)+IF($J106="Fitness",données!$E2,0)))),AI97)</f>
        <v>95</v>
      </c>
      <c r="AI97" s="20"/>
      <c r="AJ97" s="23">
        <f>IF(COUNT(AK97)=0,AH97+IF(AND(RIGHT($D106,2)&lt;=AJ1,RIGHT($D107,2)&gt;=AJ1),IF($D106="Yoga",données!$E3,0)+IF($D106="Fitness",données!$E2,0),IF(AND(RIGHT($G106,2)&lt;=AJ1,RIGHT($G107,2)&gt;=AJ1),IF(AK106="Yoga",données!$E3,0)+IF(AK106="Fitness",données!$E2,0),IF(AND(RIGHT($J106,2)&lt;=AJ1,RIGHT($J107,2)&gt;=AJ1),IF($J106="Yoga",données!$E3,0)+IF($J106="Fitness",données!$E2,0)))),AK97)</f>
        <v>95</v>
      </c>
      <c r="AK97" s="32"/>
      <c r="AL97" t="str">
        <f t="shared" si="20"/>
        <v>endurance</v>
      </c>
      <c r="AN97">
        <v>215</v>
      </c>
    </row>
    <row r="98" spans="1:41" ht="17.399999999999999">
      <c r="A98" s="5"/>
      <c r="B98" s="5" t="s">
        <v>900</v>
      </c>
      <c r="C98" s="104">
        <v>0</v>
      </c>
      <c r="D98" s="23">
        <f>IF(COUNT(E98)=0,C98,E98)</f>
        <v>0</v>
      </c>
      <c r="E98" s="22"/>
      <c r="F98" s="23">
        <f>IF(COUNT(G98)=0,D98,G98)</f>
        <v>0</v>
      </c>
      <c r="G98" s="20"/>
      <c r="H98" s="23">
        <f>IF(COUNT(I98)=0,F98,I98)</f>
        <v>0</v>
      </c>
      <c r="I98" s="22"/>
      <c r="J98" s="23">
        <f>IF(COUNT(K98)=0,H98,K98)</f>
        <v>0</v>
      </c>
      <c r="K98" s="20" t="s">
        <v>1</v>
      </c>
      <c r="L98" s="23">
        <f>IF(COUNT(M98)=0,J98,M98)</f>
        <v>0</v>
      </c>
      <c r="M98" s="22"/>
      <c r="N98" s="23">
        <f>IF(COUNT(O98)=0,L98,O98)</f>
        <v>0</v>
      </c>
      <c r="O98" s="20" t="s">
        <v>1</v>
      </c>
      <c r="P98" s="23">
        <f>IF(COUNT(Q98)=0,N98,Q98)</f>
        <v>0</v>
      </c>
      <c r="Q98" s="22" t="s">
        <v>1</v>
      </c>
      <c r="R98" s="23">
        <f>IF(COUNT(S98)=0,P98,S98)</f>
        <v>0</v>
      </c>
      <c r="S98" s="20"/>
      <c r="T98" s="23">
        <f>IF(COUNT(U98)=0,R98,U98)</f>
        <v>0</v>
      </c>
      <c r="U98" s="22"/>
      <c r="V98" s="23">
        <f>IF(COUNT(W98)=0,T98,W98)</f>
        <v>0</v>
      </c>
      <c r="W98" s="20"/>
      <c r="X98" s="23">
        <f>IF(COUNT(Y98)=0,V98,Y98)</f>
        <v>0</v>
      </c>
      <c r="Y98" s="22" t="s">
        <v>1</v>
      </c>
      <c r="Z98" s="23">
        <f>IF(COUNT(AA98)=0,X98,AA98)</f>
        <v>0</v>
      </c>
      <c r="AA98" s="20"/>
      <c r="AB98" s="23">
        <f>IF(COUNT(AC98)=0,Z98,AC98)</f>
        <v>0</v>
      </c>
      <c r="AC98" s="22"/>
      <c r="AD98" s="23">
        <f>IF(COUNT(AE98)=0,AB98,AE98)</f>
        <v>0</v>
      </c>
      <c r="AE98" s="20"/>
      <c r="AF98" s="23">
        <f>IF(COUNT(AG98)=0,AD98,AG98)</f>
        <v>0</v>
      </c>
      <c r="AG98" s="22"/>
      <c r="AH98" s="23">
        <f>IF(COUNT(AI98)=0,AF98,AI98)</f>
        <v>0</v>
      </c>
      <c r="AI98" s="20"/>
      <c r="AJ98" s="23">
        <f>IF(COUNT(AK98)=0,AH98,AK98)</f>
        <v>0</v>
      </c>
      <c r="AK98" s="32"/>
      <c r="AL98" t="str">
        <f t="shared" si="20"/>
        <v>motivation</v>
      </c>
      <c r="AO98">
        <v>238</v>
      </c>
    </row>
    <row r="99" spans="1:41" ht="18" thickBot="1">
      <c r="A99" s="5"/>
      <c r="B99" s="5" t="s">
        <v>901</v>
      </c>
      <c r="C99" s="105">
        <v>60</v>
      </c>
      <c r="D99" s="34">
        <f>IF(COUNT(E99)=0,C99+IF(AND(RIGHT($D106,2)&lt;=D1,RIGHT($D107,2)&gt;=D1),IF(B106="Fitness",données!$I2,0),IF(AND(RIGHT($G106,2)&lt;=D1,RIGHT($G107,2)&gt;=D1),IF(E106="Fitness",données!$I2,0),IF(AND(RIGHT($J106,2)&lt;=D1,RIGHT($J107,2)&gt;=D1),IF(H106="Fitness",données!$I2,0)))),E99)</f>
        <v>59</v>
      </c>
      <c r="E99" s="27"/>
      <c r="F99" s="34">
        <f>IF(COUNT(G99)=0,D99+IF(AND(RIGHT($D106,2)&lt;=F1,RIGHT($D107,2)&gt;=F1),IF($D106="Fitness",données!$I2,0),IF(AND(RIGHT($G106,2)&lt;=F1,RIGHT($G107,2)&gt;=F1),IF($G106="Fitness",données!$I2,0),IF(AND(RIGHT($J106,2)&lt;=F1,RIGHT($J107,2)&gt;=F1),IF($J106="Fitness",données!$I2,0)))),G99)</f>
        <v>59</v>
      </c>
      <c r="G99" s="25"/>
      <c r="H99" s="34">
        <f>IF(COUNT(I99)=0,F99+IF(AND(RIGHT($D106,2)&lt;=H1,RIGHT($D107,2)&gt;=H1),IF($D106="Fitness",données!$I2,0),IF(AND(RIGHT($G106,2)&lt;=H1,RIGHT($G107,2)&gt;=H1),IF($G106="Fitness",données!$I2,0),IF(AND(RIGHT($J106,2)&lt;=H1,RIGHT($J107,2)&gt;=H1),IF($J106="Fitness",données!$I2,0)))),I99)</f>
        <v>59</v>
      </c>
      <c r="I99" s="27"/>
      <c r="J99" s="34">
        <f>IF(COUNT(K99)=0,H99+IF(AND(RIGHT($D106,2)&lt;=J1,RIGHT($D107,2)&gt;=J1),IF($D106="Fitness",données!$I2,0),IF(AND(RIGHT($G106,2)&lt;=J1,RIGHT($G107,2)&gt;=J1),IF($G106="Fitness",données!$I2,0),IF(AND(RIGHT($J106,2)&lt;=J1,RIGHT($J107,2)&gt;=J1),IF($J106="Fitness",données!$I2,0)))),K99)</f>
        <v>59</v>
      </c>
      <c r="K99" s="25" t="s">
        <v>1</v>
      </c>
      <c r="L99" s="34">
        <f>IF(COUNT(M99)=0,J99+IF(AND(RIGHT($D106,2)&lt;=L1,RIGHT($D107,2)&gt;=L1),IF($D106="Fitness",données!$I2,0),IF(AND(RIGHT($G106,2)&lt;=L1,RIGHT($G107,2)&gt;=L1),IF($G106="Fitness",données!$I2,0),IF(AND(RIGHT($J106,2)&lt;=L1,RIGHT($J107,2)&gt;=L1),IF($J106="Fitness",données!$I2,0)))),M99)</f>
        <v>59</v>
      </c>
      <c r="M99" s="27"/>
      <c r="N99" s="34">
        <f>IF(COUNT(O99)=0,L99+IF(AND(RIGHT($D106,2)&lt;=N1,RIGHT($D107,2)&gt;=N1),IF($D106="Fitness",données!$I2,0),IF(AND(RIGHT($G106,2)&lt;=N1,RIGHT($G107,2)&gt;=N1),IF($G106="Fitness",données!$I2,0),IF(AND(RIGHT($J106,2)&lt;=N1,RIGHT($J107,2)&gt;=N1),IF($J106="Fitness",données!$I2,0)))),O99)</f>
        <v>59</v>
      </c>
      <c r="O99" s="25" t="s">
        <v>1</v>
      </c>
      <c r="P99" s="34">
        <f>IF(COUNT(Q99)=0,N99+IF(AND(RIGHT($D106,2)&lt;=P1,RIGHT($D107,2)&gt;=P1),IF($D106="Fitness",données!$I2,0),IF(AND(RIGHT($G106,2)&lt;=P1,RIGHT($G107,2)&gt;=P1),IF($G106="Fitness",données!$I2,0),IF(AND(RIGHT($J106,2)&lt;=P1,RIGHT($J107,2)&gt;=P1),IF($J106="Fitness",données!$I2,0)))),Q99)</f>
        <v>59</v>
      </c>
      <c r="Q99" s="27" t="s">
        <v>1</v>
      </c>
      <c r="R99" s="34">
        <f>IF(COUNT(S99)=0,P99+IF(AND(RIGHT($D106,2)&lt;=R1,RIGHT($D107,2)&gt;=R1),IF($D106="Fitness",données!$I2,0),IF(AND(RIGHT($G106,2)&lt;=R1,RIGHT($G107,2)&gt;=R1),IF($G106="Fitness",données!$I2,0),IF(AND(RIGHT($J106,2)&lt;=R1,RIGHT($J107,2)&gt;=R1),IF($J106="Fitness",données!$I2,0)))),S99)</f>
        <v>59</v>
      </c>
      <c r="S99" s="25"/>
      <c r="T99" s="34">
        <f>IF(COUNT(U99)=0,R99+IF(AND(RIGHT($D106,2)&lt;=T1,RIGHT($D107,2)&gt;=T1),IF($D106="Fitness",données!$I2,0),IF(AND(RIGHT($G106,2)&lt;=T1,RIGHT($G107,2)&gt;=T1),IF($G106="Fitness",données!$I2,0),IF(AND(RIGHT($J106,2)&lt;=T1,RIGHT($J107,2)&gt;=T1),IF($J106="Fitness",données!$I2,0)))),U99)</f>
        <v>59</v>
      </c>
      <c r="U99" s="27"/>
      <c r="V99" s="34">
        <f>IF(COUNT(W99)=0,T99+IF(AND(RIGHT($D106,2)&lt;=V1,RIGHT($D107,2)&gt;=V1),IF($D106="Fitness",données!$I2,0),IF(AND(RIGHT($G106,2)&lt;=V1,RIGHT($G107,2)&gt;=V1),IF($G106="Fitness",données!$I2,0),IF(AND(RIGHT($J106,2)&lt;=V1,RIGHT($J107,2)&gt;=V1),IF($J106="Fitness",données!$I2,0)))),W99)</f>
        <v>59</v>
      </c>
      <c r="W99" s="25"/>
      <c r="X99" s="34">
        <f>IF(COUNT(Y99)=0,V99+IF(AND(RIGHT($D106,2)&lt;=X1,RIGHT($D107,2)&gt;=X1),IF($D106="Fitness",données!$I2,0),IF(AND(RIGHT($G106,2)&lt;=X1,RIGHT($G107,2)&gt;=X1),IF($G106="Fitness",données!$I2,0),IF(AND(RIGHT($J106,2)&lt;=X1,RIGHT($J107,2)&gt;=X1),IF($J106="Fitness",données!$I2,0)))),Y99)</f>
        <v>59</v>
      </c>
      <c r="Y99" s="27" t="s">
        <v>1</v>
      </c>
      <c r="Z99" s="34">
        <f>IF(COUNT(AA99)=0,X99+IF(AND(RIGHT($D106,2)&lt;=Z1,RIGHT($D107,2)&gt;=Z1),IF($D106="Fitness",données!$I2,0),IF(AND(RIGHT($G106,2)&lt;=Z1,RIGHT($G107,2)&gt;=Z1),IF($G106="Fitness",données!$I2,0),IF(AND(RIGHT($J106,2)&lt;=Z1,RIGHT($J107,2)&gt;=Z1),IF($J106="Fitness",données!$I2,0)))),AA99)</f>
        <v>59</v>
      </c>
      <c r="AA99" s="25"/>
      <c r="AB99" s="34">
        <f>IF(COUNT(AC99)=0,Z99+IF(AND(RIGHT($D106,2)&lt;=AB1,RIGHT($D107,2)&gt;=AB1),IF($D106="Fitness",données!$I2,0),IF(AND(RIGHT($G106,2)&lt;=AB1,RIGHT($G107,2)&gt;=AB1),IF($G106="Fitness",données!$I2,0),IF(AND(RIGHT($J106,2)&lt;=AB1,RIGHT($J107,2)&gt;=AB1),IF($J106="Fitness",données!$I2,0)))),AC99)</f>
        <v>59</v>
      </c>
      <c r="AC99" s="27"/>
      <c r="AD99" s="34">
        <f>IF(COUNT(AE99)=0,AB99+IF(AND(RIGHT($D106,2)&lt;=AD1,RIGHT($D107,2)&gt;=AD1),IF($D106="Fitness",données!$I2,0),IF(AND(RIGHT($G106,2)&lt;=AD1,RIGHT($G107,2)&gt;=AD1),IF($G106="Fitness",données!$I2,0),IF(AND(RIGHT($J106,2)&lt;=AD1,RIGHT($J107,2)&gt;=AD1),IF($J106="Fitness",données!$I2,0)))),AE99)</f>
        <v>59</v>
      </c>
      <c r="AE99" s="25"/>
      <c r="AF99" s="34">
        <f>IF(COUNT(AG99)=0,AD99+IF(AND(RIGHT($D106,2)&lt;=AF1,RIGHT($D107,2)&gt;=AF1),IF($D106="Fitness",données!$I2,0),IF(AND(RIGHT($G106,2)&lt;=AF1,RIGHT($G107,2)&gt;=AF1),IF($G106="Fitness",données!$I2,0),IF(AND(RIGHT($J106,2)&lt;=AF1,RIGHT($J107,2)&gt;=AF1),IF($J106="Fitness",données!$I2,0)))),AG99)</f>
        <v>59</v>
      </c>
      <c r="AG99" s="27"/>
      <c r="AH99" s="34">
        <f>IF(COUNT(AI99)=0,AF99+IF(AND(RIGHT($D106,2)&lt;=AH1,RIGHT($D107,2)&gt;=AH1),IF($D106="Fitness",données!$I2,0),IF(AND(RIGHT($G106,2)&lt;=AH1,RIGHT($G107,2)&gt;=AH1),IF($G106="Fitness",données!$I2,0),IF(AND(RIGHT($J106,2)&lt;=AH1,RIGHT($J107,2)&gt;=AH1),IF($J106="Fitness",données!$I2,0)))),AI99)</f>
        <v>59</v>
      </c>
      <c r="AI99" s="25"/>
      <c r="AJ99" s="34">
        <f>IF(COUNT(AK99)=0,AH99+IF(AND(RIGHT($D106,2)&lt;=AJ1,RIGHT($D107,2)&gt;=AJ1),IF($D106="Fitness",données!$I2,0),IF(AND(RIGHT($G106,2)&lt;=AJ1,RIGHT($G107,2)&gt;=AJ1),IF($G106="Fitness",données!$I2,0),IF(AND(RIGHT($J106,2)&lt;=AJ1,RIGHT($J107,2)&gt;=AJ1),IF($J106="Fitness",données!$I2,0)))),AK99)</f>
        <v>59</v>
      </c>
      <c r="AK99" s="35"/>
      <c r="AL99" t="str">
        <f t="shared" si="20"/>
        <v>poids</v>
      </c>
    </row>
    <row r="100" spans="1:41" ht="18" thickBot="1">
      <c r="B100" s="5" t="s">
        <v>911</v>
      </c>
      <c r="C100" s="105">
        <v>22</v>
      </c>
      <c r="D100" t="s">
        <v>1</v>
      </c>
      <c r="E100" s="20"/>
      <c r="N100" t="s">
        <v>1</v>
      </c>
      <c r="O100" t="s">
        <v>1</v>
      </c>
      <c r="P100" t="s">
        <v>1</v>
      </c>
      <c r="Q100" t="s">
        <v>1</v>
      </c>
      <c r="R100" t="s">
        <v>1</v>
      </c>
      <c r="AL100" t="str">
        <f t="shared" si="20"/>
        <v>age</v>
      </c>
    </row>
    <row r="101" spans="1:41">
      <c r="C101" t="s">
        <v>1</v>
      </c>
      <c r="D101" t="s">
        <v>1</v>
      </c>
      <c r="E101" t="s">
        <v>1</v>
      </c>
      <c r="F101" t="s">
        <v>1</v>
      </c>
      <c r="G101" t="s">
        <v>1</v>
      </c>
      <c r="H101" t="s">
        <v>1</v>
      </c>
      <c r="I101" t="s">
        <v>1</v>
      </c>
      <c r="J101" t="s">
        <v>1</v>
      </c>
      <c r="L101" t="s">
        <v>1</v>
      </c>
      <c r="M101" t="s">
        <v>1</v>
      </c>
      <c r="N101" t="s">
        <v>1</v>
      </c>
      <c r="O101" t="s">
        <v>1</v>
      </c>
      <c r="Q101" t="s">
        <v>1</v>
      </c>
      <c r="R101" t="s">
        <v>1</v>
      </c>
      <c r="S101" t="s">
        <v>1</v>
      </c>
      <c r="V101" t="s">
        <v>1</v>
      </c>
      <c r="AJ101" t="s">
        <v>1</v>
      </c>
    </row>
    <row r="102" spans="1:41">
      <c r="A102" s="14" t="s">
        <v>95</v>
      </c>
      <c r="C102" t="s">
        <v>1</v>
      </c>
      <c r="J102" t="s">
        <v>1</v>
      </c>
      <c r="L102" t="s">
        <v>1</v>
      </c>
      <c r="M102" t="s">
        <v>1</v>
      </c>
      <c r="N102" t="s">
        <v>1</v>
      </c>
      <c r="O102" t="s">
        <v>1</v>
      </c>
      <c r="P102" t="s">
        <v>1</v>
      </c>
    </row>
    <row r="103" spans="1:41" ht="13.8" thickBot="1">
      <c r="A103" s="36" t="s">
        <v>99</v>
      </c>
      <c r="B103" s="37">
        <v>0</v>
      </c>
      <c r="C103" s="38" t="s">
        <v>100</v>
      </c>
      <c r="D103" s="37" t="s">
        <v>162</v>
      </c>
      <c r="E103" s="28" t="s">
        <v>99</v>
      </c>
      <c r="F103" s="37">
        <v>0</v>
      </c>
      <c r="G103" s="38" t="s">
        <v>100</v>
      </c>
      <c r="H103" s="116" t="s">
        <v>128</v>
      </c>
      <c r="I103" s="117"/>
      <c r="K103" t="s">
        <v>1</v>
      </c>
      <c r="L103" t="s">
        <v>1</v>
      </c>
      <c r="M103" t="s">
        <v>1</v>
      </c>
      <c r="N103" t="s">
        <v>1</v>
      </c>
      <c r="O103" t="s">
        <v>1</v>
      </c>
      <c r="P103" t="s">
        <v>1</v>
      </c>
      <c r="Q103" t="s">
        <v>1</v>
      </c>
      <c r="R103" t="s">
        <v>1</v>
      </c>
      <c r="S103" t="s">
        <v>1</v>
      </c>
      <c r="T103" t="s">
        <v>1</v>
      </c>
      <c r="U103" t="s">
        <v>1</v>
      </c>
      <c r="V103" t="s">
        <v>1</v>
      </c>
    </row>
    <row r="104" spans="1:41">
      <c r="A104" s="39" t="s">
        <v>103</v>
      </c>
      <c r="B104" s="40">
        <v>492</v>
      </c>
      <c r="C104" s="16" t="s">
        <v>104</v>
      </c>
      <c r="D104" s="41" t="s">
        <v>101</v>
      </c>
      <c r="E104" s="16" t="s">
        <v>105</v>
      </c>
      <c r="F104" s="40">
        <v>0</v>
      </c>
      <c r="G104" s="16" t="s">
        <v>104</v>
      </c>
      <c r="H104" s="41" t="s">
        <v>163</v>
      </c>
      <c r="L104" t="s">
        <v>1</v>
      </c>
      <c r="M104" t="s">
        <v>1</v>
      </c>
      <c r="N104" t="s">
        <v>1</v>
      </c>
      <c r="O104" t="s">
        <v>1</v>
      </c>
      <c r="P104" t="s">
        <v>1</v>
      </c>
      <c r="Q104" t="s">
        <v>1</v>
      </c>
      <c r="R104" t="s">
        <v>1</v>
      </c>
      <c r="S104" t="s">
        <v>1</v>
      </c>
      <c r="T104" t="s">
        <v>21</v>
      </c>
      <c r="U104" t="s">
        <v>1</v>
      </c>
      <c r="V104" t="s">
        <v>1</v>
      </c>
    </row>
    <row r="105" spans="1:41" ht="13.8" thickBot="1">
      <c r="A105" s="24"/>
      <c r="B105" s="33" t="s">
        <v>842</v>
      </c>
      <c r="C105" s="33" t="s">
        <v>106</v>
      </c>
      <c r="D105" s="42" t="s">
        <v>107</v>
      </c>
      <c r="E105" s="33"/>
      <c r="F105" s="33"/>
      <c r="G105" s="33" t="s">
        <v>106</v>
      </c>
      <c r="H105" s="42" t="s">
        <v>107</v>
      </c>
      <c r="L105" t="s">
        <v>1</v>
      </c>
      <c r="M105" t="s">
        <v>1</v>
      </c>
      <c r="S105" t="s">
        <v>1</v>
      </c>
      <c r="T105" t="s">
        <v>1</v>
      </c>
      <c r="Y105" t="s">
        <v>1</v>
      </c>
      <c r="Z105" t="s">
        <v>1</v>
      </c>
    </row>
    <row r="106" spans="1:41">
      <c r="A106" s="43" t="s">
        <v>108</v>
      </c>
      <c r="B106" s="44" t="s">
        <v>109</v>
      </c>
      <c r="C106" s="16" t="s">
        <v>110</v>
      </c>
      <c r="D106" s="41" t="s">
        <v>101</v>
      </c>
      <c r="E106" s="44" t="s">
        <v>102</v>
      </c>
      <c r="F106" s="16" t="s">
        <v>110</v>
      </c>
      <c r="G106" s="41" t="s">
        <v>163</v>
      </c>
      <c r="H106" s="44" t="s">
        <v>102</v>
      </c>
      <c r="I106" s="16" t="s">
        <v>110</v>
      </c>
      <c r="J106" s="41" t="s">
        <v>102</v>
      </c>
      <c r="M106" t="s">
        <v>1</v>
      </c>
      <c r="S106" t="s">
        <v>1</v>
      </c>
      <c r="Y106" t="s">
        <v>1</v>
      </c>
      <c r="Z106" t="s">
        <v>1</v>
      </c>
      <c r="AD106" t="s">
        <v>1</v>
      </c>
    </row>
    <row r="107" spans="1:41" ht="13.8" thickBot="1">
      <c r="A107" s="45" t="s">
        <v>1</v>
      </c>
      <c r="B107" s="24"/>
      <c r="C107" s="33" t="s">
        <v>106</v>
      </c>
      <c r="D107" s="42" t="s">
        <v>107</v>
      </c>
      <c r="E107" s="24"/>
      <c r="F107" s="33" t="s">
        <v>106</v>
      </c>
      <c r="G107" s="42" t="s">
        <v>107</v>
      </c>
      <c r="H107" s="33"/>
      <c r="I107" s="33" t="s">
        <v>106</v>
      </c>
      <c r="J107" s="42" t="s">
        <v>102</v>
      </c>
    </row>
    <row r="108" spans="1:41">
      <c r="A108" s="14"/>
      <c r="AD108" t="s">
        <v>1</v>
      </c>
    </row>
    <row r="109" spans="1:41">
      <c r="A109" s="14" t="s">
        <v>111</v>
      </c>
    </row>
    <row r="110" spans="1:41">
      <c r="A110" s="36" t="s">
        <v>99</v>
      </c>
      <c r="B110" s="37">
        <v>0</v>
      </c>
      <c r="C110" s="38" t="s">
        <v>100</v>
      </c>
      <c r="D110" s="37" t="s">
        <v>101</v>
      </c>
      <c r="E110" s="28" t="s">
        <v>99</v>
      </c>
      <c r="F110" s="37">
        <v>0</v>
      </c>
      <c r="G110" s="38" t="s">
        <v>100</v>
      </c>
      <c r="H110" s="37" t="s">
        <v>102</v>
      </c>
      <c r="AD110" t="s">
        <v>1</v>
      </c>
    </row>
    <row r="111" spans="1:41">
      <c r="A111" s="39" t="s">
        <v>103</v>
      </c>
      <c r="B111" s="40">
        <v>0</v>
      </c>
      <c r="C111" s="16" t="s">
        <v>104</v>
      </c>
      <c r="D111" s="41" t="s">
        <v>101</v>
      </c>
      <c r="E111" s="16" t="s">
        <v>105</v>
      </c>
      <c r="F111" s="40">
        <v>0</v>
      </c>
      <c r="G111" s="16" t="s">
        <v>104</v>
      </c>
      <c r="H111" s="41" t="s">
        <v>102</v>
      </c>
    </row>
    <row r="112" spans="1:41">
      <c r="A112" s="24"/>
      <c r="B112" s="33"/>
      <c r="C112" s="33" t="s">
        <v>106</v>
      </c>
      <c r="D112" s="42" t="s">
        <v>107</v>
      </c>
      <c r="E112" s="33"/>
      <c r="F112" s="33"/>
      <c r="G112" s="33" t="s">
        <v>106</v>
      </c>
      <c r="H112" s="42" t="s">
        <v>102</v>
      </c>
    </row>
    <row r="113" spans="1:17">
      <c r="A113" s="5"/>
    </row>
    <row r="114" spans="1:17">
      <c r="A114" s="14" t="s">
        <v>113</v>
      </c>
      <c r="B114" s="19" t="s">
        <v>114</v>
      </c>
      <c r="C114" s="40">
        <v>650</v>
      </c>
      <c r="D114" s="16" t="s">
        <v>104</v>
      </c>
      <c r="E114" s="41" t="s">
        <v>101</v>
      </c>
      <c r="F114" s="19" t="s">
        <v>114</v>
      </c>
      <c r="G114" s="40" t="s">
        <v>1</v>
      </c>
      <c r="H114" s="16" t="s">
        <v>104</v>
      </c>
      <c r="I114" s="41" t="s">
        <v>102</v>
      </c>
    </row>
    <row r="115" spans="1:17">
      <c r="A115" s="5"/>
      <c r="B115" s="24"/>
      <c r="C115" s="33"/>
      <c r="D115" s="33" t="s">
        <v>106</v>
      </c>
      <c r="E115" s="42" t="s">
        <v>107</v>
      </c>
      <c r="F115" s="24"/>
      <c r="G115" s="33"/>
      <c r="H115" s="33" t="s">
        <v>106</v>
      </c>
      <c r="I115" s="42" t="s">
        <v>102</v>
      </c>
    </row>
    <row r="116" spans="1:17">
      <c r="A116" s="5"/>
      <c r="B116" s="19" t="s">
        <v>117</v>
      </c>
      <c r="C116" s="40">
        <v>700</v>
      </c>
      <c r="D116" s="16" t="s">
        <v>104</v>
      </c>
      <c r="E116" s="41" t="s">
        <v>101</v>
      </c>
      <c r="F116" s="19" t="s">
        <v>117</v>
      </c>
      <c r="G116" s="40" t="s">
        <v>1</v>
      </c>
      <c r="H116" s="16" t="s">
        <v>104</v>
      </c>
      <c r="I116" s="41" t="s">
        <v>102</v>
      </c>
    </row>
    <row r="117" spans="1:17">
      <c r="A117" s="5"/>
      <c r="B117" s="24"/>
      <c r="C117" s="33"/>
      <c r="D117" s="33" t="s">
        <v>106</v>
      </c>
      <c r="E117" s="42" t="s">
        <v>107</v>
      </c>
      <c r="F117" s="24"/>
      <c r="G117" s="33"/>
      <c r="H117" s="33" t="s">
        <v>106</v>
      </c>
      <c r="I117" s="42" t="s">
        <v>102</v>
      </c>
    </row>
    <row r="118" spans="1:17">
      <c r="A118" s="5"/>
      <c r="B118" s="19" t="s">
        <v>118</v>
      </c>
      <c r="C118" s="40" t="s">
        <v>102</v>
      </c>
      <c r="D118" s="16" t="s">
        <v>104</v>
      </c>
      <c r="E118" s="41" t="s">
        <v>101</v>
      </c>
      <c r="F118" s="19" t="s">
        <v>118</v>
      </c>
      <c r="G118" s="40" t="s">
        <v>102</v>
      </c>
      <c r="H118" s="16" t="s">
        <v>104</v>
      </c>
      <c r="I118" s="41" t="s">
        <v>102</v>
      </c>
      <c r="J118" s="16" t="s">
        <v>118</v>
      </c>
      <c r="K118" s="40" t="s">
        <v>102</v>
      </c>
      <c r="L118" s="16" t="s">
        <v>104</v>
      </c>
      <c r="M118" s="41" t="s">
        <v>102</v>
      </c>
    </row>
    <row r="119" spans="1:17">
      <c r="A119" s="5"/>
      <c r="B119" s="24"/>
      <c r="C119" s="33"/>
      <c r="D119" s="33" t="s">
        <v>106</v>
      </c>
      <c r="E119" s="42" t="s">
        <v>101</v>
      </c>
      <c r="F119" s="24"/>
      <c r="G119" s="33"/>
      <c r="H119" s="33" t="s">
        <v>106</v>
      </c>
      <c r="I119" s="42" t="s">
        <v>102</v>
      </c>
      <c r="J119" s="33"/>
      <c r="K119" s="33"/>
      <c r="L119" s="33" t="s">
        <v>106</v>
      </c>
      <c r="M119" s="42" t="s">
        <v>102</v>
      </c>
    </row>
    <row r="120" spans="1:17">
      <c r="A120" s="5"/>
      <c r="B120" s="19" t="s">
        <v>119</v>
      </c>
      <c r="C120" s="31" t="s">
        <v>320</v>
      </c>
      <c r="D120" s="16" t="s">
        <v>106</v>
      </c>
      <c r="E120" s="41" t="s">
        <v>102</v>
      </c>
      <c r="F120" s="19" t="s">
        <v>119</v>
      </c>
      <c r="G120" s="31" t="s">
        <v>120</v>
      </c>
      <c r="H120" s="16" t="s">
        <v>106</v>
      </c>
      <c r="I120" s="41" t="s">
        <v>102</v>
      </c>
      <c r="J120" s="16" t="s">
        <v>119</v>
      </c>
      <c r="K120" s="31" t="s">
        <v>120</v>
      </c>
      <c r="L120" s="16" t="s">
        <v>106</v>
      </c>
      <c r="M120" s="41" t="s">
        <v>116</v>
      </c>
      <c r="N120" s="19" t="s">
        <v>119</v>
      </c>
      <c r="O120" s="31" t="s">
        <v>120</v>
      </c>
      <c r="P120" s="16" t="s">
        <v>106</v>
      </c>
      <c r="Q120" s="41" t="s">
        <v>102</v>
      </c>
    </row>
    <row r="121" spans="1:17">
      <c r="A121" s="5"/>
      <c r="B121" s="47" t="s">
        <v>122</v>
      </c>
      <c r="C121" s="46" t="s">
        <v>123</v>
      </c>
      <c r="D121" s="33" t="s">
        <v>1</v>
      </c>
      <c r="E121" s="46" t="s">
        <v>125</v>
      </c>
      <c r="F121" s="47" t="s">
        <v>122</v>
      </c>
      <c r="G121" s="46" t="s">
        <v>123</v>
      </c>
      <c r="H121" s="33" t="s">
        <v>1</v>
      </c>
      <c r="I121" s="46" t="s">
        <v>124</v>
      </c>
      <c r="J121" s="48" t="s">
        <v>122</v>
      </c>
      <c r="K121" s="46" t="s">
        <v>123</v>
      </c>
      <c r="L121" s="33"/>
      <c r="M121" s="46" t="s">
        <v>124</v>
      </c>
      <c r="N121" s="47" t="s">
        <v>122</v>
      </c>
      <c r="O121" s="46" t="s">
        <v>123</v>
      </c>
      <c r="P121" s="33"/>
      <c r="Q121" s="46" t="s">
        <v>125</v>
      </c>
    </row>
    <row r="122" spans="1:17" ht="13.8" thickBot="1">
      <c r="A122" s="5"/>
      <c r="B122" s="5"/>
      <c r="D122" s="5"/>
      <c r="F122" s="5"/>
      <c r="H122" s="5"/>
      <c r="J122" s="5"/>
      <c r="L122" s="5"/>
      <c r="N122" s="5"/>
      <c r="P122" s="5"/>
    </row>
    <row r="123" spans="1:17">
      <c r="A123" s="14" t="s">
        <v>126</v>
      </c>
      <c r="B123" s="19" t="s">
        <v>127</v>
      </c>
      <c r="C123" s="49">
        <v>0</v>
      </c>
      <c r="D123" s="50" t="s">
        <v>110</v>
      </c>
      <c r="E123" s="41" t="s">
        <v>101</v>
      </c>
      <c r="F123" s="19" t="s">
        <v>127</v>
      </c>
      <c r="G123" s="49">
        <v>0</v>
      </c>
      <c r="H123" s="50" t="s">
        <v>110</v>
      </c>
      <c r="I123" s="41" t="s">
        <v>162</v>
      </c>
      <c r="J123" s="19" t="s">
        <v>127</v>
      </c>
      <c r="K123" s="49">
        <v>0</v>
      </c>
      <c r="L123" s="50" t="s">
        <v>110</v>
      </c>
      <c r="M123" s="41" t="s">
        <v>162</v>
      </c>
      <c r="N123" s="19" t="s">
        <v>127</v>
      </c>
      <c r="O123" s="49">
        <v>0</v>
      </c>
      <c r="P123" s="50" t="s">
        <v>110</v>
      </c>
      <c r="Q123" s="41" t="s">
        <v>102</v>
      </c>
    </row>
    <row r="124" spans="1:17" ht="13.8" thickBot="1">
      <c r="A124" s="5"/>
      <c r="B124" s="15"/>
      <c r="C124" s="51"/>
      <c r="D124" s="51" t="s">
        <v>130</v>
      </c>
      <c r="E124" s="42" t="s">
        <v>115</v>
      </c>
      <c r="F124" s="15"/>
      <c r="G124" s="51"/>
      <c r="H124" s="51" t="s">
        <v>130</v>
      </c>
      <c r="I124" s="42" t="s">
        <v>107</v>
      </c>
      <c r="J124" s="15"/>
      <c r="K124" s="51"/>
      <c r="L124" s="51" t="s">
        <v>130</v>
      </c>
      <c r="M124" s="42" t="s">
        <v>107</v>
      </c>
      <c r="N124" s="15"/>
      <c r="O124" s="51"/>
      <c r="P124" s="51" t="s">
        <v>130</v>
      </c>
      <c r="Q124" s="42" t="s">
        <v>102</v>
      </c>
    </row>
    <row r="125" spans="1:17">
      <c r="A125" s="5"/>
      <c r="B125" s="15" t="s">
        <v>127</v>
      </c>
      <c r="C125" s="10">
        <v>0</v>
      </c>
      <c r="D125" s="51" t="s">
        <v>110</v>
      </c>
      <c r="E125" s="41" t="s">
        <v>102</v>
      </c>
      <c r="F125" s="15" t="s">
        <v>127</v>
      </c>
      <c r="G125" s="10">
        <v>0</v>
      </c>
      <c r="H125" s="51" t="s">
        <v>110</v>
      </c>
      <c r="I125" s="41" t="s">
        <v>102</v>
      </c>
      <c r="J125" s="15" t="s">
        <v>127</v>
      </c>
      <c r="K125" s="10">
        <v>0</v>
      </c>
      <c r="L125" s="51" t="s">
        <v>110</v>
      </c>
      <c r="M125" s="41" t="s">
        <v>102</v>
      </c>
      <c r="N125" s="15" t="s">
        <v>127</v>
      </c>
      <c r="O125" s="10">
        <v>0</v>
      </c>
      <c r="P125" s="51" t="s">
        <v>110</v>
      </c>
      <c r="Q125" s="41" t="s">
        <v>102</v>
      </c>
    </row>
    <row r="126" spans="1:17" ht="13.8" thickBot="1">
      <c r="A126" s="5"/>
      <c r="B126" s="15"/>
      <c r="C126" s="51"/>
      <c r="D126" s="51" t="s">
        <v>130</v>
      </c>
      <c r="E126" s="42" t="s">
        <v>102</v>
      </c>
      <c r="F126" s="15"/>
      <c r="G126" s="51"/>
      <c r="H126" s="51" t="s">
        <v>130</v>
      </c>
      <c r="I126" s="42" t="s">
        <v>102</v>
      </c>
      <c r="J126" s="15"/>
      <c r="K126" s="51"/>
      <c r="L126" s="51" t="s">
        <v>130</v>
      </c>
      <c r="M126" s="42" t="s">
        <v>102</v>
      </c>
      <c r="N126" s="15"/>
      <c r="O126" s="51"/>
      <c r="P126" s="51" t="s">
        <v>130</v>
      </c>
      <c r="Q126" s="42" t="s">
        <v>102</v>
      </c>
    </row>
    <row r="127" spans="1:17">
      <c r="A127" s="5"/>
      <c r="B127" s="15" t="s">
        <v>127</v>
      </c>
      <c r="C127" s="10">
        <v>0</v>
      </c>
      <c r="D127" s="51" t="s">
        <v>110</v>
      </c>
      <c r="E127" s="41" t="s">
        <v>102</v>
      </c>
      <c r="F127" s="15" t="s">
        <v>127</v>
      </c>
      <c r="G127" s="10">
        <v>0</v>
      </c>
      <c r="H127" s="51" t="s">
        <v>110</v>
      </c>
      <c r="I127" s="41" t="s">
        <v>102</v>
      </c>
      <c r="J127" s="15" t="s">
        <v>127</v>
      </c>
      <c r="K127" s="10">
        <v>0</v>
      </c>
      <c r="L127" s="51" t="s">
        <v>110</v>
      </c>
      <c r="M127" s="41" t="s">
        <v>102</v>
      </c>
      <c r="N127" s="15" t="s">
        <v>127</v>
      </c>
      <c r="O127" s="10">
        <v>0</v>
      </c>
      <c r="P127" s="51" t="s">
        <v>110</v>
      </c>
      <c r="Q127" s="41" t="s">
        <v>102</v>
      </c>
    </row>
    <row r="128" spans="1:17" ht="13.8" thickBot="1">
      <c r="A128" s="5"/>
      <c r="B128" s="24"/>
      <c r="C128" s="52"/>
      <c r="D128" s="52" t="s">
        <v>130</v>
      </c>
      <c r="E128" s="42" t="s">
        <v>102</v>
      </c>
      <c r="F128" s="24"/>
      <c r="G128" s="52"/>
      <c r="H128" s="52" t="s">
        <v>130</v>
      </c>
      <c r="I128" s="42" t="s">
        <v>102</v>
      </c>
      <c r="J128" s="24"/>
      <c r="K128" s="52"/>
      <c r="L128" s="52" t="s">
        <v>130</v>
      </c>
      <c r="M128" s="42" t="s">
        <v>102</v>
      </c>
      <c r="N128" s="24"/>
      <c r="O128" s="52"/>
      <c r="P128" s="52" t="s">
        <v>130</v>
      </c>
      <c r="Q128" s="42" t="s">
        <v>102</v>
      </c>
    </row>
    <row r="129" spans="1:17" ht="13.8" thickBot="1">
      <c r="A129" s="5"/>
      <c r="B129" s="5"/>
      <c r="C129" s="5"/>
      <c r="D129" s="5"/>
      <c r="E129" s="31"/>
      <c r="F129" s="5"/>
      <c r="G129" s="5"/>
      <c r="H129" s="5"/>
      <c r="I129" s="31"/>
      <c r="J129" s="5"/>
      <c r="K129" s="5"/>
      <c r="L129" s="5"/>
      <c r="M129" s="31"/>
      <c r="N129" s="5"/>
      <c r="O129" s="5"/>
      <c r="P129" s="5"/>
      <c r="Q129" s="31"/>
    </row>
    <row r="130" spans="1:17">
      <c r="A130" s="14" t="s">
        <v>131</v>
      </c>
      <c r="B130" s="19" t="s">
        <v>132</v>
      </c>
      <c r="C130" s="40">
        <v>10</v>
      </c>
      <c r="D130" s="16" t="s">
        <v>110</v>
      </c>
      <c r="E130" s="41" t="s">
        <v>101</v>
      </c>
      <c r="F130" s="19" t="s">
        <v>132</v>
      </c>
      <c r="G130" s="40">
        <v>18</v>
      </c>
      <c r="H130" s="16" t="s">
        <v>110</v>
      </c>
      <c r="I130" s="41" t="s">
        <v>163</v>
      </c>
      <c r="J130" s="19" t="s">
        <v>132</v>
      </c>
      <c r="K130" s="40"/>
      <c r="L130" s="16" t="s">
        <v>110</v>
      </c>
      <c r="M130" s="41" t="s">
        <v>102</v>
      </c>
      <c r="N130" s="19" t="s">
        <v>132</v>
      </c>
      <c r="O130" s="40"/>
      <c r="P130" s="16" t="s">
        <v>110</v>
      </c>
      <c r="Q130" s="41" t="s">
        <v>102</v>
      </c>
    </row>
    <row r="131" spans="1:17" ht="13.8" thickBot="1">
      <c r="A131" s="5"/>
      <c r="B131" s="15"/>
      <c r="C131" s="5"/>
      <c r="D131" s="5" t="s">
        <v>130</v>
      </c>
      <c r="E131" s="42" t="s">
        <v>162</v>
      </c>
      <c r="F131" s="15"/>
      <c r="G131" s="5"/>
      <c r="H131" s="5" t="s">
        <v>130</v>
      </c>
      <c r="I131" s="42" t="s">
        <v>107</v>
      </c>
      <c r="J131" s="15"/>
      <c r="K131" s="5"/>
      <c r="L131" s="5" t="s">
        <v>130</v>
      </c>
      <c r="M131" s="42" t="s">
        <v>102</v>
      </c>
      <c r="N131" s="15"/>
      <c r="O131" s="5"/>
      <c r="P131" s="5" t="s">
        <v>130</v>
      </c>
      <c r="Q131" s="42" t="s">
        <v>102</v>
      </c>
    </row>
    <row r="132" spans="1:17">
      <c r="A132" s="14" t="s">
        <v>134</v>
      </c>
      <c r="B132" s="15" t="s">
        <v>132</v>
      </c>
      <c r="C132" s="31">
        <v>10</v>
      </c>
      <c r="D132" s="5" t="s">
        <v>110</v>
      </c>
      <c r="E132" s="41" t="s">
        <v>101</v>
      </c>
      <c r="F132" s="15" t="s">
        <v>132</v>
      </c>
      <c r="G132" s="31">
        <v>18</v>
      </c>
      <c r="H132" s="5" t="s">
        <v>110</v>
      </c>
      <c r="I132" s="41" t="s">
        <v>163</v>
      </c>
      <c r="J132" s="15" t="s">
        <v>132</v>
      </c>
      <c r="K132" s="31"/>
      <c r="L132" s="5" t="s">
        <v>110</v>
      </c>
      <c r="M132" s="41" t="s">
        <v>102</v>
      </c>
      <c r="N132" s="15" t="s">
        <v>132</v>
      </c>
      <c r="O132" s="31"/>
      <c r="P132" s="5" t="s">
        <v>110</v>
      </c>
      <c r="Q132" s="41" t="s">
        <v>102</v>
      </c>
    </row>
    <row r="133" spans="1:17" ht="13.8" thickBot="1">
      <c r="A133" s="5"/>
      <c r="B133" s="24"/>
      <c r="C133" s="33"/>
      <c r="D133" s="33" t="s">
        <v>130</v>
      </c>
      <c r="E133" s="42" t="s">
        <v>162</v>
      </c>
      <c r="F133" s="24"/>
      <c r="G133" s="33"/>
      <c r="H133" s="33" t="s">
        <v>130</v>
      </c>
      <c r="I133" s="42" t="s">
        <v>107</v>
      </c>
      <c r="J133" s="24"/>
      <c r="K133" s="33"/>
      <c r="L133" s="33" t="s">
        <v>130</v>
      </c>
      <c r="M133" s="42" t="s">
        <v>102</v>
      </c>
      <c r="N133" s="24"/>
      <c r="O133" s="33"/>
      <c r="P133" s="33" t="s">
        <v>130</v>
      </c>
      <c r="Q133" s="42" t="s">
        <v>102</v>
      </c>
    </row>
    <row r="134" spans="1:17">
      <c r="A134" s="14" t="s">
        <v>77</v>
      </c>
      <c r="B134" s="44">
        <v>400</v>
      </c>
      <c r="C134" s="16" t="s">
        <v>110</v>
      </c>
      <c r="D134" s="41" t="s">
        <v>101</v>
      </c>
      <c r="E134" s="44" t="s">
        <v>1</v>
      </c>
      <c r="F134" s="16" t="s">
        <v>110</v>
      </c>
      <c r="G134" s="41" t="s">
        <v>102</v>
      </c>
      <c r="H134" s="44">
        <v>200</v>
      </c>
      <c r="I134" s="16" t="s">
        <v>110</v>
      </c>
      <c r="J134" s="41" t="s">
        <v>101</v>
      </c>
      <c r="K134" s="44" t="s">
        <v>1</v>
      </c>
      <c r="L134" s="16" t="s">
        <v>110</v>
      </c>
      <c r="M134" s="41" t="s">
        <v>102</v>
      </c>
    </row>
    <row r="135" spans="1:17" ht="13.8" thickBot="1">
      <c r="A135" s="5"/>
      <c r="B135" s="24" t="s">
        <v>1</v>
      </c>
      <c r="C135" s="33" t="s">
        <v>130</v>
      </c>
      <c r="D135" s="42" t="s">
        <v>107</v>
      </c>
      <c r="E135" s="24" t="s">
        <v>1</v>
      </c>
      <c r="F135" s="33" t="s">
        <v>130</v>
      </c>
      <c r="G135" s="42" t="s">
        <v>102</v>
      </c>
      <c r="H135" s="24"/>
      <c r="I135" s="33" t="s">
        <v>130</v>
      </c>
      <c r="J135" s="42" t="s">
        <v>107</v>
      </c>
      <c r="K135" s="24" t="s">
        <v>1</v>
      </c>
      <c r="L135" s="33" t="s">
        <v>130</v>
      </c>
      <c r="M135" s="42" t="s">
        <v>102</v>
      </c>
    </row>
    <row r="136" spans="1:17">
      <c r="A136" s="5"/>
    </row>
    <row r="137" spans="1:17">
      <c r="A137" s="14" t="s">
        <v>135</v>
      </c>
      <c r="B137" s="14" t="str">
        <f>A2</f>
        <v>Pipirelli</v>
      </c>
    </row>
    <row r="156" spans="1:37">
      <c r="AH156" t="s">
        <v>1</v>
      </c>
    </row>
    <row r="157" spans="1:37">
      <c r="AH157" t="s">
        <v>1</v>
      </c>
    </row>
    <row r="158" spans="1:37">
      <c r="AF158" t="s">
        <v>1</v>
      </c>
    </row>
    <row r="159" spans="1:37">
      <c r="A159" t="s">
        <v>848</v>
      </c>
      <c r="J159" t="s">
        <v>1</v>
      </c>
      <c r="L159" t="s">
        <v>1</v>
      </c>
      <c r="N159" t="s">
        <v>1</v>
      </c>
      <c r="P159" t="s">
        <v>1</v>
      </c>
      <c r="R159" t="s">
        <v>1</v>
      </c>
      <c r="T159" t="s">
        <v>1</v>
      </c>
      <c r="V159" t="s">
        <v>1</v>
      </c>
      <c r="X159" t="s">
        <v>1</v>
      </c>
      <c r="Z159" t="s">
        <v>1</v>
      </c>
      <c r="AB159" t="s">
        <v>1</v>
      </c>
      <c r="AD159" t="s">
        <v>1</v>
      </c>
      <c r="AF159" t="s">
        <v>1</v>
      </c>
      <c r="AH159" t="s">
        <v>1</v>
      </c>
      <c r="AJ159" t="s">
        <v>1</v>
      </c>
    </row>
    <row r="160" spans="1:37">
      <c r="A160" t="s">
        <v>846</v>
      </c>
      <c r="C160" t="s">
        <v>140</v>
      </c>
      <c r="D160">
        <f>A18</f>
        <v>13</v>
      </c>
      <c r="E160" s="109">
        <f>E18</f>
        <v>0</v>
      </c>
      <c r="F160">
        <f>IF(COUNT(E18)=0,D18,E18)-VLOOKUP(ROUND(IF(COUNT(E18)=0,D18,E18),0),données!$DA$23:$DC$72,3,0)</f>
        <v>3.8</v>
      </c>
      <c r="G160" s="109" t="str">
        <f>G18</f>
        <v xml:space="preserve"> </v>
      </c>
      <c r="H160">
        <f>IF(COUNT(G18)=0,F18,G18)-VLOOKUP(ROUND(IF(COUNT(G18)=0,F18,G18),0),données!$DA$23:$DC$72,3,0)</f>
        <v>3.5999999999999996</v>
      </c>
      <c r="I160" s="109" t="str">
        <f>I18</f>
        <v xml:space="preserve"> </v>
      </c>
      <c r="J160">
        <f>IF(COUNT(I18)=0,H18,I18)+D23/100*(IF(J77=0,VLOOKUP(D22,données!$DG$5:$DK$11,3,0),VLOOKUP(D22,données!$DG$13:$DK$19,3,0)))-VLOOKUP(ROUND(IF(COUNT(I18)=0,H18,I18),0),données!$DA$23:$DC$72,3,0)</f>
        <v>3.3999999999999995</v>
      </c>
      <c r="K160" s="109" t="str">
        <f>K18</f>
        <v xml:space="preserve"> </v>
      </c>
      <c r="L160">
        <f>IF(COUNT(K18)=0,J18,K18)+F23/100*(IF(L77=0,VLOOKUP(F22,données!$DG$5:$DK$11,3,0),VLOOKUP(F22,données!$DG$13:$DK$19,3,0)))-VLOOKUP(ROUND(IF(COUNT(K18)=0,J18,K18),0),données!$DA$23:$DC$72,3,0)</f>
        <v>3.2499999999999996</v>
      </c>
      <c r="M160" s="109" t="str">
        <f>M18</f>
        <v xml:space="preserve"> </v>
      </c>
      <c r="N160">
        <f>IF(COUNT(M18)=0,L18,M18)+H23/100*(IF(N77=0,VLOOKUP(H22,données!$DG$5:$DK$11,3,0),VLOOKUP(H22,données!$DG$13:$DK$19,3,0)))-VLOOKUP(ROUND(IF(COUNT(M18)=0,L18,M18),0),données!$DA$23:$DC$72,3,0)</f>
        <v>3.0999999999999996</v>
      </c>
      <c r="O160" s="109" t="str">
        <f>O18</f>
        <v xml:space="preserve"> </v>
      </c>
      <c r="P160">
        <f>IF(COUNT(O18)=0,N18,O18)+J23/100*(IF(P77=0,VLOOKUP(J22,données!$DG$5:$DK$11,3,0),VLOOKUP(J22,données!$DG$13:$DK$19,3,0)))-VLOOKUP(ROUND(IF(COUNT(O18)=0,N18,O18),0),données!$DA$23:$DC$72,3,0)</f>
        <v>2.9499999999999997</v>
      </c>
      <c r="Q160" s="109" t="str">
        <f>Q18</f>
        <v xml:space="preserve"> </v>
      </c>
      <c r="R160">
        <f>IF(COUNT(Q18)=0,P18,Q18)+L23/100*(IF(R77=0,VLOOKUP(L22,données!$DG$5:$DK$11,3,0),VLOOKUP(L22,données!$DG$13:$DK$19,3,0)))-VLOOKUP(ROUND(IF(COUNT(Q18)=0,P18,Q18),0),données!$DA$23:$DC$72,3,0)</f>
        <v>2.8</v>
      </c>
      <c r="S160" s="109" t="str">
        <f>S18</f>
        <v xml:space="preserve"> </v>
      </c>
      <c r="T160">
        <f>IF(COUNT(S18)=0,R18,S18)+N23/100*(IF(T77=0,VLOOKUP(N22,données!$DG$5:$DK$11,3,0),VLOOKUP(N22,données!$DG$13:$DK$19,3,0)))-VLOOKUP(ROUND(IF(COUNT(S18)=0,R18,S18),0),données!$DA$23:$DC$72,3,0)</f>
        <v>2.65</v>
      </c>
      <c r="U160" s="109" t="str">
        <f>U18</f>
        <v xml:space="preserve"> </v>
      </c>
      <c r="V160">
        <f>IF(COUNT(U18)=0,T18,U18)+P23/100*(IF(V77=0,VLOOKUP(P22,données!$DG$5:$DK$11,3,0),VLOOKUP(P22,données!$DG$13:$DK$19,3,0)))-VLOOKUP(ROUND(IF(COUNT(U18)=0,T18,U18),0),données!$DA$23:$DC$72,3,0)</f>
        <v>2.5</v>
      </c>
      <c r="W160" s="109" t="str">
        <f>W18</f>
        <v xml:space="preserve"> </v>
      </c>
      <c r="X160">
        <f>IF(COUNT(W18)=0,V18,W18)+R23/100*(IF(X77=0,VLOOKUP(R22,données!$DG$5:$DK$11,3,0),VLOOKUP(R22,données!$DG$13:$DK$19,3,0)))-VLOOKUP(ROUND(IF(COUNT(W18)=0,V18,W18),0),données!$DA$23:$DC$72,3,0)</f>
        <v>2.35</v>
      </c>
      <c r="Y160" s="109" t="str">
        <f>Y18</f>
        <v xml:space="preserve"> </v>
      </c>
      <c r="Z160">
        <f>IF(COUNT(Y18)=0,X18,Y18)+T23/100*(IF(Z77=0,VLOOKUP(T22,données!$DG$5:$DK$11,3,0),VLOOKUP(T22,données!$DG$13:$DK$19,3,0)))-VLOOKUP(ROUND(IF(COUNT(Y18)=0,X18,Y18),0),données!$DA$23:$DC$72,3,0)</f>
        <v>2.25</v>
      </c>
      <c r="AA160" s="109">
        <f>AA18</f>
        <v>0</v>
      </c>
      <c r="AB160">
        <f>IF(COUNT(AA18)=0,Z18,AA18)+V23/100*(IF(AB77=0,VLOOKUP(V22,données!$DG$5:$DK$11,3,0),VLOOKUP(V22,données!$DG$13:$DK$19,3,0)))-VLOOKUP(ROUND(IF(COUNT(AA18)=0,Z18,AA18),0),données!$DA$23:$DC$72,3,0)</f>
        <v>2.15</v>
      </c>
      <c r="AC160" s="109" t="str">
        <f>AC18</f>
        <v xml:space="preserve"> </v>
      </c>
      <c r="AD160">
        <f>IF(COUNT(AC18)=0,AB18,AC18)+X23/100*(IF(AD77=0,VLOOKUP(X22,données!$DG$5:$DK$11,3,0),VLOOKUP(X22,données!$DG$13:$DK$19,3,0)))-VLOOKUP(ROUND(IF(COUNT(AC18)=0,AB18,AC18),0),données!$DA$23:$DC$72,3,0)</f>
        <v>2.0499999999999998</v>
      </c>
      <c r="AE160" s="109" t="str">
        <f>AE18</f>
        <v xml:space="preserve"> </v>
      </c>
      <c r="AF160">
        <f>IF(COUNT(AE18)=0,AD18,AE18)+Z23/100*(IF(AF77=0,VLOOKUP(Z22,données!$DG$5:$DK$11,3,0),VLOOKUP(Z22,données!$DG$13:$DK$19,3,0)))-VLOOKUP(ROUND(IF(COUNT(AE18)=0,AD18,AE18),0),données!$DA$23:$DC$72,3,0)</f>
        <v>1.9499999999999997</v>
      </c>
      <c r="AG160" s="109" t="str">
        <f>AG18</f>
        <v xml:space="preserve"> </v>
      </c>
      <c r="AH160">
        <f>IF(COUNT(AG18)=0,AF18,AG18)+AB23/100*(IF(AH77=0,VLOOKUP(AB22,données!$DG$5:$DK$11,3,0),VLOOKUP(AB22,données!$DG$13:$DK$19,3,0)))-VLOOKUP(ROUND(IF(COUNT(AG18)=0,AF18,AG18),0),données!$DA$23:$DC$72,3,0)</f>
        <v>1.8499999999999996</v>
      </c>
      <c r="AI160" s="109" t="str">
        <f>AI18</f>
        <v xml:space="preserve"> </v>
      </c>
      <c r="AJ160">
        <f>IF(COUNT(AI18)=0,AH18,AI18)+AD23/100*(IF(AJ77=0,VLOOKUP(AD22,données!$DG$5:$DK$11,3,0),VLOOKUP(AD22,données!$DG$13:$DK$19,3,0)))-VLOOKUP(ROUND(IF(COUNT(AI18)=0,AH18,AI18),0),données!$DA$23:$DC$72,3,0)</f>
        <v>1.7499999999999996</v>
      </c>
      <c r="AK160" s="109" t="str">
        <f>AK18</f>
        <v xml:space="preserve"> </v>
      </c>
    </row>
    <row r="161" spans="1:37">
      <c r="C161" t="s">
        <v>141</v>
      </c>
      <c r="D161">
        <f>A19</f>
        <v>11</v>
      </c>
      <c r="E161" s="109">
        <f>E19</f>
        <v>0</v>
      </c>
      <c r="F161">
        <f>IF(COUNT(E19)=0,D19,E19)-VLOOKUP(ROUND(IF(COUNT(E19)=0,D19,E19),0),données!$DA$23:$DC$72,3,0)</f>
        <v>9.5</v>
      </c>
      <c r="G161" s="109" t="str">
        <f>G19</f>
        <v xml:space="preserve"> </v>
      </c>
      <c r="H161">
        <f>IF(COUNT(G19)=0,F19,G19)-VLOOKUP(ROUND(IF(COUNT(G19)=0,F19,G19),0),données!$DA$23:$DC$72,3,0)</f>
        <v>9</v>
      </c>
      <c r="I161" s="109" t="str">
        <f>I19</f>
        <v xml:space="preserve"> </v>
      </c>
      <c r="J161">
        <f>IF(COUNT(I19)=0,H19,I19)+D23/100*(IF(J77=0,VLOOKUP(D22,données!$DG$5:$DK$11,4,0),VLOOKUP(D22,données!$DG$13:$DK$19,4,0)))-VLOOKUP(ROUND(IF(COUNT(I19)=0,H19,I19),0),données!$DA$23:$DC$72,3,0)</f>
        <v>8.5500000000000007</v>
      </c>
      <c r="K161" s="109" t="str">
        <f>K19</f>
        <v xml:space="preserve"> </v>
      </c>
      <c r="L161">
        <f>IF(COUNT(K19)=0,J19,K19)+F23/100*(IF(L77=0,VLOOKUP(F22,données!$DG$5:$DK$11,4,0),VLOOKUP(F22,données!$DG$13:$DK$19,4,0)))-VLOOKUP(ROUND(IF(COUNT(K19)=0,J19,K19),0),données!$DA$23:$DC$72,3,0)</f>
        <v>8.1000000000000014</v>
      </c>
      <c r="M161" s="109" t="str">
        <f>M19</f>
        <v xml:space="preserve"> </v>
      </c>
      <c r="N161">
        <f>IF(COUNT(M19)=0,L19,M19)+H23/100*(IF(N77=0,VLOOKUP(H22,données!$DG$5:$DK$11,4,0),VLOOKUP(H22,données!$DG$13:$DK$19,4,0)))-VLOOKUP(ROUND(IF(COUNT(M19)=0,L19,M19),0),données!$DA$23:$DC$72,3,0)</f>
        <v>7.7000000000000011</v>
      </c>
      <c r="O161" s="109" t="str">
        <f>O19</f>
        <v xml:space="preserve"> </v>
      </c>
      <c r="P161">
        <f>IF(COUNT(O19)=0,N19,O19)+J23/100*(IF(P77=0,VLOOKUP(J22,données!$DG$5:$DK$11,4,0),VLOOKUP(J22,données!$DG$13:$DK$19,4,0)))-VLOOKUP(ROUND(IF(COUNT(O19)=0,N19,O19),0),données!$DA$23:$DC$72,3,0)</f>
        <v>7.3000000000000007</v>
      </c>
      <c r="Q161" s="109" t="str">
        <f>Q19</f>
        <v xml:space="preserve"> </v>
      </c>
      <c r="R161">
        <f>IF(COUNT(Q19)=0,P19,Q19)+L23/100*(IF(R77=0,VLOOKUP(L22,données!$DG$5:$DK$11,4,0),VLOOKUP(L22,données!$DG$13:$DK$19,4,0)))-VLOOKUP(ROUND(IF(COUNT(Q19)=0,P19,Q19),0),données!$DA$23:$DC$72,3,0)</f>
        <v>6.9500000000000011</v>
      </c>
      <c r="S161" s="109" t="str">
        <f>S19</f>
        <v xml:space="preserve"> </v>
      </c>
      <c r="T161">
        <f>IF(COUNT(S19)=0,R19,S19)+N23/100*(IF(T77=0,VLOOKUP(N22,données!$DG$5:$DK$11,4,0),VLOOKUP(N22,données!$DG$13:$DK$19,4,0)))-VLOOKUP(ROUND(IF(COUNT(S19)=0,R19,S19),0),données!$DA$23:$DC$72,3,0)</f>
        <v>6.6000000000000014</v>
      </c>
      <c r="U161" s="109" t="str">
        <f>U19</f>
        <v xml:space="preserve"> </v>
      </c>
      <c r="V161">
        <f>IF(COUNT(U19)=0,T19,U19)+P23/100*(IF(V77=0,VLOOKUP(P22,données!$DG$5:$DK$11,4,0),VLOOKUP(P22,données!$DG$13:$DK$19,4,0)))-VLOOKUP(ROUND(IF(COUNT(U19)=0,T19,U19),0),données!$DA$23:$DC$72,3,0)</f>
        <v>6.2500000000000018</v>
      </c>
      <c r="W161" s="109" t="str">
        <f>W19</f>
        <v xml:space="preserve"> </v>
      </c>
      <c r="X161">
        <f>IF(COUNT(W19)=0,V19,W19)+R23/100*(IF(X77=0,VLOOKUP(R22,données!$DG$5:$DK$11,4,0),VLOOKUP(R22,données!$DG$13:$DK$19,4,0)))-VLOOKUP(ROUND(IF(COUNT(W19)=0,V19,W19),0),données!$DA$23:$DC$72,3,0)</f>
        <v>5.950000000000002</v>
      </c>
      <c r="Y161" s="109" t="str">
        <f>Y19</f>
        <v xml:space="preserve"> </v>
      </c>
      <c r="Z161">
        <f>IF(COUNT(Y19)=0,X19,Y19)+T23/100*(IF(Z77=0,VLOOKUP(T22,données!$DG$5:$DK$11,4,0),VLOOKUP(T22,données!$DG$13:$DK$19,4,0)))-VLOOKUP(ROUND(IF(COUNT(Y19)=0,X19,Y19),0),données!$DA$23:$DC$72,3,0)</f>
        <v>5.6500000000000021</v>
      </c>
      <c r="AA161" s="109">
        <f>AA19</f>
        <v>0</v>
      </c>
      <c r="AB161">
        <f>IF(COUNT(AA19)=0,Z19,AA19)+V23/100*(IF(AB77=0,VLOOKUP(V22,données!$DG$5:$DK$11,4,0),VLOOKUP(V22,données!$DG$13:$DK$19,4,0)))-VLOOKUP(ROUND(IF(COUNT(AA19)=0,Z19,AA19),0),données!$DA$23:$DC$72,3,0)</f>
        <v>5.3500000000000023</v>
      </c>
      <c r="AC161" s="109" t="str">
        <f>AC19</f>
        <v xml:space="preserve"> </v>
      </c>
      <c r="AD161">
        <f>IF(COUNT(AC19)=0,AB19,AC19)+X23/100*(IF(AD77=0,VLOOKUP(X22,données!$DG$5:$DK$11,4,0),VLOOKUP(X22,données!$DG$13:$DK$19,4,0)))-VLOOKUP(ROUND(IF(COUNT(AC19)=0,AB19,AC19),0),données!$DA$23:$DC$72,3,0)</f>
        <v>5.1000000000000023</v>
      </c>
      <c r="AE161" s="109" t="str">
        <f>AE19</f>
        <v xml:space="preserve"> </v>
      </c>
      <c r="AF161">
        <f>IF(COUNT(AE19)=0,AD19,AE19)+Z23/100*(IF(AF77=0,VLOOKUP(Z22,données!$DG$5:$DK$11,4,0),VLOOKUP(Z22,données!$DG$13:$DK$19,4,0)))-VLOOKUP(ROUND(IF(COUNT(AE19)=0,AD19,AE19),0),données!$DA$23:$DC$72,3,0)</f>
        <v>4.8500000000000023</v>
      </c>
      <c r="AG161" s="109" t="str">
        <f>AG19</f>
        <v xml:space="preserve"> </v>
      </c>
      <c r="AH161">
        <f>IF(COUNT(AG19)=0,AF19,AG19)+AB23/100*(IF(AH77=0,VLOOKUP(AB22,données!$DG$5:$DK$11,4,0),VLOOKUP(AB22,données!$DG$13:$DK$19,4,0)))-VLOOKUP(ROUND(IF(COUNT(AG19)=0,AF19,AG19),0),données!$DA$23:$DC$72,3,0)</f>
        <v>4.6000000000000023</v>
      </c>
      <c r="AI161" s="109" t="str">
        <f>AI19</f>
        <v xml:space="preserve"> </v>
      </c>
      <c r="AJ161">
        <f>IF(COUNT(AI19)=0,AH19,AI19)+AD23/100*(IF(AJ77=0,VLOOKUP(AD22,données!$DG$5:$DK$11,4,0),VLOOKUP(AD22,données!$DG$13:$DK$19,4,0)))-VLOOKUP(ROUND(IF(COUNT(AI19)=0,AH19,AI19),0),données!$DA$23:$DC$72,3,0)</f>
        <v>4.3500000000000023</v>
      </c>
      <c r="AK161" s="109" t="str">
        <f>AK19</f>
        <v xml:space="preserve"> </v>
      </c>
    </row>
    <row r="162" spans="1:37">
      <c r="C162" t="s">
        <v>142</v>
      </c>
      <c r="D162">
        <f>A20</f>
        <v>8</v>
      </c>
      <c r="E162" s="109">
        <f>E20</f>
        <v>0</v>
      </c>
      <c r="F162">
        <f>IF(COUNT(E20)=0,D20,E20)-VLOOKUP(ROUND(IF(COUNT(E20)=0,D20,E20),0),données!$DA$23:$DC$72,3,0)</f>
        <v>4.75</v>
      </c>
      <c r="G162" s="109" t="str">
        <f>G20</f>
        <v xml:space="preserve"> </v>
      </c>
      <c r="H162">
        <f>IF(COUNT(G20)=0,F20,G20)-VLOOKUP(ROUND(IF(COUNT(G20)=0,F20,G20),0),données!$DA$23:$DC$72,3,0)</f>
        <v>4.5</v>
      </c>
      <c r="I162" s="109" t="str">
        <f>I20</f>
        <v xml:space="preserve"> </v>
      </c>
      <c r="J162">
        <f>IF(COUNT(I20)=0,H20,I20)+D23/100*(IF(J77=0,VLOOKUP(D22,données!$DG$5:$DK$11,5,0),VLOOKUP(D22,données!$DG$13:$DK$19,5,0)))-VLOOKUP(ROUND(IF(COUNT(I20)=0,H20,I20),0),données!$DA$23:$DC$72,3,0)</f>
        <v>4.25</v>
      </c>
      <c r="K162" s="109" t="str">
        <f>K20</f>
        <v xml:space="preserve"> </v>
      </c>
      <c r="L162">
        <f>IF(COUNT(K20)=0,J20,K20)+F23/100*(IF(L77=0,VLOOKUP(F22,données!$DG$5:$DK$11,5,0),VLOOKUP(F22,données!$DG$13:$DK$19,5,0)))-VLOOKUP(ROUND(IF(COUNT(K20)=0,J20,K20),0),données!$DA$23:$DC$72,3,0)</f>
        <v>4.05</v>
      </c>
      <c r="M162" s="109" t="str">
        <f>M20</f>
        <v xml:space="preserve"> </v>
      </c>
      <c r="N162">
        <f>IF(COUNT(M20)=0,L20,M20)+H23/100*(IF(N77=0,VLOOKUP(H22,données!$DG$5:$DK$11,5,0),VLOOKUP(H22,données!$DG$13:$DK$19,5,0)))-VLOOKUP(ROUND(IF(COUNT(M20)=0,L20,M20),0),données!$DA$23:$DC$72,3,0)</f>
        <v>3.8499999999999996</v>
      </c>
      <c r="O162" s="109" t="str">
        <f>O20</f>
        <v xml:space="preserve"> </v>
      </c>
      <c r="P162">
        <f>IF(COUNT(O20)=0,N20,O20)+J23/100*(IF(P77=0,VLOOKUP(J22,données!$DG$5:$DK$11,5,0),VLOOKUP(J22,données!$DG$13:$DK$19,5,0)))-VLOOKUP(ROUND(IF(COUNT(O20)=0,N20,O20),0),données!$DA$23:$DC$72,3,0)</f>
        <v>3.6499999999999995</v>
      </c>
      <c r="Q162" s="109" t="str">
        <f>Q20</f>
        <v xml:space="preserve"> </v>
      </c>
      <c r="R162">
        <f>IF(COUNT(Q20)=0,P20,Q20)+L23/100*(IF(R77=0,VLOOKUP(L22,données!$DG$5:$DK$11,5,0),VLOOKUP(L22,données!$DG$13:$DK$19,5,0)))-VLOOKUP(ROUND(IF(COUNT(Q20)=0,P20,Q20),0),données!$DA$23:$DC$72,3,0)</f>
        <v>3.4499999999999993</v>
      </c>
      <c r="S162" s="109" t="str">
        <f>S20</f>
        <v xml:space="preserve"> </v>
      </c>
      <c r="T162">
        <f>IF(COUNT(S20)=0,R20,S20)+N23/100*(IF(T77=0,VLOOKUP(N22,données!$DG$5:$DK$11,5,0),VLOOKUP(N22,données!$DG$13:$DK$19,5,0)))-VLOOKUP(ROUND(IF(COUNT(S20)=0,R20,S20),0),données!$DA$23:$DC$72,3,0)</f>
        <v>3.2999999999999994</v>
      </c>
      <c r="U162" s="109" t="str">
        <f>U20</f>
        <v xml:space="preserve"> </v>
      </c>
      <c r="V162">
        <f>IF(COUNT(U20)=0,T20,U20)+P23/100*(IF(V77=0,VLOOKUP(P22,données!$DG$5:$DK$11,5,0),VLOOKUP(P22,données!$DG$13:$DK$19,5,0)))-VLOOKUP(ROUND(IF(COUNT(U20)=0,T20,U20),0),données!$DA$23:$DC$72,3,0)</f>
        <v>3.1499999999999995</v>
      </c>
      <c r="W162" s="109" t="str">
        <f>W20</f>
        <v xml:space="preserve"> </v>
      </c>
      <c r="X162">
        <f>IF(COUNT(W20)=0,V20,W20)+R23/100*(IF(X77=0,VLOOKUP(R22,données!$DG$5:$DK$11,5,0),VLOOKUP(R22,données!$DG$13:$DK$19,5,0)))-VLOOKUP(ROUND(IF(COUNT(W20)=0,V20,W20),0),données!$DA$23:$DC$72,3,0)</f>
        <v>2.9999999999999996</v>
      </c>
      <c r="Y162" s="109" t="str">
        <f>Y20</f>
        <v xml:space="preserve"> </v>
      </c>
      <c r="Z162">
        <f>IF(COUNT(Y20)=0,X20,Y20)+T23/100*(IF(Z77=0,VLOOKUP(T22,données!$DG$5:$DK$11,5,0),VLOOKUP(T22,données!$DG$13:$DK$19,5,0)))-VLOOKUP(ROUND(IF(COUNT(Y20)=0,X20,Y20),0),données!$DA$23:$DC$72,3,0)</f>
        <v>2.8499999999999996</v>
      </c>
      <c r="AA162" s="109">
        <f>AA20</f>
        <v>0</v>
      </c>
      <c r="AB162">
        <f>IF(COUNT(AA20)=0,Z20,AA20)+V23/100*(IF(AB77=0,VLOOKUP(V22,données!$DG$5:$DK$11,5,0),VLOOKUP(V22,données!$DG$13:$DK$19,5,0)))-VLOOKUP(ROUND(IF(COUNT(AA20)=0,Z20,AA20),0),données!$DA$23:$DC$72,3,0)</f>
        <v>2.6999999999999997</v>
      </c>
      <c r="AC162" s="109" t="str">
        <f>AC20</f>
        <v xml:space="preserve"> </v>
      </c>
      <c r="AD162">
        <f>IF(COUNT(AC20)=0,AB20,AC20)+X23/100*(IF(AD77=0,VLOOKUP(X22,données!$DG$5:$DK$11,5,0),VLOOKUP(X22,données!$DG$13:$DK$19,5,0)))-VLOOKUP(ROUND(IF(COUNT(AC20)=0,AB20,AC20),0),données!$DA$23:$DC$72,3,0)</f>
        <v>2.5499999999999998</v>
      </c>
      <c r="AE162" s="109" t="str">
        <f>AE20</f>
        <v xml:space="preserve"> </v>
      </c>
      <c r="AF162">
        <f>IF(COUNT(AE20)=0,AD20,AE20)+Z23/100*(IF(AF77=0,VLOOKUP(Z22,données!$DG$5:$DK$11,5,0),VLOOKUP(Z22,données!$DG$13:$DK$19,5,0)))-VLOOKUP(ROUND(IF(COUNT(AE20)=0,AD20,AE20),0),données!$DA$23:$DC$72,3,0)</f>
        <v>2.4</v>
      </c>
      <c r="AG162" s="109" t="str">
        <f>AG20</f>
        <v xml:space="preserve"> </v>
      </c>
      <c r="AH162">
        <f>IF(COUNT(AG20)=0,AF20,AG20)+AB23/100*(IF(AH77=0,VLOOKUP(AB22,données!$DG$5:$DK$11,5,0),VLOOKUP(AB22,données!$DG$13:$DK$19,5,0)))-VLOOKUP(ROUND(IF(COUNT(AG20)=0,AF20,AG20),0),données!$DA$23:$DC$72,3,0)</f>
        <v>2.2999999999999998</v>
      </c>
      <c r="AI162" s="109" t="str">
        <f>AI20</f>
        <v xml:space="preserve"> </v>
      </c>
      <c r="AJ162">
        <f>IF(COUNT(AI20)=0,AH20,AI20)+AD23/100*(IF(AJ77=0,VLOOKUP(AD22,données!$DG$5:$DK$11,5,0),VLOOKUP(AD22,données!$DG$13:$DK$19,5,0)))-VLOOKUP(ROUND(IF(COUNT(AI20)=0,AH20,AI20),0),données!$DA$23:$DC$72,3,0)</f>
        <v>2.1999999999999997</v>
      </c>
      <c r="AK162" s="109" t="str">
        <f>AK20</f>
        <v xml:space="preserve"> </v>
      </c>
    </row>
    <row r="163" spans="1:37">
      <c r="A163" t="s">
        <v>847</v>
      </c>
      <c r="C163" t="s">
        <v>140</v>
      </c>
      <c r="J163" s="109">
        <f>IF(OR(K18="",K18=" "),0,K18-J18)</f>
        <v>0</v>
      </c>
      <c r="L163" s="109">
        <f>IF(OR(M18="",M18=" "),IF(OR(J163="",J163=" "),0,J163),M18-L18)</f>
        <v>0</v>
      </c>
      <c r="N163" s="109">
        <f>IF(OR(O18="",O18=" "),IF(OR(L163="",L163=" "),0,L163),O18-N18)</f>
        <v>0</v>
      </c>
      <c r="P163" s="109">
        <f>IF(OR(Q18="",Q18=" "),IF(OR(N163="",N163=" "),0,N163),Q18-P18)</f>
        <v>0</v>
      </c>
      <c r="R163" s="109">
        <f>IF(OR(S18="",S18=" "),IF(OR(P163="",P163=" "),0,P163),S18-R18)</f>
        <v>0</v>
      </c>
      <c r="T163" s="109">
        <f>IF(OR(U18="",U18=" "),IF(OR(R163="",R163=" "),0,R163),U18-T18)</f>
        <v>0</v>
      </c>
      <c r="V163" s="109">
        <f>IF(OR(W18="",W18=" "),IF(OR(T163="",T163=" "),0,T163),W18-V18)</f>
        <v>0</v>
      </c>
      <c r="X163" s="109">
        <f>IF(OR(Y18="",Y18=" "),IF(OR(V163="",V163=" "),0,V163),Y18-X18)</f>
        <v>0</v>
      </c>
      <c r="Z163" s="109">
        <f>IF(OR(AA18="",AA18=" "),IF(OR(X163="",X163=" "),0,X163),AA18-Z18)</f>
        <v>0</v>
      </c>
      <c r="AB163" s="109">
        <f>IF(OR(AC18="",AC18=" "),IF(OR(Z163="",Z163=" "),0,Z163),AC18-AB18)</f>
        <v>0</v>
      </c>
      <c r="AD163" s="109">
        <f>IF(OR(AE18="",AE18=" "),IF(OR(AB163="",AB163=" "),0,AB163),AE18-AD18)</f>
        <v>0</v>
      </c>
      <c r="AF163" s="109">
        <f>IF(OR(AG18="",AG18=" "),IF(OR(AD163="",AD163=" "),0,AD163),AG18-AF18)</f>
        <v>0</v>
      </c>
      <c r="AH163" s="109">
        <f>IF(OR(AI18="",AI18=" "),IF(OR(AF163="",AF163=" "),0,AF163),AI18-AH18)</f>
        <v>0</v>
      </c>
      <c r="AJ163" s="109">
        <f>IF(OR(AK18="",AK18=" "),IF(OR(AH163="",AH163=" "),0,AH163),AK18-AJ18)</f>
        <v>0</v>
      </c>
    </row>
    <row r="164" spans="1:37">
      <c r="C164" t="s">
        <v>141</v>
      </c>
      <c r="J164" s="109">
        <f>IF(OR(K19="",K19=" "),0,K19-J19)</f>
        <v>0</v>
      </c>
      <c r="L164" s="109">
        <f>IF(OR(M19="",M19=" "),IF(OR(J164="",J164=" "),0,J164),M19-L19)</f>
        <v>0</v>
      </c>
      <c r="N164" s="109">
        <f>IF(OR(O19="",O19=" "),IF(OR(L164="",L164=" "),0,L164),O19-N19)</f>
        <v>0</v>
      </c>
      <c r="P164" s="109">
        <f>IF(OR(Q19="",Q19=" "),IF(OR(N164="",N164=" "),0,N164),Q19-P19)</f>
        <v>0</v>
      </c>
      <c r="R164" s="109">
        <f>IF(OR(S19="",S19=" "),IF(OR(P164="",P164=" "),0,P164),S19-R19)</f>
        <v>0</v>
      </c>
      <c r="T164" s="109">
        <f>IF(OR(U19="",U19=" "),IF(OR(R164="",R164=" "),0,R164),U19-T19)</f>
        <v>0</v>
      </c>
      <c r="V164" s="109">
        <f>IF(OR(W19="",W19=" "),IF(OR(T164="",T164=" "),0,T164),W19-V19)</f>
        <v>0</v>
      </c>
      <c r="X164" s="109">
        <f>IF(OR(Y19="",Y19=" "),IF(OR(V164="",V164=" "),0,V164),Y19-X19)</f>
        <v>0</v>
      </c>
      <c r="Z164" s="109">
        <f>IF(OR(AA19="",AA19=" "),IF(OR(X164="",X164=" "),0,X164),AA19-Z19)</f>
        <v>0</v>
      </c>
      <c r="AB164" s="109">
        <f>IF(OR(AC19="",AC19=" "),IF(OR(Z164="",Z164=" "),0,Z164),AC19-AB19)</f>
        <v>0</v>
      </c>
      <c r="AD164" s="109">
        <f>IF(OR(AE19="",AE19=" "),IF(OR(AB164="",AB164=" "),0,AB164),AE19-AD19)</f>
        <v>0</v>
      </c>
      <c r="AF164" s="109">
        <f>IF(OR(AG19="",AG19=" "),IF(OR(AD164="",AD164=" "),0,AD164),AG19-AF19)</f>
        <v>0</v>
      </c>
      <c r="AH164" s="109">
        <f>IF(OR(AI19="",AI19=" "),IF(OR(AF164="",AF164=" "),0,AF164),AI19-AH19)</f>
        <v>0</v>
      </c>
      <c r="AJ164" s="109">
        <f>IF(OR(AK19="",AK19=" "),IF(OR(AH164="",AH164=" "),0,AH164),AK19-AJ19)</f>
        <v>0</v>
      </c>
    </row>
    <row r="165" spans="1:37">
      <c r="C165" t="s">
        <v>142</v>
      </c>
      <c r="J165" s="109">
        <f>IF(OR(K20="",K20=" "),0,K20-J20)</f>
        <v>0</v>
      </c>
      <c r="L165" s="109">
        <f>IF(OR(M20="",M20=" "),IF(OR(J165="",J165=" "),0,J165),M20-L20)</f>
        <v>0</v>
      </c>
      <c r="N165" s="109">
        <f>IF(OR(O20="",O20=" "),IF(OR(L165="",L165=" "),0,L165),O20-N20)</f>
        <v>0</v>
      </c>
      <c r="P165" s="109">
        <f>IF(OR(Q20="",Q20=" "),IF(OR(N165="",N165=" "),0,N165),Q20-P20)</f>
        <v>0</v>
      </c>
      <c r="R165" s="109">
        <f>IF(OR(S20="",S20=" "),IF(OR(P165="",P165=" "),0,P165),S20-R20)</f>
        <v>0</v>
      </c>
      <c r="T165" s="109">
        <f>IF(OR(U20="",U20=" "),IF(OR(R165="",R165=" "),0,R165),U20-T20)</f>
        <v>0</v>
      </c>
      <c r="V165" s="109">
        <f>IF(OR(W20="",W20=" "),IF(OR(T165="",T165=" "),0,T165),W20-V20)</f>
        <v>0</v>
      </c>
      <c r="X165" s="109">
        <f>IF(OR(Y20="",Y20=" "),IF(OR(V165="",V165=" "),0,V165),Y20-X20)</f>
        <v>0</v>
      </c>
      <c r="Z165" s="109">
        <f>IF(OR(AA20="",AA20=" "),IF(OR(X165="",X165=" "),0,X165),AA20-Z20)</f>
        <v>0</v>
      </c>
      <c r="AB165" s="109">
        <f>IF(OR(AC20="",AC20=" "),IF(OR(Z165="",Z165=" "),0,Z165),AC20-AB20)</f>
        <v>0</v>
      </c>
      <c r="AD165" s="109">
        <f>IF(OR(AE20="",AE20=" "),IF(OR(AB165="",AB165=" "),0,AB165),AE20-AD20)</f>
        <v>0</v>
      </c>
      <c r="AF165" s="109">
        <f>IF(OR(AG20="",AG20=" "),IF(OR(AD165="",AD165=" "),0,AD165),AG20-AF20)</f>
        <v>0</v>
      </c>
      <c r="AH165" s="109">
        <f>IF(OR(AI20="",AI20=" "),IF(OR(AF165="",AF165=" "),0,AF165),AI20-AH20)</f>
        <v>0</v>
      </c>
      <c r="AJ165" s="109">
        <f>IF(OR(AK20="",AK20=" "),IF(OR(AH165="",AH165=" "),0,AH165),AK20-AJ20)</f>
        <v>0</v>
      </c>
    </row>
    <row r="166" spans="1:37">
      <c r="A166" t="s">
        <v>52</v>
      </c>
      <c r="C166" t="s">
        <v>140</v>
      </c>
      <c r="J166" s="109" t="s">
        <v>1</v>
      </c>
      <c r="L166" s="109">
        <f>L160+J163</f>
        <v>3.2499999999999996</v>
      </c>
      <c r="N166" s="109">
        <f>N160+L163</f>
        <v>3.0999999999999996</v>
      </c>
      <c r="P166" s="109">
        <f>P160+N163</f>
        <v>2.9499999999999997</v>
      </c>
      <c r="R166" s="109">
        <f>R160+P163</f>
        <v>2.8</v>
      </c>
      <c r="T166" s="109">
        <f>T160+R163</f>
        <v>2.65</v>
      </c>
      <c r="V166" s="109">
        <f>V160+T163</f>
        <v>2.5</v>
      </c>
      <c r="X166" s="109">
        <f>X160+V163</f>
        <v>2.35</v>
      </c>
      <c r="Z166" s="109">
        <f>Z160+X163</f>
        <v>2.25</v>
      </c>
      <c r="AB166" s="109">
        <f>AB160+Z163</f>
        <v>2.15</v>
      </c>
      <c r="AD166" s="109">
        <f>AD160+AB163</f>
        <v>2.0499999999999998</v>
      </c>
      <c r="AF166" s="109">
        <f>AF160+AD163</f>
        <v>1.9499999999999997</v>
      </c>
      <c r="AH166" s="109">
        <f>AH160+AF163</f>
        <v>1.8499999999999996</v>
      </c>
      <c r="AJ166" s="109">
        <f>AJ160+AH163</f>
        <v>1.7499999999999996</v>
      </c>
    </row>
    <row r="167" spans="1:37">
      <c r="C167" t="s">
        <v>141</v>
      </c>
      <c r="J167" s="109" t="s">
        <v>1</v>
      </c>
      <c r="L167" s="109">
        <f>L161+J164</f>
        <v>8.1000000000000014</v>
      </c>
      <c r="N167" s="109">
        <f t="shared" ref="N167:N168" si="21">N161+L164</f>
        <v>7.7000000000000011</v>
      </c>
      <c r="P167" s="109">
        <f t="shared" ref="P167:P168" si="22">P161+N164</f>
        <v>7.3000000000000007</v>
      </c>
      <c r="R167" s="109">
        <f t="shared" ref="R167:R168" si="23">R161+P164</f>
        <v>6.9500000000000011</v>
      </c>
      <c r="T167" s="109">
        <f t="shared" ref="T167:T168" si="24">T161+R164</f>
        <v>6.6000000000000014</v>
      </c>
      <c r="V167" s="109">
        <f t="shared" ref="V167:V168" si="25">V161+T164</f>
        <v>6.2500000000000018</v>
      </c>
      <c r="X167" s="109">
        <f t="shared" ref="X167:X168" si="26">X161+V164</f>
        <v>5.950000000000002</v>
      </c>
      <c r="Z167" s="109">
        <f t="shared" ref="Z167:Z168" si="27">Z161+X164</f>
        <v>5.6500000000000021</v>
      </c>
      <c r="AB167" s="109">
        <f t="shared" ref="AB167:AB168" si="28">AB161+Z164</f>
        <v>5.3500000000000023</v>
      </c>
      <c r="AD167" s="109">
        <f t="shared" ref="AD167:AD168" si="29">AD161+AB164</f>
        <v>5.1000000000000023</v>
      </c>
      <c r="AF167" s="109">
        <f t="shared" ref="AF167:AF168" si="30">AF161+AD164</f>
        <v>4.8500000000000023</v>
      </c>
      <c r="AH167" s="109">
        <f t="shared" ref="AH167:AH168" si="31">AH161+AF164</f>
        <v>4.6000000000000023</v>
      </c>
      <c r="AJ167" s="109">
        <f t="shared" ref="AJ167:AJ168" si="32">AJ161+AH164</f>
        <v>4.3500000000000023</v>
      </c>
    </row>
    <row r="168" spans="1:37">
      <c r="C168" t="s">
        <v>142</v>
      </c>
      <c r="J168" s="109" t="s">
        <v>1</v>
      </c>
      <c r="L168" s="109">
        <f>L162+J165</f>
        <v>4.05</v>
      </c>
      <c r="N168" s="109">
        <f t="shared" si="21"/>
        <v>3.8499999999999996</v>
      </c>
      <c r="P168" s="109">
        <f t="shared" si="22"/>
        <v>3.6499999999999995</v>
      </c>
      <c r="R168" s="109">
        <f t="shared" si="23"/>
        <v>3.4499999999999993</v>
      </c>
      <c r="T168" s="109">
        <f t="shared" si="24"/>
        <v>3.2999999999999994</v>
      </c>
      <c r="V168" s="109">
        <f t="shared" si="25"/>
        <v>3.1499999999999995</v>
      </c>
      <c r="X168" s="109">
        <f t="shared" si="26"/>
        <v>2.9999999999999996</v>
      </c>
      <c r="Z168" s="109">
        <f t="shared" si="27"/>
        <v>2.8499999999999996</v>
      </c>
      <c r="AB168" s="109">
        <f t="shared" si="28"/>
        <v>2.6999999999999997</v>
      </c>
      <c r="AD168" s="109">
        <f t="shared" si="29"/>
        <v>2.5499999999999998</v>
      </c>
      <c r="AF168" s="109">
        <f t="shared" si="30"/>
        <v>2.4</v>
      </c>
      <c r="AH168" s="109">
        <f t="shared" si="31"/>
        <v>2.2999999999999998</v>
      </c>
      <c r="AJ168" s="109">
        <f t="shared" si="32"/>
        <v>2.1999999999999997</v>
      </c>
    </row>
    <row r="170" spans="1:37">
      <c r="A170" t="s">
        <v>61</v>
      </c>
      <c r="B170" t="s">
        <v>45</v>
      </c>
      <c r="D170" t="s">
        <v>173</v>
      </c>
      <c r="E170" s="101" t="s">
        <v>169</v>
      </c>
      <c r="F170" t="s">
        <v>102</v>
      </c>
      <c r="G170" t="s">
        <v>199</v>
      </c>
      <c r="H170" t="s">
        <v>102</v>
      </c>
      <c r="I170" t="s">
        <v>102</v>
      </c>
      <c r="J170" t="s">
        <v>197</v>
      </c>
      <c r="K170" t="s">
        <v>198</v>
      </c>
      <c r="L170" t="s">
        <v>125</v>
      </c>
      <c r="M170" s="4">
        <v>1</v>
      </c>
    </row>
    <row r="171" spans="1:37">
      <c r="A171" t="s">
        <v>65</v>
      </c>
      <c r="B171" t="s">
        <v>46</v>
      </c>
      <c r="D171" t="s">
        <v>177</v>
      </c>
      <c r="E171" s="101" t="s">
        <v>36</v>
      </c>
      <c r="F171" t="s">
        <v>109</v>
      </c>
      <c r="G171" t="s">
        <v>0</v>
      </c>
      <c r="H171" t="s">
        <v>101</v>
      </c>
      <c r="I171" t="s">
        <v>204</v>
      </c>
      <c r="J171" t="s">
        <v>205</v>
      </c>
      <c r="K171" t="s">
        <v>206</v>
      </c>
      <c r="L171" t="s">
        <v>124</v>
      </c>
      <c r="M171" s="4">
        <v>2</v>
      </c>
    </row>
    <row r="172" spans="1:37">
      <c r="A172" t="s">
        <v>183</v>
      </c>
      <c r="B172" t="s">
        <v>178</v>
      </c>
      <c r="D172" t="s">
        <v>182</v>
      </c>
      <c r="E172" s="101" t="s">
        <v>181</v>
      </c>
      <c r="F172" t="s">
        <v>213</v>
      </c>
      <c r="G172" t="s">
        <v>218</v>
      </c>
      <c r="H172" t="s">
        <v>161</v>
      </c>
      <c r="I172" t="s">
        <v>214</v>
      </c>
      <c r="J172" t="s">
        <v>215</v>
      </c>
      <c r="K172" t="s">
        <v>216</v>
      </c>
      <c r="L172" t="s">
        <v>217</v>
      </c>
      <c r="M172" s="4">
        <v>3</v>
      </c>
    </row>
    <row r="173" spans="1:37">
      <c r="A173" t="s">
        <v>67</v>
      </c>
      <c r="B173" t="s">
        <v>47</v>
      </c>
      <c r="D173" t="s">
        <v>189</v>
      </c>
      <c r="E173" s="101" t="s">
        <v>187</v>
      </c>
      <c r="F173" t="s">
        <v>222</v>
      </c>
      <c r="G173" t="s">
        <v>227</v>
      </c>
      <c r="H173" t="s">
        <v>128</v>
      </c>
      <c r="I173" t="s">
        <v>223</v>
      </c>
      <c r="J173" t="s">
        <v>224</v>
      </c>
      <c r="K173" t="s">
        <v>225</v>
      </c>
      <c r="L173" t="s">
        <v>226</v>
      </c>
      <c r="M173" s="4">
        <v>4</v>
      </c>
    </row>
    <row r="174" spans="1:37">
      <c r="A174" t="s">
        <v>195</v>
      </c>
      <c r="B174" t="s">
        <v>190</v>
      </c>
      <c r="D174" t="s">
        <v>194</v>
      </c>
      <c r="E174" s="101" t="s">
        <v>29</v>
      </c>
      <c r="F174" t="s">
        <v>231</v>
      </c>
      <c r="G174" t="s">
        <v>235</v>
      </c>
      <c r="H174" t="s">
        <v>129</v>
      </c>
      <c r="J174" t="s">
        <v>232</v>
      </c>
      <c r="K174" t="s">
        <v>233</v>
      </c>
      <c r="L174" t="s">
        <v>234</v>
      </c>
      <c r="M174" s="4">
        <v>5</v>
      </c>
    </row>
    <row r="175" spans="1:37">
      <c r="A175" t="s">
        <v>203</v>
      </c>
      <c r="B175" t="s">
        <v>196</v>
      </c>
      <c r="D175" t="s">
        <v>202</v>
      </c>
      <c r="E175" s="101" t="s">
        <v>27</v>
      </c>
      <c r="F175" t="s">
        <v>238</v>
      </c>
      <c r="H175" t="s">
        <v>162</v>
      </c>
      <c r="J175" t="s">
        <v>239</v>
      </c>
      <c r="K175" t="s">
        <v>240</v>
      </c>
      <c r="L175" t="s">
        <v>241</v>
      </c>
      <c r="M175" s="4">
        <v>6</v>
      </c>
    </row>
    <row r="176" spans="1:37">
      <c r="A176" t="s">
        <v>211</v>
      </c>
      <c r="B176" t="s">
        <v>48</v>
      </c>
      <c r="D176" t="s">
        <v>210</v>
      </c>
      <c r="E176" s="101" t="s">
        <v>208</v>
      </c>
      <c r="F176" t="s">
        <v>246</v>
      </c>
      <c r="H176" t="s">
        <v>163</v>
      </c>
      <c r="J176" t="s">
        <v>247</v>
      </c>
      <c r="K176" t="s">
        <v>248</v>
      </c>
      <c r="L176" t="s">
        <v>249</v>
      </c>
      <c r="M176" s="4">
        <v>7</v>
      </c>
    </row>
    <row r="177" spans="1:16">
      <c r="A177" t="s">
        <v>221</v>
      </c>
      <c r="D177" t="s">
        <v>136</v>
      </c>
      <c r="E177" s="101" t="s">
        <v>219</v>
      </c>
      <c r="F177" t="s">
        <v>384</v>
      </c>
      <c r="H177" t="s">
        <v>133</v>
      </c>
      <c r="J177" t="s">
        <v>252</v>
      </c>
      <c r="K177" t="s">
        <v>253</v>
      </c>
      <c r="L177" t="s">
        <v>1</v>
      </c>
      <c r="M177" s="4">
        <v>8</v>
      </c>
    </row>
    <row r="178" spans="1:16">
      <c r="A178" t="s">
        <v>64</v>
      </c>
      <c r="D178" t="s">
        <v>230</v>
      </c>
      <c r="E178" s="101" t="s">
        <v>228</v>
      </c>
      <c r="H178" t="s">
        <v>121</v>
      </c>
      <c r="J178" t="s">
        <v>258</v>
      </c>
      <c r="K178" t="s">
        <v>259</v>
      </c>
      <c r="M178" s="4">
        <v>9</v>
      </c>
    </row>
    <row r="179" spans="1:16">
      <c r="A179" t="s">
        <v>62</v>
      </c>
      <c r="E179" s="101" t="s">
        <v>236</v>
      </c>
      <c r="H179" t="s">
        <v>164</v>
      </c>
      <c r="J179" t="s">
        <v>261</v>
      </c>
      <c r="K179" t="s">
        <v>262</v>
      </c>
    </row>
    <row r="180" spans="1:16">
      <c r="A180" t="s">
        <v>245</v>
      </c>
      <c r="E180" s="101" t="s">
        <v>243</v>
      </c>
      <c r="H180" t="s">
        <v>112</v>
      </c>
      <c r="J180" t="s">
        <v>267</v>
      </c>
      <c r="K180" t="s">
        <v>268</v>
      </c>
    </row>
    <row r="181" spans="1:16">
      <c r="A181" t="s">
        <v>251</v>
      </c>
      <c r="E181" s="101" t="s">
        <v>250</v>
      </c>
      <c r="H181" t="s">
        <v>165</v>
      </c>
      <c r="J181" t="s">
        <v>271</v>
      </c>
      <c r="K181" t="s">
        <v>272</v>
      </c>
    </row>
    <row r="182" spans="1:16">
      <c r="A182" t="s">
        <v>257</v>
      </c>
      <c r="E182" s="101" t="s">
        <v>255</v>
      </c>
      <c r="H182" t="s">
        <v>166</v>
      </c>
      <c r="J182" t="s">
        <v>275</v>
      </c>
      <c r="K182" t="s">
        <v>276</v>
      </c>
    </row>
    <row r="183" spans="1:16">
      <c r="E183" s="101" t="s">
        <v>260</v>
      </c>
      <c r="H183" t="s">
        <v>167</v>
      </c>
      <c r="J183" t="s">
        <v>278</v>
      </c>
      <c r="K183" t="s">
        <v>279</v>
      </c>
    </row>
    <row r="184" spans="1:16">
      <c r="E184" s="101" t="s">
        <v>263</v>
      </c>
      <c r="H184" t="s">
        <v>116</v>
      </c>
      <c r="J184" t="s">
        <v>282</v>
      </c>
      <c r="K184" t="s">
        <v>283</v>
      </c>
    </row>
    <row r="185" spans="1:16">
      <c r="E185" s="101" t="s">
        <v>270</v>
      </c>
      <c r="H185" t="s">
        <v>115</v>
      </c>
      <c r="J185" t="s">
        <v>291</v>
      </c>
      <c r="K185" t="s">
        <v>292</v>
      </c>
    </row>
    <row r="186" spans="1:16">
      <c r="E186" s="101" t="s">
        <v>274</v>
      </c>
      <c r="H186" t="s">
        <v>168</v>
      </c>
      <c r="J186" t="s">
        <v>299</v>
      </c>
      <c r="K186" t="s">
        <v>300</v>
      </c>
    </row>
    <row r="187" spans="1:16">
      <c r="E187" s="101" t="s">
        <v>277</v>
      </c>
      <c r="H187" t="s">
        <v>107</v>
      </c>
      <c r="J187" t="s">
        <v>302</v>
      </c>
      <c r="K187" t="s">
        <v>303</v>
      </c>
    </row>
    <row r="188" spans="1:16">
      <c r="E188" s="101" t="s">
        <v>281</v>
      </c>
      <c r="J188" t="s">
        <v>305</v>
      </c>
      <c r="K188" t="s">
        <v>306</v>
      </c>
    </row>
    <row r="189" spans="1:16">
      <c r="E189" s="101" t="s">
        <v>290</v>
      </c>
      <c r="J189" t="s">
        <v>307</v>
      </c>
      <c r="K189" t="s">
        <v>120</v>
      </c>
      <c r="P189" t="s">
        <v>1</v>
      </c>
    </row>
    <row r="190" spans="1:16">
      <c r="E190" s="101" t="s">
        <v>298</v>
      </c>
      <c r="J190" t="s">
        <v>309</v>
      </c>
      <c r="K190" t="s">
        <v>310</v>
      </c>
    </row>
    <row r="191" spans="1:16">
      <c r="E191" s="101" t="s">
        <v>301</v>
      </c>
      <c r="J191" t="s">
        <v>311</v>
      </c>
      <c r="K191" t="s">
        <v>312</v>
      </c>
    </row>
    <row r="192" spans="1:16">
      <c r="E192" s="101" t="s">
        <v>304</v>
      </c>
      <c r="J192" t="s">
        <v>313</v>
      </c>
      <c r="K192" t="s">
        <v>314</v>
      </c>
    </row>
    <row r="193" spans="5:11">
      <c r="E193" s="101" t="s">
        <v>35</v>
      </c>
      <c r="J193" t="s">
        <v>316</v>
      </c>
      <c r="K193" t="s">
        <v>317</v>
      </c>
    </row>
    <row r="194" spans="5:11">
      <c r="E194" s="101" t="s">
        <v>308</v>
      </c>
      <c r="J194" t="s">
        <v>319</v>
      </c>
      <c r="K194" t="s">
        <v>320</v>
      </c>
    </row>
    <row r="195" spans="5:11">
      <c r="E195" s="101" t="s">
        <v>33</v>
      </c>
      <c r="J195" t="s">
        <v>322</v>
      </c>
      <c r="K195" t="s">
        <v>323</v>
      </c>
    </row>
    <row r="196" spans="5:11">
      <c r="E196" s="182" t="s">
        <v>997</v>
      </c>
      <c r="J196" t="s">
        <v>325</v>
      </c>
      <c r="K196" t="s">
        <v>326</v>
      </c>
    </row>
    <row r="197" spans="5:11">
      <c r="E197" s="101" t="s">
        <v>32</v>
      </c>
      <c r="J197" t="s">
        <v>328</v>
      </c>
      <c r="K197" t="s">
        <v>329</v>
      </c>
    </row>
    <row r="198" spans="5:11">
      <c r="E198" s="101" t="s">
        <v>315</v>
      </c>
      <c r="J198" t="s">
        <v>331</v>
      </c>
      <c r="K198" t="s">
        <v>332</v>
      </c>
    </row>
    <row r="199" spans="5:11">
      <c r="E199" s="101" t="s">
        <v>318</v>
      </c>
      <c r="J199" t="s">
        <v>333</v>
      </c>
      <c r="K199" t="s">
        <v>334</v>
      </c>
    </row>
    <row r="200" spans="5:11">
      <c r="E200" s="101" t="s">
        <v>321</v>
      </c>
      <c r="J200" t="s">
        <v>335</v>
      </c>
      <c r="K200" t="s">
        <v>336</v>
      </c>
    </row>
    <row r="201" spans="5:11">
      <c r="E201" s="101" t="s">
        <v>324</v>
      </c>
      <c r="J201" t="s">
        <v>337</v>
      </c>
      <c r="K201" t="s">
        <v>338</v>
      </c>
    </row>
    <row r="202" spans="5:11">
      <c r="E202" s="182" t="s">
        <v>1010</v>
      </c>
      <c r="J202" t="s">
        <v>340</v>
      </c>
      <c r="K202" t="s">
        <v>341</v>
      </c>
    </row>
    <row r="203" spans="5:11">
      <c r="E203" s="182" t="s">
        <v>1011</v>
      </c>
      <c r="J203" t="s">
        <v>342</v>
      </c>
      <c r="K203" t="s">
        <v>343</v>
      </c>
    </row>
    <row r="204" spans="5:11">
      <c r="E204" s="101" t="s">
        <v>327</v>
      </c>
      <c r="J204" t="s">
        <v>345</v>
      </c>
      <c r="K204" t="s">
        <v>346</v>
      </c>
    </row>
    <row r="205" spans="5:11">
      <c r="E205" s="101" t="s">
        <v>330</v>
      </c>
      <c r="J205" t="s">
        <v>348</v>
      </c>
      <c r="K205" t="s">
        <v>349</v>
      </c>
    </row>
    <row r="206" spans="5:11">
      <c r="E206" s="101" t="s">
        <v>31</v>
      </c>
      <c r="J206" t="s">
        <v>351</v>
      </c>
      <c r="K206" t="s">
        <v>352</v>
      </c>
    </row>
    <row r="207" spans="5:11">
      <c r="E207" s="182" t="s">
        <v>998</v>
      </c>
      <c r="J207" t="s">
        <v>354</v>
      </c>
      <c r="K207" t="s">
        <v>355</v>
      </c>
    </row>
    <row r="208" spans="5:11">
      <c r="E208" s="101" t="s">
        <v>34</v>
      </c>
      <c r="J208" t="s">
        <v>356</v>
      </c>
      <c r="K208" t="s">
        <v>357</v>
      </c>
    </row>
    <row r="209" spans="5:11">
      <c r="E209" s="101" t="s">
        <v>30</v>
      </c>
      <c r="J209" t="s">
        <v>359</v>
      </c>
      <c r="K209" t="s">
        <v>123</v>
      </c>
    </row>
    <row r="210" spans="5:11">
      <c r="E210" s="101" t="s">
        <v>339</v>
      </c>
      <c r="J210" t="s">
        <v>361</v>
      </c>
      <c r="K210" t="s">
        <v>362</v>
      </c>
    </row>
    <row r="211" spans="5:11">
      <c r="E211" s="101" t="s">
        <v>26</v>
      </c>
      <c r="J211" t="s">
        <v>363</v>
      </c>
      <c r="K211" t="s">
        <v>364</v>
      </c>
    </row>
    <row r="212" spans="5:11">
      <c r="E212" s="101" t="s">
        <v>344</v>
      </c>
      <c r="J212" t="s">
        <v>365</v>
      </c>
      <c r="K212" t="s">
        <v>366</v>
      </c>
    </row>
    <row r="213" spans="5:11">
      <c r="E213" s="101" t="s">
        <v>347</v>
      </c>
      <c r="J213" t="s">
        <v>368</v>
      </c>
      <c r="K213" t="s">
        <v>369</v>
      </c>
    </row>
    <row r="214" spans="5:11">
      <c r="E214" s="101" t="s">
        <v>350</v>
      </c>
      <c r="J214" t="s">
        <v>371</v>
      </c>
      <c r="K214" t="s">
        <v>372</v>
      </c>
    </row>
    <row r="215" spans="5:11">
      <c r="E215" s="101" t="s">
        <v>353</v>
      </c>
      <c r="J215" t="s">
        <v>374</v>
      </c>
      <c r="K215" t="s">
        <v>375</v>
      </c>
    </row>
    <row r="216" spans="5:11">
      <c r="E216" s="101" t="s">
        <v>28</v>
      </c>
      <c r="J216" t="s">
        <v>377</v>
      </c>
      <c r="K216" t="s">
        <v>378</v>
      </c>
    </row>
    <row r="217" spans="5:11">
      <c r="E217" s="101" t="s">
        <v>358</v>
      </c>
      <c r="J217" t="s">
        <v>380</v>
      </c>
      <c r="K217" t="s">
        <v>381</v>
      </c>
    </row>
    <row r="218" spans="5:11">
      <c r="E218" s="101" t="s">
        <v>360</v>
      </c>
      <c r="J218" t="s">
        <v>382</v>
      </c>
      <c r="K218" t="s">
        <v>383</v>
      </c>
    </row>
    <row r="219" spans="5:11">
      <c r="E219" s="101" t="s">
        <v>24</v>
      </c>
      <c r="J219" t="s">
        <v>385</v>
      </c>
      <c r="K219" t="s">
        <v>386</v>
      </c>
    </row>
    <row r="220" spans="5:11">
      <c r="E220" s="101" t="s">
        <v>23</v>
      </c>
      <c r="J220" t="s">
        <v>388</v>
      </c>
      <c r="K220" t="s">
        <v>389</v>
      </c>
    </row>
    <row r="221" spans="5:11">
      <c r="E221" s="101" t="s">
        <v>367</v>
      </c>
      <c r="J221" t="s">
        <v>392</v>
      </c>
      <c r="K221" t="s">
        <v>393</v>
      </c>
    </row>
    <row r="222" spans="5:11">
      <c r="E222" s="101" t="s">
        <v>370</v>
      </c>
      <c r="J222" t="s">
        <v>394</v>
      </c>
      <c r="K222" t="s">
        <v>395</v>
      </c>
    </row>
    <row r="223" spans="5:11">
      <c r="E223" s="101" t="s">
        <v>373</v>
      </c>
      <c r="J223" t="s">
        <v>396</v>
      </c>
      <c r="K223" t="s">
        <v>397</v>
      </c>
    </row>
    <row r="224" spans="5:11">
      <c r="E224" s="101" t="s">
        <v>376</v>
      </c>
      <c r="J224" t="s">
        <v>399</v>
      </c>
      <c r="K224" t="s">
        <v>400</v>
      </c>
    </row>
    <row r="225" spans="5:11">
      <c r="E225" s="101" t="s">
        <v>379</v>
      </c>
      <c r="J225" t="s">
        <v>401</v>
      </c>
      <c r="K225" t="s">
        <v>402</v>
      </c>
    </row>
    <row r="226" spans="5:11">
      <c r="E226" s="101" t="s">
        <v>38</v>
      </c>
      <c r="J226" t="s">
        <v>403</v>
      </c>
      <c r="K226" t="s">
        <v>404</v>
      </c>
    </row>
    <row r="227" spans="5:11">
      <c r="E227" s="101" t="s">
        <v>384</v>
      </c>
      <c r="J227" t="s">
        <v>407</v>
      </c>
      <c r="K227" t="s">
        <v>408</v>
      </c>
    </row>
    <row r="228" spans="5:11">
      <c r="E228" s="101" t="s">
        <v>25</v>
      </c>
      <c r="J228" t="s">
        <v>413</v>
      </c>
      <c r="K228" t="s">
        <v>414</v>
      </c>
    </row>
    <row r="229" spans="5:11">
      <c r="E229" s="101" t="s">
        <v>391</v>
      </c>
      <c r="J229" t="s">
        <v>418</v>
      </c>
      <c r="K229" t="s">
        <v>419</v>
      </c>
    </row>
    <row r="230" spans="5:11">
      <c r="E230" s="101" t="s">
        <v>39</v>
      </c>
      <c r="J230" t="s">
        <v>423</v>
      </c>
      <c r="K230" t="s">
        <v>424</v>
      </c>
    </row>
    <row r="231" spans="5:11">
      <c r="E231" s="101" t="s">
        <v>37</v>
      </c>
      <c r="J231" t="s">
        <v>426</v>
      </c>
      <c r="K231" t="s">
        <v>427</v>
      </c>
    </row>
    <row r="232" spans="5:11">
      <c r="E232" s="101" t="s">
        <v>398</v>
      </c>
      <c r="J232" t="s">
        <v>428</v>
      </c>
      <c r="K232" t="s">
        <v>429</v>
      </c>
    </row>
    <row r="233" spans="5:11">
      <c r="E233" s="101" t="s">
        <v>43</v>
      </c>
      <c r="J233" t="s">
        <v>432</v>
      </c>
      <c r="K233" t="s">
        <v>433</v>
      </c>
    </row>
    <row r="234" spans="5:11">
      <c r="J234" t="s">
        <v>434</v>
      </c>
      <c r="K234" t="s">
        <v>435</v>
      </c>
    </row>
    <row r="235" spans="5:11">
      <c r="J235" t="s">
        <v>436</v>
      </c>
      <c r="K235" t="s">
        <v>437</v>
      </c>
    </row>
    <row r="236" spans="5:11">
      <c r="J236" t="s">
        <v>438</v>
      </c>
      <c r="K236" t="s">
        <v>439</v>
      </c>
    </row>
    <row r="237" spans="5:11">
      <c r="J237" t="s">
        <v>441</v>
      </c>
      <c r="K237" t="s">
        <v>442</v>
      </c>
    </row>
    <row r="238" spans="5:11">
      <c r="J238" t="s">
        <v>443</v>
      </c>
      <c r="K238" t="s">
        <v>444</v>
      </c>
    </row>
    <row r="239" spans="5:11">
      <c r="J239" t="s">
        <v>446</v>
      </c>
      <c r="K239" t="s">
        <v>447</v>
      </c>
    </row>
    <row r="240" spans="5:11">
      <c r="J240" t="s">
        <v>449</v>
      </c>
      <c r="K240" t="s">
        <v>450</v>
      </c>
    </row>
    <row r="241" spans="10:11">
      <c r="J241" t="s">
        <v>451</v>
      </c>
      <c r="K241" t="s">
        <v>452</v>
      </c>
    </row>
    <row r="242" spans="10:11">
      <c r="J242" t="s">
        <v>453</v>
      </c>
      <c r="K242" t="s">
        <v>454</v>
      </c>
    </row>
    <row r="243" spans="10:11">
      <c r="J243" t="s">
        <v>455</v>
      </c>
      <c r="K243" t="s">
        <v>456</v>
      </c>
    </row>
    <row r="244" spans="10:11">
      <c r="J244" t="s">
        <v>457</v>
      </c>
      <c r="K244" t="s">
        <v>458</v>
      </c>
    </row>
    <row r="245" spans="10:11">
      <c r="J245" t="s">
        <v>460</v>
      </c>
      <c r="K245" t="s">
        <v>461</v>
      </c>
    </row>
    <row r="246" spans="10:11">
      <c r="J246" t="s">
        <v>462</v>
      </c>
      <c r="K246" t="s">
        <v>463</v>
      </c>
    </row>
    <row r="247" spans="10:11">
      <c r="J247" t="s">
        <v>464</v>
      </c>
      <c r="K247" t="s">
        <v>465</v>
      </c>
    </row>
    <row r="248" spans="10:11">
      <c r="J248" t="s">
        <v>467</v>
      </c>
      <c r="K248" t="s">
        <v>468</v>
      </c>
    </row>
    <row r="249" spans="10:11">
      <c r="J249" t="s">
        <v>469</v>
      </c>
      <c r="K249" t="s">
        <v>470</v>
      </c>
    </row>
    <row r="250" spans="10:11">
      <c r="J250" t="s">
        <v>471</v>
      </c>
      <c r="K250" t="s">
        <v>472</v>
      </c>
    </row>
    <row r="251" spans="10:11">
      <c r="J251" t="s">
        <v>473</v>
      </c>
      <c r="K251" t="s">
        <v>474</v>
      </c>
    </row>
    <row r="252" spans="10:11">
      <c r="J252" t="s">
        <v>475</v>
      </c>
      <c r="K252" t="s">
        <v>476</v>
      </c>
    </row>
    <row r="253" spans="10:11">
      <c r="J253" t="s">
        <v>477</v>
      </c>
      <c r="K253" t="s">
        <v>478</v>
      </c>
    </row>
    <row r="254" spans="10:11">
      <c r="J254" t="s">
        <v>480</v>
      </c>
      <c r="K254" t="s">
        <v>481</v>
      </c>
    </row>
    <row r="255" spans="10:11">
      <c r="J255" t="s">
        <v>482</v>
      </c>
      <c r="K255" t="s">
        <v>483</v>
      </c>
    </row>
    <row r="256" spans="10:11">
      <c r="J256" t="s">
        <v>484</v>
      </c>
      <c r="K256" t="s">
        <v>485</v>
      </c>
    </row>
    <row r="257" spans="10:11">
      <c r="J257" t="s">
        <v>486</v>
      </c>
      <c r="K257" t="s">
        <v>487</v>
      </c>
    </row>
    <row r="258" spans="10:11">
      <c r="J258" t="s">
        <v>488</v>
      </c>
      <c r="K258" t="s">
        <v>489</v>
      </c>
    </row>
    <row r="259" spans="10:11">
      <c r="J259" t="s">
        <v>490</v>
      </c>
      <c r="K259" t="s">
        <v>491</v>
      </c>
    </row>
    <row r="260" spans="10:11">
      <c r="J260" t="s">
        <v>492</v>
      </c>
      <c r="K260" t="s">
        <v>493</v>
      </c>
    </row>
    <row r="261" spans="10:11">
      <c r="J261" t="s">
        <v>494</v>
      </c>
      <c r="K261" t="s">
        <v>495</v>
      </c>
    </row>
    <row r="262" spans="10:11">
      <c r="J262" t="s">
        <v>496</v>
      </c>
      <c r="K262" t="s">
        <v>497</v>
      </c>
    </row>
    <row r="263" spans="10:11">
      <c r="J263" t="s">
        <v>498</v>
      </c>
      <c r="K263" t="s">
        <v>499</v>
      </c>
    </row>
    <row r="264" spans="10:11">
      <c r="J264" t="s">
        <v>500</v>
      </c>
      <c r="K264" t="s">
        <v>501</v>
      </c>
    </row>
    <row r="265" spans="10:11">
      <c r="J265" t="s">
        <v>502</v>
      </c>
      <c r="K265" t="s">
        <v>503</v>
      </c>
    </row>
    <row r="266" spans="10:11">
      <c r="J266" t="s">
        <v>504</v>
      </c>
      <c r="K266" t="s">
        <v>505</v>
      </c>
    </row>
    <row r="267" spans="10:11">
      <c r="J267" t="s">
        <v>506</v>
      </c>
      <c r="K267" t="s">
        <v>507</v>
      </c>
    </row>
    <row r="268" spans="10:11">
      <c r="J268" t="s">
        <v>509</v>
      </c>
      <c r="K268" t="s">
        <v>510</v>
      </c>
    </row>
    <row r="269" spans="10:11">
      <c r="J269" t="s">
        <v>511</v>
      </c>
      <c r="K269" t="s">
        <v>512</v>
      </c>
    </row>
  </sheetData>
  <sheetProtection selectLockedCells="1" selectUnlockedCells="1"/>
  <mergeCells count="278">
    <mergeCell ref="V3:W3"/>
    <mergeCell ref="X3:Y3"/>
    <mergeCell ref="Z3:AA3"/>
    <mergeCell ref="AB3:AC3"/>
    <mergeCell ref="AD3:AE3"/>
    <mergeCell ref="AF3:AG3"/>
    <mergeCell ref="AH3:AI3"/>
    <mergeCell ref="AJ3:AK3"/>
    <mergeCell ref="D3:E3"/>
    <mergeCell ref="F3:G3"/>
    <mergeCell ref="H3:I3"/>
    <mergeCell ref="J3:K3"/>
    <mergeCell ref="L3:M3"/>
    <mergeCell ref="N3:O3"/>
    <mergeCell ref="P3:Q3"/>
    <mergeCell ref="R3:S3"/>
    <mergeCell ref="T3:U3"/>
    <mergeCell ref="Z11:AA11"/>
    <mergeCell ref="AB11:AC11"/>
    <mergeCell ref="AD11:AE11"/>
    <mergeCell ref="AF11:AG11"/>
    <mergeCell ref="AH11:AI11"/>
    <mergeCell ref="AJ11:AK11"/>
    <mergeCell ref="H11:I11"/>
    <mergeCell ref="J11:K11"/>
    <mergeCell ref="L11:M11"/>
    <mergeCell ref="N11:O11"/>
    <mergeCell ref="P11:Q11"/>
    <mergeCell ref="R11:S11"/>
    <mergeCell ref="T11:U11"/>
    <mergeCell ref="V11:W11"/>
    <mergeCell ref="X11:Y11"/>
    <mergeCell ref="AB1:AC1"/>
    <mergeCell ref="AD1:AE1"/>
    <mergeCell ref="AF1:AG1"/>
    <mergeCell ref="AH1:AI1"/>
    <mergeCell ref="AJ1:AK1"/>
    <mergeCell ref="D2:E2"/>
    <mergeCell ref="F2:G2"/>
    <mergeCell ref="H2:I2"/>
    <mergeCell ref="J2:K2"/>
    <mergeCell ref="L2:M2"/>
    <mergeCell ref="P1:Q1"/>
    <mergeCell ref="R1:S1"/>
    <mergeCell ref="T1:U1"/>
    <mergeCell ref="V1:W1"/>
    <mergeCell ref="X1:Y1"/>
    <mergeCell ref="Z1:AA1"/>
    <mergeCell ref="D1:E1"/>
    <mergeCell ref="F1:G1"/>
    <mergeCell ref="H1:I1"/>
    <mergeCell ref="J1:K1"/>
    <mergeCell ref="L1:M1"/>
    <mergeCell ref="N1:O1"/>
    <mergeCell ref="Z2:AA2"/>
    <mergeCell ref="AB2:AC2"/>
    <mergeCell ref="AD2:AE2"/>
    <mergeCell ref="AF2:AG2"/>
    <mergeCell ref="AH2:AI2"/>
    <mergeCell ref="AJ2:AK2"/>
    <mergeCell ref="N2:O2"/>
    <mergeCell ref="P2:Q2"/>
    <mergeCell ref="R2:S2"/>
    <mergeCell ref="T2:U2"/>
    <mergeCell ref="V2:W2"/>
    <mergeCell ref="X2:Y2"/>
    <mergeCell ref="AB4:AC4"/>
    <mergeCell ref="AD4:AE4"/>
    <mergeCell ref="AF4:AG4"/>
    <mergeCell ref="AH4:AI4"/>
    <mergeCell ref="AJ4:AK4"/>
    <mergeCell ref="D21:E21"/>
    <mergeCell ref="F21:G21"/>
    <mergeCell ref="H21:I21"/>
    <mergeCell ref="J21:K21"/>
    <mergeCell ref="L21:M21"/>
    <mergeCell ref="P4:Q4"/>
    <mergeCell ref="R4:S4"/>
    <mergeCell ref="T4:U4"/>
    <mergeCell ref="V4:W4"/>
    <mergeCell ref="X4:Y4"/>
    <mergeCell ref="Z4:AA4"/>
    <mergeCell ref="D4:E4"/>
    <mergeCell ref="F4:G4"/>
    <mergeCell ref="H4:I4"/>
    <mergeCell ref="J4:K4"/>
    <mergeCell ref="L4:M4"/>
    <mergeCell ref="N4:O4"/>
    <mergeCell ref="D11:E11"/>
    <mergeCell ref="F11:G11"/>
    <mergeCell ref="V22:W22"/>
    <mergeCell ref="AN21:AO21"/>
    <mergeCell ref="D22:E22"/>
    <mergeCell ref="F22:G22"/>
    <mergeCell ref="H22:I22"/>
    <mergeCell ref="J22:K22"/>
    <mergeCell ref="L22:M22"/>
    <mergeCell ref="N22:O22"/>
    <mergeCell ref="P22:Q22"/>
    <mergeCell ref="R22:S22"/>
    <mergeCell ref="T22:U22"/>
    <mergeCell ref="Z21:AA21"/>
    <mergeCell ref="AB21:AC21"/>
    <mergeCell ref="AD21:AE21"/>
    <mergeCell ref="AF21:AG21"/>
    <mergeCell ref="AH21:AI21"/>
    <mergeCell ref="AJ21:AK21"/>
    <mergeCell ref="N21:O21"/>
    <mergeCell ref="P21:Q21"/>
    <mergeCell ref="R21:S21"/>
    <mergeCell ref="T21:U21"/>
    <mergeCell ref="V21:W21"/>
    <mergeCell ref="X21:Y21"/>
    <mergeCell ref="AH22:AI22"/>
    <mergeCell ref="D24:E24"/>
    <mergeCell ref="F24:G24"/>
    <mergeCell ref="H24:I24"/>
    <mergeCell ref="J24:K24"/>
    <mergeCell ref="L24:M24"/>
    <mergeCell ref="N24:O24"/>
    <mergeCell ref="T23:U23"/>
    <mergeCell ref="V23:W23"/>
    <mergeCell ref="X23:Y23"/>
    <mergeCell ref="D23:E23"/>
    <mergeCell ref="F23:G23"/>
    <mergeCell ref="H23:I23"/>
    <mergeCell ref="J23:K23"/>
    <mergeCell ref="L23:M23"/>
    <mergeCell ref="N23:O23"/>
    <mergeCell ref="P23:Q23"/>
    <mergeCell ref="R23:S23"/>
    <mergeCell ref="AB24:AC24"/>
    <mergeCell ref="X22:Y22"/>
    <mergeCell ref="Z22:AA22"/>
    <mergeCell ref="AB22:AC22"/>
    <mergeCell ref="AD22:AE22"/>
    <mergeCell ref="AF22:AG22"/>
    <mergeCell ref="AF23:AG23"/>
    <mergeCell ref="AH23:AI23"/>
    <mergeCell ref="AJ23:AK23"/>
    <mergeCell ref="Z23:AA23"/>
    <mergeCell ref="AB23:AC23"/>
    <mergeCell ref="AD23:AE23"/>
    <mergeCell ref="AD24:AE24"/>
    <mergeCell ref="AF24:AG24"/>
    <mergeCell ref="AH24:AI24"/>
    <mergeCell ref="AJ24:AK24"/>
    <mergeCell ref="AJ22:AK22"/>
    <mergeCell ref="B11:C11"/>
    <mergeCell ref="AD71:AE71"/>
    <mergeCell ref="AF71:AG71"/>
    <mergeCell ref="AH71:AI71"/>
    <mergeCell ref="AJ71:AK71"/>
    <mergeCell ref="P71:Q71"/>
    <mergeCell ref="R71:S71"/>
    <mergeCell ref="T71:U71"/>
    <mergeCell ref="V71:W71"/>
    <mergeCell ref="X71:Y71"/>
    <mergeCell ref="D71:E71"/>
    <mergeCell ref="F71:G71"/>
    <mergeCell ref="H71:I71"/>
    <mergeCell ref="J71:K71"/>
    <mergeCell ref="L71:M71"/>
    <mergeCell ref="AB71:AC71"/>
    <mergeCell ref="N71:O71"/>
    <mergeCell ref="R24:S24"/>
    <mergeCell ref="T24:U24"/>
    <mergeCell ref="V24:W24"/>
    <mergeCell ref="X24:Y24"/>
    <mergeCell ref="Z24:AA24"/>
    <mergeCell ref="P24:Q24"/>
    <mergeCell ref="Z71:AA71"/>
    <mergeCell ref="A7:B7"/>
    <mergeCell ref="D5:E5"/>
    <mergeCell ref="D6:E6"/>
    <mergeCell ref="D7:E7"/>
    <mergeCell ref="D8:E8"/>
    <mergeCell ref="D9:E9"/>
    <mergeCell ref="D10:E10"/>
    <mergeCell ref="F5:G5"/>
    <mergeCell ref="F6:G6"/>
    <mergeCell ref="F7:G7"/>
    <mergeCell ref="F8:G8"/>
    <mergeCell ref="F9:G9"/>
    <mergeCell ref="F10:G10"/>
    <mergeCell ref="H5:I5"/>
    <mergeCell ref="H6:I6"/>
    <mergeCell ref="H7:I7"/>
    <mergeCell ref="H8:I8"/>
    <mergeCell ref="H9:I9"/>
    <mergeCell ref="H10:I10"/>
    <mergeCell ref="J5:K5"/>
    <mergeCell ref="J6:K6"/>
    <mergeCell ref="J7:K7"/>
    <mergeCell ref="J8:K8"/>
    <mergeCell ref="J9:K9"/>
    <mergeCell ref="J10:K10"/>
    <mergeCell ref="L5:M5"/>
    <mergeCell ref="L6:M6"/>
    <mergeCell ref="L7:M7"/>
    <mergeCell ref="L8:M8"/>
    <mergeCell ref="L9:M9"/>
    <mergeCell ref="L10:M10"/>
    <mergeCell ref="N5:O5"/>
    <mergeCell ref="N6:O6"/>
    <mergeCell ref="N7:O7"/>
    <mergeCell ref="N8:O8"/>
    <mergeCell ref="N9:O9"/>
    <mergeCell ref="N10:O10"/>
    <mergeCell ref="P5:Q5"/>
    <mergeCell ref="P6:Q6"/>
    <mergeCell ref="P7:Q7"/>
    <mergeCell ref="P8:Q8"/>
    <mergeCell ref="P9:Q9"/>
    <mergeCell ref="P10:Q10"/>
    <mergeCell ref="R5:S5"/>
    <mergeCell ref="R6:S6"/>
    <mergeCell ref="R7:S7"/>
    <mergeCell ref="R8:S8"/>
    <mergeCell ref="R9:S9"/>
    <mergeCell ref="R10:S10"/>
    <mergeCell ref="T5:U5"/>
    <mergeCell ref="T6:U6"/>
    <mergeCell ref="T7:U7"/>
    <mergeCell ref="T8:U8"/>
    <mergeCell ref="T9:U9"/>
    <mergeCell ref="T10:U10"/>
    <mergeCell ref="V5:W5"/>
    <mergeCell ref="V6:W6"/>
    <mergeCell ref="V7:W7"/>
    <mergeCell ref="V8:W8"/>
    <mergeCell ref="V9:W9"/>
    <mergeCell ref="V10:W10"/>
    <mergeCell ref="X5:Y5"/>
    <mergeCell ref="X6:Y6"/>
    <mergeCell ref="X7:Y7"/>
    <mergeCell ref="X8:Y8"/>
    <mergeCell ref="X9:Y9"/>
    <mergeCell ref="X10:Y10"/>
    <mergeCell ref="Z5:AA5"/>
    <mergeCell ref="Z6:AA6"/>
    <mergeCell ref="Z7:AA7"/>
    <mergeCell ref="Z8:AA8"/>
    <mergeCell ref="Z9:AA9"/>
    <mergeCell ref="Z10:AA10"/>
    <mergeCell ref="AB8:AC8"/>
    <mergeCell ref="AB9:AC9"/>
    <mergeCell ref="AB10:AC10"/>
    <mergeCell ref="AD5:AE5"/>
    <mergeCell ref="AD6:AE6"/>
    <mergeCell ref="AD7:AE7"/>
    <mergeCell ref="AD8:AE8"/>
    <mergeCell ref="AD9:AE9"/>
    <mergeCell ref="AD10:AE10"/>
    <mergeCell ref="D18:E18"/>
    <mergeCell ref="D19:E19"/>
    <mergeCell ref="D20:E20"/>
    <mergeCell ref="AJ5:AK5"/>
    <mergeCell ref="AJ6:AK6"/>
    <mergeCell ref="AJ7:AK7"/>
    <mergeCell ref="AJ8:AK8"/>
    <mergeCell ref="AJ9:AK9"/>
    <mergeCell ref="AJ10:AK10"/>
    <mergeCell ref="AF5:AG5"/>
    <mergeCell ref="AF6:AG6"/>
    <mergeCell ref="AF7:AG7"/>
    <mergeCell ref="AF8:AG8"/>
    <mergeCell ref="AF9:AG9"/>
    <mergeCell ref="AF10:AG10"/>
    <mergeCell ref="AH5:AI5"/>
    <mergeCell ref="AH6:AI6"/>
    <mergeCell ref="AH7:AI7"/>
    <mergeCell ref="AH8:AI8"/>
    <mergeCell ref="AH9:AI9"/>
    <mergeCell ref="AH10:AI10"/>
    <mergeCell ref="AB5:AC5"/>
    <mergeCell ref="AB6:AC6"/>
    <mergeCell ref="AB7:AC7"/>
  </mergeCells>
  <dataValidations count="13">
    <dataValidation type="list" operator="equal" allowBlank="1" sqref="AI23:AI24 S23:S24 U23:U24 I23:I24 AC23:AC24 Y23:Y24 AE23:AE24 E23:E24 AK23:AK24 K23:K24 G23:G24 AA23:AA24 O23:O24 M23:M24 AG23:AG24 Q23:Q24 W23:W24" xr:uid="{00000000-0002-0000-0000-000000000000}">
      <formula1>"     Oui,     Non"</formula1>
      <formula2>0</formula2>
    </dataValidation>
    <dataValidation type="list" operator="equal" allowBlank="1" sqref="R24 H24 N24 AD24 L24 P24 AJ24 D24 F24 AH24 X24 AB24 Z24 J24 AF24 V24 T24" xr:uid="{00000000-0002-0000-0000-000001000000}">
      <formula1>"0,1,2,3,4,5,6,7,8,9"</formula1>
      <formula2>0</formula2>
    </dataValidation>
    <dataValidation type="list" allowBlank="1" showInputMessage="1" showErrorMessage="1" sqref="A1" xr:uid="{00000000-0002-0000-0000-000002000000}">
      <formula1>$G$170:$G$174</formula1>
    </dataValidation>
    <dataValidation type="list" allowBlank="1" showInputMessage="1" showErrorMessage="1" sqref="D22:AK22" xr:uid="{00000000-0002-0000-0000-000004000000}">
      <formula1>$B$170:$B$176</formula1>
    </dataValidation>
    <dataValidation type="list" allowBlank="1" showInputMessage="1" showErrorMessage="1" sqref="F30 T30 T46 T66 T42 V30 T62 T58 V46 V66 V42 T54 P30 P46 P66 P42 R30 P62 P58 R46 R66 R42 P54 AF30 X30 AF46 H30 H46 AF66 L30 H66 H42 J30 AF42 H62 H58 AH30 J46 J66 AF62 J42 H54 H34 J62 J58 F46 AF58 J54 H50 P34 R62 L46 T34 X46 F66 V62 R58 R54 P50 L66 H38 F42 AH46 X66 AB30 AH66 F62 L42 F58 AD30 AH42 AD46 AF54 V58 AD66 X42 J34 P38 R34 V54 T50 F54 Z30 N30 R50 AF34 AH62 J50 L62 F34 T38 AH58 AB46 AB66 AD42 F50 V34 X62 V50 X58 Z46 R38 L58 J38 Z66 Z42 J70 R70 P70 V38 V70 AH54 H70 AF50 T70 N46 N66 X54 N42 X34 L54 L34 Z62 N62 F38 AF38 N58 AD62 N54 Z58 L50 L38 Z54 X50 X38 N34 AH34 Z34 N50 AH50 AH38 AH70 N38 Z50 AD58 AF70 AD54 AB42 Z38 Z70 X70 N70 L70 F70 AB62 AB58 AB54 AB34 AD34 AB50 AB38 AD50 AD38 AD70 AB70 AJ30 AJ46 AJ66 AJ42 AJ62 AJ58 AJ54 AJ34 AJ50 AJ38 AJ70" xr:uid="{00000000-0002-0000-0000-000005000000}">
      <formula1>$A$170:$A$182</formula1>
    </dataValidation>
    <dataValidation type="list" allowBlank="1" showInputMessage="1" showErrorMessage="1" sqref="D103:D107 G134:G135 J134:J135 D134:D135 E130:E133 Q130:Q133 M130:M135 I130:I133 E123:E128 M123:M128 Q123:Q128 I123:I128 Q120 M118:M120 I114:I120 H110:H112 G106:G107 D110:D112 E114:E120 J106:J107 H103:H105" xr:uid="{00000000-0002-0000-0000-000006000000}">
      <formula1>$H$170:$H$187</formula1>
    </dataValidation>
    <dataValidation type="list" allowBlank="1" showInputMessage="1" showErrorMessage="1" sqref="C118 K118 G118" xr:uid="{00000000-0002-0000-0000-000007000000}">
      <formula1>$I$170:$I$173</formula1>
    </dataValidation>
    <dataValidation type="list" allowBlank="1" showInputMessage="1" showErrorMessage="1" sqref="C120:C121 O120:O121 K120:K121 G120:G121" xr:uid="{00000000-0002-0000-0000-000008000000}">
      <formula1>$K$170:$K$269</formula1>
    </dataValidation>
    <dataValidation type="list" allowBlank="1" showInputMessage="1" showErrorMessage="1" sqref="E121 Q121 M121 I121" xr:uid="{00000000-0002-0000-0000-000009000000}">
      <formula1>$L$170:$L$176</formula1>
    </dataValidation>
    <dataValidation type="list" allowBlank="1" showInputMessage="1" showErrorMessage="1" sqref="B106 E106 H106" xr:uid="{00000000-0002-0000-0000-00000A000000}">
      <formula1>$F$170:$F$177</formula1>
    </dataValidation>
    <dataValidation type="list" allowBlank="1" showInputMessage="1" showErrorMessage="1" sqref="B137 A2" xr:uid="{00000000-0002-0000-0000-00000B000000}">
      <formula1>$D$170:$D$178</formula1>
    </dataValidation>
    <dataValidation type="list" allowBlank="1" showInputMessage="1" showErrorMessage="1" sqref="A22" xr:uid="{00000000-0002-0000-0000-000003000000}">
      <formula1>$E$170:$E$233</formula1>
    </dataValidation>
    <dataValidation type="list" allowBlank="1" showInputMessage="1" showErrorMessage="1" sqref="D4:AK4" xr:uid="{9A6C819E-562C-4A0E-94C9-FB85C4616F56}">
      <formula1>$E$169:$E$233</formula1>
    </dataValidation>
  </dataValidations>
  <pageMargins left="0.78749999999999998" right="0.78749999999999998" top="1.0527777777777778" bottom="1.0527777777777778" header="0.78749999999999998" footer="0.78749999999999998"/>
  <pageSetup paperSize="9" firstPageNumber="0" orientation="portrait" horizontalDpi="300" verticalDpi="300" r:id="rId1"/>
  <headerFooter alignWithMargins="0">
    <oddHeader>&amp;C&amp;"Times New Roman,Normal"&amp;12&amp;A</oddHeader>
    <oddFooter>&amp;C&amp;"Times New Roman,Normal"&amp;12Page &amp;P</oddFooter>
  </headerFooter>
  <ignoredErrors>
    <ignoredError sqref="F25:G25"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E83C88B4-128E-41B3-A65D-9CB6339F9586}">
          <x14:formula1>
            <xm:f>données!$DD$13:$DD$14</xm:f>
          </x14:formula1>
          <xm:sqref>A13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O149"/>
  <sheetViews>
    <sheetView workbookViewId="0">
      <selection activeCell="C25" sqref="C25"/>
    </sheetView>
  </sheetViews>
  <sheetFormatPr baseColWidth="10" defaultColWidth="11.5546875" defaultRowHeight="13.2"/>
  <cols>
    <col min="3" max="3" width="14.6640625" customWidth="1"/>
    <col min="6" max="6" width="1.6640625" customWidth="1"/>
    <col min="8" max="8" width="1.44140625" customWidth="1"/>
    <col min="10" max="10" width="1.44140625" customWidth="1"/>
    <col min="12" max="12" width="1.5546875" customWidth="1"/>
    <col min="14" max="14" width="1.33203125" customWidth="1"/>
    <col min="16" max="16" width="1.33203125" customWidth="1"/>
    <col min="18" max="18" width="1.33203125" customWidth="1"/>
    <col min="20" max="20" width="1.33203125" customWidth="1"/>
    <col min="22" max="22" width="1.44140625" customWidth="1"/>
    <col min="24" max="24" width="1.33203125" customWidth="1"/>
    <col min="26" max="26" width="1.44140625" customWidth="1"/>
    <col min="28" max="28" width="1.33203125" customWidth="1"/>
    <col min="30" max="30" width="1.33203125" customWidth="1"/>
    <col min="32" max="32" width="1.33203125" customWidth="1"/>
    <col min="34" max="34" width="1.33203125" customWidth="1"/>
    <col min="36" max="36" width="1.5546875" customWidth="1"/>
    <col min="43" max="43" width="16.88671875" customWidth="1"/>
    <col min="46" max="46" width="0.88671875" customWidth="1"/>
    <col min="128" max="128" width="13.5546875" customWidth="1"/>
  </cols>
  <sheetData>
    <row r="1" spans="1:145" ht="14.4">
      <c r="C1" s="4" t="s">
        <v>835</v>
      </c>
      <c r="D1" s="4" t="s">
        <v>899</v>
      </c>
      <c r="E1" s="4" t="s">
        <v>907</v>
      </c>
      <c r="G1" s="4" t="s">
        <v>900</v>
      </c>
      <c r="I1" s="4" t="s">
        <v>901</v>
      </c>
      <c r="K1" s="4" t="s">
        <v>908</v>
      </c>
      <c r="M1" s="4" t="s">
        <v>909</v>
      </c>
      <c r="AI1" t="s">
        <v>98</v>
      </c>
      <c r="AK1">
        <v>1.2</v>
      </c>
      <c r="BA1" s="208" t="s">
        <v>137</v>
      </c>
      <c r="BB1" s="208"/>
      <c r="BC1" s="208"/>
      <c r="BD1" s="208"/>
      <c r="BE1" s="208"/>
      <c r="BF1" s="208"/>
      <c r="BG1" s="208"/>
      <c r="BH1" s="208"/>
      <c r="BI1" s="208"/>
      <c r="BJ1" s="208"/>
      <c r="BK1" s="208"/>
      <c r="BL1" s="53"/>
      <c r="BM1" s="53"/>
      <c r="BN1" s="53"/>
      <c r="BO1" s="53"/>
      <c r="CI1" t="s">
        <v>138</v>
      </c>
      <c r="DO1">
        <v>89</v>
      </c>
    </row>
    <row r="2" spans="1:145" ht="14.4">
      <c r="A2" t="s">
        <v>905</v>
      </c>
      <c r="B2" t="s">
        <v>109</v>
      </c>
      <c r="C2" s="4"/>
      <c r="D2" s="4"/>
      <c r="E2" s="4">
        <v>2</v>
      </c>
      <c r="G2" s="4">
        <v>-8</v>
      </c>
      <c r="I2" s="4">
        <v>-1</v>
      </c>
      <c r="K2" s="4"/>
      <c r="M2" s="4"/>
      <c r="Q2">
        <v>58</v>
      </c>
      <c r="S2">
        <v>25</v>
      </c>
      <c r="AI2" t="s">
        <v>834</v>
      </c>
      <c r="AK2">
        <v>0.9</v>
      </c>
      <c r="BA2" s="125"/>
      <c r="BB2" s="125"/>
      <c r="BC2" s="125"/>
      <c r="BD2" s="125"/>
      <c r="BE2" s="125"/>
      <c r="BF2" s="125"/>
      <c r="BG2" s="125"/>
      <c r="BH2" s="125"/>
      <c r="BI2" s="125"/>
      <c r="BJ2" s="125"/>
      <c r="BK2" s="125"/>
      <c r="BL2" s="53"/>
      <c r="BM2" s="53"/>
      <c r="BN2" s="53"/>
      <c r="BO2" s="53"/>
      <c r="DC2" s="54"/>
      <c r="DD2" s="54"/>
      <c r="DE2" s="54"/>
      <c r="DI2" s="54"/>
      <c r="DJ2" s="54"/>
      <c r="DK2" s="54"/>
    </row>
    <row r="3" spans="1:145" ht="14.4">
      <c r="A3" t="s">
        <v>906</v>
      </c>
      <c r="B3" t="s">
        <v>213</v>
      </c>
      <c r="C3" s="4">
        <v>5</v>
      </c>
      <c r="D3" s="4">
        <v>-2</v>
      </c>
      <c r="E3" s="4">
        <v>-2</v>
      </c>
      <c r="G3" s="4">
        <v>7</v>
      </c>
      <c r="K3" s="4"/>
      <c r="M3" s="4"/>
      <c r="Q3">
        <v>100</v>
      </c>
      <c r="S3">
        <f>Q3*S2/Q2</f>
        <v>43.103448275862071</v>
      </c>
      <c r="AI3" t="s">
        <v>835</v>
      </c>
      <c r="BA3" s="125"/>
      <c r="BB3" s="125"/>
      <c r="BC3" s="125"/>
      <c r="BD3" s="125"/>
      <c r="BE3" s="125"/>
      <c r="BF3" s="125"/>
      <c r="BG3" s="125"/>
      <c r="BH3" s="125"/>
      <c r="BI3" s="125"/>
      <c r="BJ3" s="125"/>
      <c r="BK3" s="125"/>
      <c r="BL3" s="53"/>
      <c r="BM3" s="53"/>
      <c r="BN3" s="53"/>
      <c r="BO3" s="53"/>
      <c r="DC3" s="54"/>
      <c r="DD3" s="54"/>
      <c r="DE3" s="54"/>
      <c r="DI3" s="54"/>
      <c r="DJ3" s="54"/>
      <c r="DK3" s="54"/>
    </row>
    <row r="4" spans="1:145" ht="15" thickBot="1">
      <c r="B4" t="s">
        <v>222</v>
      </c>
      <c r="C4" s="4">
        <v>-3</v>
      </c>
      <c r="D4" s="4"/>
      <c r="E4" s="4"/>
      <c r="G4" s="4"/>
      <c r="K4" s="4">
        <v>5</v>
      </c>
      <c r="M4" s="4"/>
      <c r="Q4">
        <v>72</v>
      </c>
      <c r="S4">
        <v>25</v>
      </c>
      <c r="BA4" s="125"/>
      <c r="BB4" s="125"/>
      <c r="BC4" s="125"/>
      <c r="BD4" s="125"/>
      <c r="BE4" s="125"/>
      <c r="BF4" s="125"/>
      <c r="BG4" s="125"/>
      <c r="BH4" s="125"/>
      <c r="BI4" s="125"/>
      <c r="BJ4" s="125"/>
      <c r="BK4" s="125"/>
      <c r="BL4" s="53"/>
      <c r="BM4" s="53"/>
      <c r="BN4" s="53"/>
      <c r="BO4" s="53"/>
      <c r="DA4" t="s">
        <v>139</v>
      </c>
      <c r="DC4" s="54" t="s">
        <v>140</v>
      </c>
      <c r="DD4" s="54" t="s">
        <v>141</v>
      </c>
      <c r="DE4" s="54" t="s">
        <v>142</v>
      </c>
      <c r="DG4" s="170" t="s">
        <v>143</v>
      </c>
      <c r="DH4" s="171"/>
      <c r="DI4" s="172" t="s">
        <v>140</v>
      </c>
      <c r="DJ4" s="172" t="s">
        <v>141</v>
      </c>
      <c r="DK4" s="173" t="s">
        <v>142</v>
      </c>
    </row>
    <row r="5" spans="1:145" ht="15" thickBot="1">
      <c r="B5" t="s">
        <v>231</v>
      </c>
      <c r="C5" s="4"/>
      <c r="D5" s="4"/>
      <c r="E5" s="4"/>
      <c r="G5" s="4">
        <v>7</v>
      </c>
      <c r="I5" s="4"/>
      <c r="M5" s="4"/>
      <c r="Q5">
        <f>Q4*S5/S4</f>
        <v>20.16</v>
      </c>
      <c r="S5">
        <v>7</v>
      </c>
      <c r="BL5" s="53"/>
      <c r="BM5" t="s">
        <v>155</v>
      </c>
      <c r="BN5" s="55">
        <f t="shared" ref="BN5:BW5" si="0">SUM(BN7:BN17)</f>
        <v>14999.999</v>
      </c>
      <c r="BO5" s="55">
        <f t="shared" si="0"/>
        <v>18577.499</v>
      </c>
      <c r="BP5" s="55">
        <f t="shared" si="0"/>
        <v>23008.233999999997</v>
      </c>
      <c r="BQ5" s="55">
        <f t="shared" si="0"/>
        <v>28495.695000000007</v>
      </c>
      <c r="BR5" s="55">
        <f t="shared" si="0"/>
        <v>35291.919000000002</v>
      </c>
      <c r="BS5" s="55">
        <f t="shared" si="0"/>
        <v>43709.040999999997</v>
      </c>
      <c r="BT5" s="55">
        <f t="shared" si="0"/>
        <v>54133.649000000005</v>
      </c>
      <c r="BU5" s="55">
        <f t="shared" si="0"/>
        <v>67044.521999999997</v>
      </c>
      <c r="BV5" s="55">
        <f t="shared" si="0"/>
        <v>83034.478999999992</v>
      </c>
      <c r="BW5" s="55">
        <f t="shared" si="0"/>
        <v>0.56349206349206349</v>
      </c>
      <c r="CJ5" t="s">
        <v>156</v>
      </c>
      <c r="CL5" t="s">
        <v>157</v>
      </c>
      <c r="CN5" t="s">
        <v>158</v>
      </c>
      <c r="CP5" t="s">
        <v>159</v>
      </c>
      <c r="CR5" t="s">
        <v>160</v>
      </c>
      <c r="DA5" t="s">
        <v>45</v>
      </c>
      <c r="DC5">
        <f t="shared" ref="DC5:DE11" si="1">IF($DC$13=0,DI5,DI13)</f>
        <v>0</v>
      </c>
      <c r="DD5">
        <f t="shared" si="1"/>
        <v>0</v>
      </c>
      <c r="DE5">
        <f t="shared" si="1"/>
        <v>0</v>
      </c>
      <c r="DG5" s="174" t="s">
        <v>45</v>
      </c>
      <c r="DH5" s="175"/>
      <c r="DI5" s="175">
        <v>0</v>
      </c>
      <c r="DJ5" s="175">
        <v>0</v>
      </c>
      <c r="DK5" s="176">
        <v>0</v>
      </c>
      <c r="DY5" t="s">
        <v>101</v>
      </c>
      <c r="DZ5" t="s">
        <v>161</v>
      </c>
      <c r="EA5" t="s">
        <v>128</v>
      </c>
      <c r="EB5" t="s">
        <v>129</v>
      </c>
      <c r="EC5" t="s">
        <v>162</v>
      </c>
      <c r="ED5" t="s">
        <v>163</v>
      </c>
      <c r="EE5" t="s">
        <v>133</v>
      </c>
      <c r="EF5" t="s">
        <v>121</v>
      </c>
      <c r="EG5" t="s">
        <v>164</v>
      </c>
      <c r="EH5" t="s">
        <v>112</v>
      </c>
      <c r="EI5" t="s">
        <v>165</v>
      </c>
      <c r="EJ5" t="s">
        <v>166</v>
      </c>
      <c r="EK5" t="s">
        <v>167</v>
      </c>
      <c r="EL5" t="s">
        <v>116</v>
      </c>
      <c r="EM5" t="s">
        <v>115</v>
      </c>
      <c r="EN5" t="s">
        <v>168</v>
      </c>
      <c r="EO5" t="s">
        <v>107</v>
      </c>
    </row>
    <row r="6" spans="1:145" ht="15" thickBot="1">
      <c r="B6" t="s">
        <v>238</v>
      </c>
      <c r="C6" s="4"/>
      <c r="D6" s="4"/>
      <c r="E6" s="4"/>
      <c r="G6" s="4">
        <v>22</v>
      </c>
      <c r="I6" s="4"/>
      <c r="M6" s="4"/>
      <c r="BL6" s="53"/>
      <c r="BN6">
        <v>1</v>
      </c>
      <c r="BO6">
        <v>2</v>
      </c>
      <c r="BP6">
        <v>3</v>
      </c>
      <c r="BQ6">
        <v>4</v>
      </c>
      <c r="BR6">
        <v>5</v>
      </c>
      <c r="BS6">
        <v>6</v>
      </c>
      <c r="BT6">
        <v>7</v>
      </c>
      <c r="BU6">
        <v>8</v>
      </c>
      <c r="BV6">
        <v>9</v>
      </c>
      <c r="BW6">
        <v>10</v>
      </c>
      <c r="CI6" t="s">
        <v>1</v>
      </c>
      <c r="CJ6" t="s">
        <v>170</v>
      </c>
      <c r="CK6" t="s">
        <v>171</v>
      </c>
      <c r="CL6" t="s">
        <v>170</v>
      </c>
      <c r="CM6" t="s">
        <v>171</v>
      </c>
      <c r="CN6" t="s">
        <v>172</v>
      </c>
      <c r="CO6" t="s">
        <v>171</v>
      </c>
      <c r="CP6" t="s">
        <v>170</v>
      </c>
      <c r="CQ6" t="s">
        <v>171</v>
      </c>
      <c r="CR6" t="s">
        <v>170</v>
      </c>
      <c r="CS6" t="s">
        <v>171</v>
      </c>
      <c r="CU6" s="148" t="s">
        <v>173</v>
      </c>
      <c r="CV6" s="149">
        <v>360</v>
      </c>
      <c r="DA6" t="s">
        <v>46</v>
      </c>
      <c r="DC6">
        <f t="shared" si="1"/>
        <v>5</v>
      </c>
      <c r="DD6">
        <f t="shared" si="1"/>
        <v>0.60000000000000009</v>
      </c>
      <c r="DE6">
        <f t="shared" si="1"/>
        <v>0.60000000000000009</v>
      </c>
      <c r="DG6" s="174" t="s">
        <v>46</v>
      </c>
      <c r="DH6" s="175"/>
      <c r="DI6" s="175">
        <v>5</v>
      </c>
      <c r="DJ6" s="175">
        <v>0.60000000000000009</v>
      </c>
      <c r="DK6" s="176">
        <v>0.60000000000000009</v>
      </c>
      <c r="DL6" t="s">
        <v>61</v>
      </c>
      <c r="DS6" t="s">
        <v>1</v>
      </c>
      <c r="DV6" t="s">
        <v>79</v>
      </c>
      <c r="DY6" t="str">
        <f>IF(AND(RIGHT('tableau financier'!$D106,2)&lt;='tableau financier'!D1,RIGHT('tableau financier'!$D107,2)&gt;='tableau financier'!D1),'tableau financier'!$B106,IF(AND(RIGHT('tableau financier'!$G106,2)&lt;='tableau financier'!D1,RIGHT('tableau financier'!$G107,2)&gt;='tableau financier'!D1),'tableau financier'!$E106,IF(AND(RIGHT('tableau financier'!$J106,2)&lt;='tableau financier'!D1,RIGHT('tableau financier'!$J107,2)&gt;='tableau financier'!D1),'tableau financier'!$H106,0)))</f>
        <v>Fitness</v>
      </c>
      <c r="DZ6" t="str">
        <f>IF(AND(RIGHT('tableau financier'!$D106,2)&lt;='tableau financier'!F1,RIGHT('tableau financier'!$D107,2)&gt;='tableau financier'!F1),'tableau financier'!$B106,IF(AND(RIGHT('tableau financier'!$G106,2)&lt;='tableau financier'!F1,RIGHT('tableau financier'!$G107,2)&gt;='tableau financier'!F1),'tableau financier'!$E106,IF(AND(RIGHT('tableau financier'!$J106,2)&lt;='tableau financier'!F1,RIGHT('tableau financier'!$J107,2)&gt;='tableau financier'!F1),'tableau financier'!$H106,0)))</f>
        <v>Fitness</v>
      </c>
      <c r="EA6" t="str">
        <f>IF(AND(RIGHT('tableau financier'!$D106,2)&lt;='tableau financier'!H1,RIGHT('tableau financier'!$D107,2)&gt;='tableau financier'!H1),'tableau financier'!$B106,IF(AND(RIGHT('tableau financier'!$G106,2)&lt;='tableau financier'!H1,RIGHT('tableau financier'!$G107,2)&gt;='tableau financier'!H1),'tableau financier'!$E106,IF(AND(RIGHT('tableau financier'!$J106,2)&lt;='tableau financier'!H1,RIGHT('tableau financier'!$J107,2)&gt;='tableau financier'!H1),'tableau financier'!$H106,0)))</f>
        <v>Fitness</v>
      </c>
      <c r="EB6" t="str">
        <f>IF(AND(RIGHT('tableau financier'!$D106,2)&lt;='tableau financier'!J1,RIGHT('tableau financier'!$D107,2)&gt;='tableau financier'!J1),'tableau financier'!$B106,IF(AND(RIGHT('tableau financier'!$G106,2)&lt;='tableau financier'!J1,RIGHT('tableau financier'!$G107,2)&gt;='tableau financier'!J1),'tableau financier'!$E106,IF(AND(RIGHT('tableau financier'!$J106,2)&lt;='tableau financier'!J1,RIGHT('tableau financier'!$J107,2)&gt;='tableau financier'!J1),'tableau financier'!$H106,0)))</f>
        <v>Fitness</v>
      </c>
      <c r="EC6" t="str">
        <f>IF(AND(RIGHT('tableau financier'!$D106,2)&lt;='tableau financier'!L1,RIGHT('tableau financier'!$D107,2)&gt;='tableau financier'!L1),'tableau financier'!$B106,IF(AND(RIGHT('tableau financier'!$G106,2)&lt;='tableau financier'!L1,RIGHT('tableau financier'!$G107,2)&gt;='tableau financier'!L1),'tableau financier'!$E106,IF(AND(RIGHT('tableau financier'!$J106,2)&lt;='tableau financier'!L1,RIGHT('tableau financier'!$J107,2)&gt;='tableau financier'!L1),'tableau financier'!$H106,0)))</f>
        <v>Fitness</v>
      </c>
      <c r="ED6" t="str">
        <f>IF(AND(RIGHT('tableau financier'!$D106,2)&lt;='tableau financier'!N1,RIGHT('tableau financier'!$D107,2)&gt;='tableau financier'!N1),'tableau financier'!$B106,IF(AND(RIGHT('tableau financier'!$G106,2)&lt;='tableau financier'!N1,RIGHT('tableau financier'!$G107,2)&gt;='tableau financier'!N1),'tableau financier'!$E106,IF(AND(RIGHT('tableau financier'!$J106,2)&lt;='tableau financier'!N1,RIGHT('tableau financier'!$J107,2)&gt;='tableau financier'!N1),'tableau financier'!$H106,0)))</f>
        <v>Fitness</v>
      </c>
      <c r="EE6" t="str">
        <f>IF(AND(RIGHT('tableau financier'!$D106,2)&lt;='tableau financier'!P1,RIGHT('tableau financier'!$D107,2)&gt;='tableau financier'!P1),'tableau financier'!$B106,IF(AND(RIGHT('tableau financier'!$G106,2)&lt;='tableau financier'!P1,RIGHT('tableau financier'!$G107,2)&gt;='tableau financier'!P1),'tableau financier'!$E106,IF(AND(RIGHT('tableau financier'!$J106,2)&lt;='tableau financier'!P1,RIGHT('tableau financier'!$J107,2)&gt;='tableau financier'!P1),'tableau financier'!$H106,0)))</f>
        <v>Fitness</v>
      </c>
      <c r="EF6" t="str">
        <f>IF(AND(RIGHT('tableau financier'!$D106,2)&lt;='tableau financier'!R1,RIGHT('tableau financier'!$D107,2)&gt;='tableau financier'!R1),'tableau financier'!$B106,IF(AND(RIGHT('tableau financier'!$G106,2)&lt;='tableau financier'!R1,RIGHT('tableau financier'!$G107,2)&gt;='tableau financier'!R1),'tableau financier'!$E106,IF(AND(RIGHT('tableau financier'!$J106,2)&lt;='tableau financier'!R1,RIGHT('tableau financier'!$J107,2)&gt;='tableau financier'!R1),'tableau financier'!$H106,0)))</f>
        <v>Fitness</v>
      </c>
      <c r="EG6" t="str">
        <f>IF(AND(RIGHT('tableau financier'!$D106,2)&lt;='tableau financier'!T1,RIGHT('tableau financier'!$D107,2)&gt;='tableau financier'!T1),'tableau financier'!$B106,IF(AND(RIGHT('tableau financier'!$G106,2)&lt;='tableau financier'!T1,RIGHT('tableau financier'!$G107,2)&gt;='tableau financier'!T1),'tableau financier'!$E106,IF(AND(RIGHT('tableau financier'!$J106,2)&lt;='tableau financier'!T1,RIGHT('tableau financier'!$J107,2)&gt;='tableau financier'!T1),'tableau financier'!$H106,0)))</f>
        <v>Fitness</v>
      </c>
      <c r="EH6" t="str">
        <f>IF(AND(RIGHT('tableau financier'!$D106,2)&lt;='tableau financier'!V1,RIGHT('tableau financier'!$D107,2)&gt;='tableau financier'!V1),'tableau financier'!$B106,IF(AND(RIGHT('tableau financier'!$G106,2)&lt;='tableau financier'!V1,RIGHT('tableau financier'!$G107,2)&gt;='tableau financier'!V1),'tableau financier'!$E106,IF(AND(RIGHT('tableau financier'!$J106,2)&lt;='tableau financier'!V1,RIGHT('tableau financier'!$J107,2)&gt;='tableau financier'!V1),'tableau financier'!$H106,0)))</f>
        <v>Fitness</v>
      </c>
      <c r="EI6" t="str">
        <f>IF(AND(RIGHT('tableau financier'!$D106,2)&lt;='tableau financier'!X1,RIGHT('tableau financier'!$D107,2)&gt;='tableau financier'!X1),'tableau financier'!$B106,IF(AND(RIGHT('tableau financier'!$G106,2)&lt;='tableau financier'!X1,RIGHT('tableau financier'!$G107,2)&gt;='tableau financier'!X1),'tableau financier'!$E106,IF(AND(RIGHT('tableau financier'!$J106,2)&lt;='tableau financier'!X1,RIGHT('tableau financier'!$J107,2)&gt;='tableau financier'!X1),'tableau financier'!$H106,0)))</f>
        <v>Fitness</v>
      </c>
      <c r="EJ6" t="str">
        <f>IF(AND(RIGHT('tableau financier'!$D106,2)&lt;='tableau financier'!Z1,RIGHT('tableau financier'!$D107,2)&gt;='tableau financier'!Z1),'tableau financier'!$B106,IF(AND(RIGHT('tableau financier'!$G106,2)&lt;='tableau financier'!Z1,RIGHT('tableau financier'!$G107,2)&gt;='tableau financier'!Z1),'tableau financier'!$E106,IF(AND(RIGHT('tableau financier'!$J106,2)&lt;='tableau financier'!Z1,RIGHT('tableau financier'!$J107,2)&gt;='tableau financier'!Z1),'tableau financier'!$H106,0)))</f>
        <v>Fitness</v>
      </c>
      <c r="EK6" t="str">
        <f>IF(AND(RIGHT('tableau financier'!$D106,2)&lt;='tableau financier'!AB1,RIGHT('tableau financier'!$D107,2)&gt;='tableau financier'!AB1),'tableau financier'!$B106,IF(AND(RIGHT('tableau financier'!$G106,2)&lt;='tableau financier'!AB1,RIGHT('tableau financier'!$G107,2)&gt;='tableau financier'!AB1),'tableau financier'!$E106,IF(AND(RIGHT('tableau financier'!$J106,2)&lt;='tableau financier'!AB1,RIGHT('tableau financier'!$J107,2)&gt;='tableau financier'!AB1),'tableau financier'!$H106,0)))</f>
        <v>Fitness</v>
      </c>
      <c r="EL6" t="str">
        <f>IF(AND(RIGHT('tableau financier'!$D106,2)&lt;='tableau financier'!AD1,RIGHT('tableau financier'!$D107,2)&gt;='tableau financier'!AD1),'tableau financier'!$B106,IF(AND(RIGHT('tableau financier'!$G106,2)&lt;='tableau financier'!AD1,RIGHT('tableau financier'!$G107,2)&gt;='tableau financier'!AD1),'tableau financier'!$E106,IF(AND(RIGHT('tableau financier'!$J106,2)&lt;='tableau financier'!AD1,RIGHT('tableau financier'!$J107,2)&gt;='tableau financier'!AD1),'tableau financier'!$H106,0)))</f>
        <v>Fitness</v>
      </c>
      <c r="EM6" t="str">
        <f>IF(AND(RIGHT('tableau financier'!$D106,2)&lt;='tableau financier'!AF1,RIGHT('tableau financier'!$D107,2)&gt;='tableau financier'!AF1),'tableau financier'!$B106,IF(AND(RIGHT('tableau financier'!$G106,2)&lt;='tableau financier'!AF1,RIGHT('tableau financier'!$G107,2)&gt;='tableau financier'!AF1),'tableau financier'!$E106,IF(AND(RIGHT('tableau financier'!$J106,2)&lt;='tableau financier'!AF1,RIGHT('tableau financier'!$J107,2)&gt;='tableau financier'!AF1),'tableau financier'!$H106,0)))</f>
        <v>Fitness</v>
      </c>
      <c r="EN6" t="str">
        <f>IF(AND(RIGHT('tableau financier'!$D106,2)&lt;='tableau financier'!AH1,RIGHT('tableau financier'!$D107,2)&gt;='tableau financier'!AH1),'tableau financier'!$B106,IF(AND(RIGHT('tableau financier'!$G106,2)&lt;='tableau financier'!AH1,RIGHT('tableau financier'!$G107,2)&gt;='tableau financier'!AH1),'tableau financier'!$E106,IF(AND(RIGHT('tableau financier'!$J106,2)&lt;='tableau financier'!AH1,RIGHT('tableau financier'!$J107,2)&gt;='tableau financier'!AH1),'tableau financier'!$H106,0)))</f>
        <v>Fitness</v>
      </c>
      <c r="EO6" t="str">
        <f>IF(AND(RIGHT('tableau financier'!$D106,2)&lt;='tableau financier'!AJ1,RIGHT('tableau financier'!$D107,2)&gt;='tableau financier'!AJ1),'tableau financier'!$B106,IF(AND(RIGHT('tableau financier'!$G106,2)&lt;='tableau financier'!AJ1,RIGHT('tableau financier'!$G107,2)&gt;='tableau financier'!AJ1),'tableau financier'!$E106,IF(AND(RIGHT('tableau financier'!$J106,2)&lt;='tableau financier'!AJ1,RIGHT('tableau financier'!$J107,2)&gt;='tableau financier'!AJ1),'tableau financier'!$H106,0)))</f>
        <v>Fitness</v>
      </c>
    </row>
    <row r="7" spans="1:145" ht="18" thickBot="1">
      <c r="B7" t="s">
        <v>246</v>
      </c>
      <c r="C7" s="4">
        <v>1</v>
      </c>
      <c r="D7" s="4">
        <v>5</v>
      </c>
      <c r="E7" s="4"/>
      <c r="G7" s="4"/>
      <c r="I7" s="4"/>
      <c r="M7" s="4"/>
      <c r="O7">
        <v>12</v>
      </c>
      <c r="Q7">
        <v>5</v>
      </c>
      <c r="AG7" t="s">
        <v>175</v>
      </c>
      <c r="BL7" s="53">
        <v>1</v>
      </c>
      <c r="BM7" t="s">
        <v>176</v>
      </c>
      <c r="BN7" s="57">
        <f t="shared" ref="BN7" si="2">BY7/1000</f>
        <v>1292.539</v>
      </c>
      <c r="BO7" s="57">
        <f t="shared" ref="BO7" si="3">BZ7/1000</f>
        <v>1600.81</v>
      </c>
      <c r="BP7" s="57">
        <f t="shared" ref="BP7" si="4">CA7/1000</f>
        <v>1982.6030000000001</v>
      </c>
      <c r="BQ7" s="57">
        <f t="shared" ref="BQ7" si="5">CB7/1000</f>
        <v>2455.453</v>
      </c>
      <c r="BR7" s="57">
        <f t="shared" ref="BR7" si="6">CC7/1000</f>
        <v>3041.0790000000002</v>
      </c>
      <c r="BS7" s="57">
        <f t="shared" ref="BS7" si="7">CD7/1000</f>
        <v>3766.3760000000002</v>
      </c>
      <c r="BT7" s="57">
        <f t="shared" ref="BT7" si="8">CE7/1000</f>
        <v>4664.6570000000002</v>
      </c>
      <c r="BU7" s="57">
        <f t="shared" ref="BU7" si="9">CF7/1000</f>
        <v>5777.1779999999999</v>
      </c>
      <c r="BV7" s="57">
        <f t="shared" ref="BV7" si="10">CG7/1000</f>
        <v>7155.0349999999999</v>
      </c>
      <c r="BY7" s="57">
        <v>1292539</v>
      </c>
      <c r="BZ7" s="57">
        <v>1600810</v>
      </c>
      <c r="CA7" s="57">
        <v>1982603</v>
      </c>
      <c r="CB7" s="57">
        <v>2455453</v>
      </c>
      <c r="CC7" s="57">
        <v>3041079</v>
      </c>
      <c r="CD7" s="57">
        <v>3766376</v>
      </c>
      <c r="CE7" s="57">
        <v>4664657</v>
      </c>
      <c r="CF7" s="57">
        <v>5777178</v>
      </c>
      <c r="CG7" s="57">
        <v>7155035</v>
      </c>
      <c r="CI7">
        <v>1</v>
      </c>
      <c r="CJ7">
        <v>500</v>
      </c>
      <c r="CK7">
        <v>8000</v>
      </c>
      <c r="CL7">
        <v>1000</v>
      </c>
      <c r="CM7">
        <v>12000</v>
      </c>
      <c r="CN7">
        <v>1500</v>
      </c>
      <c r="CO7">
        <v>15000</v>
      </c>
      <c r="CP7">
        <v>2000</v>
      </c>
      <c r="CQ7">
        <v>18000</v>
      </c>
      <c r="CR7">
        <v>2500</v>
      </c>
      <c r="CS7">
        <v>22000</v>
      </c>
      <c r="CT7">
        <f t="shared" ref="CT7:CT44" si="11">CT8+$CV$44</f>
        <v>17899.999457142851</v>
      </c>
      <c r="CU7" s="148" t="s">
        <v>177</v>
      </c>
      <c r="CV7" s="149">
        <v>3400</v>
      </c>
      <c r="CW7" t="str">
        <f>'constantes gp'!B13</f>
        <v>A1-Ring</v>
      </c>
      <c r="CY7" t="s">
        <v>61</v>
      </c>
      <c r="DA7" t="s">
        <v>178</v>
      </c>
      <c r="DC7">
        <f t="shared" si="1"/>
        <v>0.60000000000000009</v>
      </c>
      <c r="DD7">
        <f t="shared" si="1"/>
        <v>0.60000000000000009</v>
      </c>
      <c r="DE7">
        <f t="shared" si="1"/>
        <v>5</v>
      </c>
      <c r="DG7" s="174" t="s">
        <v>178</v>
      </c>
      <c r="DH7" s="175"/>
      <c r="DI7" s="175">
        <v>0.60000000000000009</v>
      </c>
      <c r="DJ7" s="175">
        <v>0.60000000000000009</v>
      </c>
      <c r="DK7" s="176">
        <v>5</v>
      </c>
      <c r="DL7" t="s">
        <v>174</v>
      </c>
      <c r="DY7">
        <f>IF(DY6="Fitness",750,IF(DY6="Yoga",700,IF(DY6="RP",500,IF(DY6="Ent tech",600,IF(DY6="Psycho",400,IF(DY6="Ninja",550,IF(DY6="Spa",500,0)))))))</f>
        <v>750</v>
      </c>
      <c r="DZ7">
        <f t="shared" ref="DZ7:EH7" si="12">IF(DZ6="Fitness",750,IF(DZ6="Yoga",700,IF(DZ6="RP",500,IF(DZ6="Ent tech",600,IF(DZ6="Psycho",400,IF(DZ6="Ninja",550,IF(DZ6="Spa",500,0)))))))</f>
        <v>750</v>
      </c>
      <c r="EA7">
        <f t="shared" si="12"/>
        <v>750</v>
      </c>
      <c r="EB7">
        <f t="shared" si="12"/>
        <v>750</v>
      </c>
      <c r="EC7">
        <f t="shared" si="12"/>
        <v>750</v>
      </c>
      <c r="ED7">
        <f t="shared" si="12"/>
        <v>750</v>
      </c>
      <c r="EE7">
        <f t="shared" si="12"/>
        <v>750</v>
      </c>
      <c r="EF7">
        <f t="shared" si="12"/>
        <v>750</v>
      </c>
      <c r="EG7">
        <f t="shared" si="12"/>
        <v>750</v>
      </c>
      <c r="EH7">
        <f t="shared" si="12"/>
        <v>750</v>
      </c>
      <c r="EI7">
        <f>IF(EI6="Fitness",750,IF(EI6="Yoga",700,IF(EI6="RP",500,IF(EI6="Ent tech",600,IF(EI6="Psycho",400,IF(EI6="Ninja",550,IF(EI6="Spa",500,0)))))))</f>
        <v>750</v>
      </c>
      <c r="EJ7">
        <f t="shared" ref="EJ7" si="13">IF(EJ6="Fitness",750,IF(EJ6="Yoga",700,IF(EJ6="RP",500,IF(EJ6="Ent tech",600,IF(EJ6="Psycho",400,IF(EJ6="Ninja",550,IF(EJ6="Spa",500,0)))))))</f>
        <v>750</v>
      </c>
      <c r="EK7">
        <f t="shared" ref="EK7" si="14">IF(EK6="Fitness",750,IF(EK6="Yoga",700,IF(EK6="RP",500,IF(EK6="Ent tech",600,IF(EK6="Psycho",400,IF(EK6="Ninja",550,IF(EK6="Spa",500,0)))))))</f>
        <v>750</v>
      </c>
      <c r="EL7">
        <f t="shared" ref="EL7" si="15">IF(EL6="Fitness",750,IF(EL6="Yoga",700,IF(EL6="RP",500,IF(EL6="Ent tech",600,IF(EL6="Psycho",400,IF(EL6="Ninja",550,IF(EL6="Spa",500,0)))))))</f>
        <v>750</v>
      </c>
      <c r="EM7">
        <f t="shared" ref="EM7" si="16">IF(EM6="Fitness",750,IF(EM6="Yoga",700,IF(EM6="RP",500,IF(EM6="Ent tech",600,IF(EM6="Psycho",400,IF(EM6="Ninja",550,IF(EM6="Spa",500,0)))))))</f>
        <v>750</v>
      </c>
      <c r="EN7">
        <f t="shared" ref="EN7" si="17">IF(EN6="Fitness",750,IF(EN6="Yoga",700,IF(EN6="RP",500,IF(EN6="Ent tech",600,IF(EN6="Psycho",400,IF(EN6="Ninja",550,IF(EN6="Spa",500,0)))))))</f>
        <v>750</v>
      </c>
      <c r="EO7">
        <f t="shared" ref="EO7" si="18">IF(EO6="Fitness",750,IF(EO6="Yoga",700,IF(EO6="RP",500,IF(EO6="Ent tech",600,IF(EO6="Psycho",400,IF(EO6="Ninja",550,IF(EO6="Spa",500,0)))))))</f>
        <v>750</v>
      </c>
    </row>
    <row r="8" spans="1:145" ht="18" thickBot="1">
      <c r="B8" t="s">
        <v>384</v>
      </c>
      <c r="C8" s="4"/>
      <c r="D8" s="4"/>
      <c r="E8" s="4"/>
      <c r="G8" s="4">
        <v>15</v>
      </c>
      <c r="I8" s="4"/>
      <c r="M8" s="4">
        <v>40</v>
      </c>
      <c r="O8">
        <v>100</v>
      </c>
      <c r="Q8">
        <f>O8*Q7/O7</f>
        <v>41.666666666666664</v>
      </c>
      <c r="BL8" s="53">
        <v>2</v>
      </c>
      <c r="BM8" t="s">
        <v>63</v>
      </c>
      <c r="BN8" s="57">
        <f t="shared" ref="BN8:BN17" si="19">BY8/1000</f>
        <v>3311.7370000000001</v>
      </c>
      <c r="BO8" s="57">
        <f t="shared" ref="BO8:BO17" si="20">BZ8/1000</f>
        <v>4101.5860000000002</v>
      </c>
      <c r="BP8" s="57">
        <f t="shared" ref="BP8:BP17" si="21">CA8/1000</f>
        <v>5079.8149999999996</v>
      </c>
      <c r="BQ8" s="57">
        <f t="shared" ref="BQ8:BQ17" si="22">CB8/1000</f>
        <v>6291.35</v>
      </c>
      <c r="BR8" s="57">
        <f t="shared" ref="BR8:BR17" si="23">CC8/1000</f>
        <v>7791.8370000000004</v>
      </c>
      <c r="BS8" s="57">
        <f t="shared" ref="BS8:BS17" si="24">CD8/1000</f>
        <v>9650.1910000000007</v>
      </c>
      <c r="BT8" s="57">
        <f t="shared" ref="BT8:BT17" si="25">CE8/1000</f>
        <v>11951.761</v>
      </c>
      <c r="BU8" s="57">
        <f t="shared" ref="BU8:BU17" si="26">CF8/1000</f>
        <v>14802.255999999999</v>
      </c>
      <c r="BV8" s="57">
        <f t="shared" ref="BV8:BV17" si="27">CG8/1000</f>
        <v>18332.594000000001</v>
      </c>
      <c r="BY8" s="57">
        <v>3311737</v>
      </c>
      <c r="BZ8" s="57">
        <v>4101586</v>
      </c>
      <c r="CA8" s="57">
        <v>5079815</v>
      </c>
      <c r="CB8" s="57">
        <v>6291350</v>
      </c>
      <c r="CC8" s="57">
        <v>7791837</v>
      </c>
      <c r="CD8" s="57">
        <v>9650191</v>
      </c>
      <c r="CE8" s="57">
        <v>11951761</v>
      </c>
      <c r="CF8" s="57">
        <v>14802256</v>
      </c>
      <c r="CG8" s="57">
        <v>18332594</v>
      </c>
      <c r="CI8">
        <v>2</v>
      </c>
      <c r="CJ8">
        <v>450</v>
      </c>
      <c r="CK8">
        <v>7800</v>
      </c>
      <c r="CL8">
        <v>900</v>
      </c>
      <c r="CM8">
        <v>11748.718000000001</v>
      </c>
      <c r="CN8">
        <v>1350</v>
      </c>
      <c r="CO8">
        <v>14710.255999999999</v>
      </c>
      <c r="CP8">
        <v>1800</v>
      </c>
      <c r="CQ8">
        <v>17671.794999999998</v>
      </c>
      <c r="CR8">
        <v>2250</v>
      </c>
      <c r="CS8">
        <v>21620.512999999999</v>
      </c>
      <c r="CT8">
        <f t="shared" si="11"/>
        <v>17671.794342857138</v>
      </c>
      <c r="CU8" s="148"/>
      <c r="CV8" s="149"/>
      <c r="CW8" t="str">
        <f>'constantes gp'!B14</f>
        <v>Adelaide</v>
      </c>
      <c r="CY8" t="s">
        <v>65</v>
      </c>
      <c r="DA8" t="s">
        <v>47</v>
      </c>
      <c r="DC8">
        <f t="shared" si="1"/>
        <v>1.5</v>
      </c>
      <c r="DD8">
        <f t="shared" si="1"/>
        <v>3.1</v>
      </c>
      <c r="DE8">
        <f t="shared" si="1"/>
        <v>1.5</v>
      </c>
      <c r="DG8" s="174" t="s">
        <v>47</v>
      </c>
      <c r="DH8" s="175"/>
      <c r="DI8" s="175">
        <v>1.5</v>
      </c>
      <c r="DJ8" s="175">
        <v>3.1</v>
      </c>
      <c r="DK8" s="176">
        <v>1.5</v>
      </c>
      <c r="DL8" t="s">
        <v>179</v>
      </c>
    </row>
    <row r="9" spans="1:145" ht="18" thickBot="1">
      <c r="I9" s="4"/>
      <c r="O9">
        <v>12</v>
      </c>
      <c r="Q9">
        <v>5</v>
      </c>
      <c r="AG9" t="s">
        <v>180</v>
      </c>
      <c r="BL9" s="53">
        <v>3</v>
      </c>
      <c r="BM9" t="s">
        <v>188</v>
      </c>
      <c r="BN9" s="57">
        <f t="shared" si="19"/>
        <v>1551.354</v>
      </c>
      <c r="BO9" s="57">
        <f t="shared" si="20"/>
        <v>1921.3520000000001</v>
      </c>
      <c r="BP9" s="57">
        <f t="shared" si="21"/>
        <v>2379.5940000000001</v>
      </c>
      <c r="BQ9" s="57">
        <f t="shared" si="22"/>
        <v>2947.1280000000002</v>
      </c>
      <c r="BR9" s="57">
        <f t="shared" si="23"/>
        <v>3650.018</v>
      </c>
      <c r="BS9" s="57">
        <f t="shared" si="24"/>
        <v>4520.5469999999996</v>
      </c>
      <c r="BT9" s="57">
        <f t="shared" si="25"/>
        <v>5598.6970000000001</v>
      </c>
      <c r="BU9" s="57">
        <f t="shared" si="26"/>
        <v>6933.9859999999999</v>
      </c>
      <c r="BV9" s="57">
        <f t="shared" si="27"/>
        <v>8587.7420000000002</v>
      </c>
      <c r="BW9">
        <f>4/14</f>
        <v>0.2857142857142857</v>
      </c>
      <c r="BY9" s="57">
        <v>1551354</v>
      </c>
      <c r="BZ9" s="57">
        <v>1921352</v>
      </c>
      <c r="CA9" s="57">
        <v>2379594</v>
      </c>
      <c r="CB9" s="57">
        <v>2947128</v>
      </c>
      <c r="CC9" s="57">
        <v>3650018</v>
      </c>
      <c r="CD9" s="57">
        <v>4520547</v>
      </c>
      <c r="CE9" s="57">
        <v>5598697</v>
      </c>
      <c r="CF9" s="57">
        <v>6933986</v>
      </c>
      <c r="CG9" s="57">
        <v>8587742</v>
      </c>
      <c r="CI9">
        <v>3</v>
      </c>
      <c r="CJ9">
        <v>400</v>
      </c>
      <c r="CK9">
        <v>7700</v>
      </c>
      <c r="CL9">
        <v>800</v>
      </c>
      <c r="CM9">
        <v>11597.436</v>
      </c>
      <c r="CN9">
        <v>1200</v>
      </c>
      <c r="CO9">
        <v>14520.513000000001</v>
      </c>
      <c r="CP9">
        <v>1600</v>
      </c>
      <c r="CQ9">
        <v>17443.59</v>
      </c>
      <c r="CR9">
        <v>2000</v>
      </c>
      <c r="CS9">
        <v>21341.026000000002</v>
      </c>
      <c r="CT9">
        <f t="shared" si="11"/>
        <v>17443.589228571425</v>
      </c>
      <c r="CU9" s="148" t="s">
        <v>182</v>
      </c>
      <c r="CV9" s="149">
        <v>8500</v>
      </c>
      <c r="CW9" t="str">
        <f>'constantes gp'!B15</f>
        <v>Ahvenisto</v>
      </c>
      <c r="CY9" t="s">
        <v>183</v>
      </c>
      <c r="DA9" t="s">
        <v>190</v>
      </c>
      <c r="DC9">
        <f t="shared" si="1"/>
        <v>0.60000000000000009</v>
      </c>
      <c r="DD9">
        <f t="shared" si="1"/>
        <v>5</v>
      </c>
      <c r="DE9">
        <f t="shared" si="1"/>
        <v>0.60000000000000009</v>
      </c>
      <c r="DG9" s="174" t="s">
        <v>190</v>
      </c>
      <c r="DH9" s="175"/>
      <c r="DI9" s="175">
        <v>0.60000000000000009</v>
      </c>
      <c r="DJ9" s="175">
        <v>5</v>
      </c>
      <c r="DK9" s="176">
        <v>0.60000000000000009</v>
      </c>
      <c r="DL9" t="s">
        <v>184</v>
      </c>
      <c r="DS9" t="s">
        <v>185</v>
      </c>
      <c r="DT9" t="str">
        <f>'tableau financier'!A1</f>
        <v>AMATEUR</v>
      </c>
      <c r="DV9" t="s">
        <v>86</v>
      </c>
      <c r="DY9" t="str">
        <f>IF(AND(RIGHT('tableau financier'!$E118,2)&lt;='tableau financier'!D1,RIGHT('tableau financier'!$E119,2)&gt;='tableau financier'!D1),'tableau financier'!$C118,IF(AND(RIGHT('tableau financier'!$I118,2)&lt;='tableau financier'!D1,RIGHT('tableau financier'!$I119,2)&gt;='tableau financier'!D1),'tableau financier'!$G118,IF(AND(RIGHT('tableau financier'!$M118,2)&lt;='tableau financier'!D1,RIGHT('tableau financier'!$M119,2)&gt;='tableau financier'!D1),'tableau financier'!$K118,0)))</f>
        <v>AUCUN</v>
      </c>
      <c r="DZ9">
        <f>IF(AND(RIGHT('tableau financier'!$E118,2)&lt;='tableau financier'!F1,RIGHT('tableau financier'!$E119,2)&gt;='tableau financier'!F1),'tableau financier'!$C118,IF(AND(RIGHT('tableau financier'!$I118,2)&lt;='tableau financier'!F1,RIGHT('tableau financier'!$I119,2)&gt;='tableau financier'!F1),'tableau financier'!$G118,IF(AND(RIGHT('tableau financier'!$M118,2)&lt;='tableau financier'!F1,RIGHT('tableau financier'!$M119,2)&gt;='tableau financier'!F1),'tableau financier'!$K118,0)))</f>
        <v>0</v>
      </c>
      <c r="EA9">
        <f>IF(AND(RIGHT('tableau financier'!$E118,2)&lt;='tableau financier'!H1,RIGHT('tableau financier'!$E119,2)&gt;='tableau financier'!H1),'tableau financier'!$C118,IF(AND(RIGHT('tableau financier'!$I118,2)&lt;='tableau financier'!H1,RIGHT('tableau financier'!$I119,2)&gt;='tableau financier'!H1),'tableau financier'!$G118,IF(AND(RIGHT('tableau financier'!$M118,2)&lt;='tableau financier'!H1,RIGHT('tableau financier'!$M119,2)&gt;='tableau financier'!H1),'tableau financier'!$K118,0)))</f>
        <v>0</v>
      </c>
      <c r="EB9">
        <f>IF(AND(RIGHT('tableau financier'!$E118,2)&lt;='tableau financier'!J1,RIGHT('tableau financier'!$E119,2)&gt;='tableau financier'!J1),'tableau financier'!$C118,IF(AND(RIGHT('tableau financier'!$I118,2)&lt;='tableau financier'!J1,RIGHT('tableau financier'!$I119,2)&gt;='tableau financier'!J1),'tableau financier'!$G118,IF(AND(RIGHT('tableau financier'!$M118,2)&lt;='tableau financier'!J1,RIGHT('tableau financier'!$M119,2)&gt;='tableau financier'!J1),'tableau financier'!$K118,0)))</f>
        <v>0</v>
      </c>
      <c r="EC9">
        <f>IF(AND(RIGHT('tableau financier'!$E118,2)&lt;='tableau financier'!L1,RIGHT('tableau financier'!$E119,2)&gt;='tableau financier'!L1),'tableau financier'!$C118,IF(AND(RIGHT('tableau financier'!$I118,2)&lt;='tableau financier'!L1,RIGHT('tableau financier'!$I119,2)&gt;='tableau financier'!L1),'tableau financier'!$G118,IF(AND(RIGHT('tableau financier'!$M118,2)&lt;='tableau financier'!L1,RIGHT('tableau financier'!$M119,2)&gt;='tableau financier'!L1),'tableau financier'!$K118,0)))</f>
        <v>0</v>
      </c>
      <c r="ED9">
        <f>IF(AND(RIGHT('tableau financier'!$E118,2)&lt;='tableau financier'!N1,RIGHT('tableau financier'!$E119,2)&gt;='tableau financier'!N1),'tableau financier'!$C118,IF(AND(RIGHT('tableau financier'!$I118,2)&lt;='tableau financier'!N1,RIGHT('tableau financier'!$I119,2)&gt;='tableau financier'!N1),'tableau financier'!$G118,IF(AND(RIGHT('tableau financier'!$M118,2)&lt;='tableau financier'!N1,RIGHT('tableau financier'!$M119,2)&gt;='tableau financier'!N1),'tableau financier'!$K118,0)))</f>
        <v>0</v>
      </c>
      <c r="EE9">
        <f>IF(AND(RIGHT('tableau financier'!$E118,2)&lt;='tableau financier'!P1,RIGHT('tableau financier'!$E119,2)&gt;='tableau financier'!P1),'tableau financier'!$C118,IF(AND(RIGHT('tableau financier'!$I118,2)&lt;='tableau financier'!P1,RIGHT('tableau financier'!$I119,2)&gt;='tableau financier'!P1),'tableau financier'!$G118,IF(AND(RIGHT('tableau financier'!$M118,2)&lt;='tableau financier'!P1,RIGHT('tableau financier'!$M119,2)&gt;='tableau financier'!P1),'tableau financier'!$K118,0)))</f>
        <v>0</v>
      </c>
      <c r="EF9">
        <f>IF(AND(RIGHT('tableau financier'!$E118,2)&lt;='tableau financier'!R1,RIGHT('tableau financier'!$E119,2)&gt;='tableau financier'!R1),'tableau financier'!$C118,IF(AND(RIGHT('tableau financier'!$I118,2)&lt;='tableau financier'!R1,RIGHT('tableau financier'!$I119,2)&gt;='tableau financier'!R1),'tableau financier'!$G118,IF(AND(RIGHT('tableau financier'!$M118,2)&lt;='tableau financier'!R1,RIGHT('tableau financier'!$M119,2)&gt;='tableau financier'!R1),'tableau financier'!$K118,0)))</f>
        <v>0</v>
      </c>
      <c r="EG9">
        <f>IF(AND(RIGHT('tableau financier'!$E118,2)&lt;='tableau financier'!T1,RIGHT('tableau financier'!$E119,2)&gt;='tableau financier'!T1),'tableau financier'!$C118,IF(AND(RIGHT('tableau financier'!$I118,2)&lt;='tableau financier'!T1,RIGHT('tableau financier'!$I119,2)&gt;='tableau financier'!T1),'tableau financier'!$G118,IF(AND(RIGHT('tableau financier'!$M118,2)&lt;='tableau financier'!T1,RIGHT('tableau financier'!$M119,2)&gt;='tableau financier'!T1),'tableau financier'!$K118,0)))</f>
        <v>0</v>
      </c>
      <c r="EH9">
        <f>IF(AND(RIGHT('tableau financier'!$E118,2)&lt;='tableau financier'!V1,RIGHT('tableau financier'!$E119,2)&gt;='tableau financier'!V1),'tableau financier'!$C118,IF(AND(RIGHT('tableau financier'!$I118,2)&lt;='tableau financier'!V1,RIGHT('tableau financier'!$I119,2)&gt;='tableau financier'!V1),'tableau financier'!$G118,IF(AND(RIGHT('tableau financier'!$M118,2)&lt;='tableau financier'!V1,RIGHT('tableau financier'!$M119,2)&gt;='tableau financier'!V1),'tableau financier'!$K118,0)))</f>
        <v>0</v>
      </c>
      <c r="EI9">
        <f>IF(AND(RIGHT('tableau financier'!$E118,2)&lt;='tableau financier'!X1,RIGHT('tableau financier'!$E119,2)&gt;='tableau financier'!X1),'tableau financier'!$C118,IF(AND(RIGHT('tableau financier'!$I118,2)&lt;='tableau financier'!X1,RIGHT('tableau financier'!$I119,2)&gt;='tableau financier'!X1),'tableau financier'!$G118,IF(AND(RIGHT('tableau financier'!$M118,2)&lt;='tableau financier'!X1,RIGHT('tableau financier'!$M119,2)&gt;='tableau financier'!X1),'tableau financier'!$K118,0)))</f>
        <v>0</v>
      </c>
      <c r="EJ9">
        <f>IF(AND(RIGHT('tableau financier'!$E118,2)&lt;='tableau financier'!Z1,RIGHT('tableau financier'!$E119,2)&gt;='tableau financier'!Z1),'tableau financier'!$C118,IF(AND(RIGHT('tableau financier'!$I118,2)&lt;='tableau financier'!Z1,RIGHT('tableau financier'!$I119,2)&gt;='tableau financier'!Z1),'tableau financier'!$G118,IF(AND(RIGHT('tableau financier'!$M118,2)&lt;='tableau financier'!Z1,RIGHT('tableau financier'!$M119,2)&gt;='tableau financier'!Z1),'tableau financier'!$K118,0)))</f>
        <v>0</v>
      </c>
      <c r="EK9">
        <f>IF(AND(RIGHT('tableau financier'!$E118,2)&lt;='tableau financier'!AB1,RIGHT('tableau financier'!$E119,2)&gt;='tableau financier'!AB1),'tableau financier'!$C118,IF(AND(RIGHT('tableau financier'!$I118,2)&lt;='tableau financier'!AB1,RIGHT('tableau financier'!$I119,2)&gt;='tableau financier'!AB1),'tableau financier'!$G118,IF(AND(RIGHT('tableau financier'!$M118,2)&lt;='tableau financier'!AB1,RIGHT('tableau financier'!$M119,2)&gt;='tableau financier'!AB1),'tableau financier'!$K118,0)))</f>
        <v>0</v>
      </c>
      <c r="EL9">
        <f>IF(AND(RIGHT('tableau financier'!$E118,2)&lt;='tableau financier'!AD1,RIGHT('tableau financier'!$E119,2)&gt;='tableau financier'!AD1),'tableau financier'!$C118,IF(AND(RIGHT('tableau financier'!$I118,2)&lt;='tableau financier'!AD1,RIGHT('tableau financier'!$I119,2)&gt;='tableau financier'!AD1),'tableau financier'!$G118,IF(AND(RIGHT('tableau financier'!$M118,2)&lt;='tableau financier'!AD1,RIGHT('tableau financier'!$M119,2)&gt;='tableau financier'!AD1),'tableau financier'!$K118,0)))</f>
        <v>0</v>
      </c>
      <c r="EM9">
        <f>IF(AND(RIGHT('tableau financier'!$E118,2)&lt;='tableau financier'!AF1,RIGHT('tableau financier'!$E119,2)&gt;='tableau financier'!AF1),'tableau financier'!$C118,IF(AND(RIGHT('tableau financier'!$I118,2)&lt;='tableau financier'!AF1,RIGHT('tableau financier'!$I119,2)&gt;='tableau financier'!AF1),'tableau financier'!$G118,IF(AND(RIGHT('tableau financier'!$M118,2)&lt;='tableau financier'!AF1,RIGHT('tableau financier'!$M119,2)&gt;='tableau financier'!AF1),'tableau financier'!$K118,0)))</f>
        <v>0</v>
      </c>
      <c r="EN9">
        <f>IF(AND(RIGHT('tableau financier'!$E118,2)&lt;='tableau financier'!AH1,RIGHT('tableau financier'!$E119,2)&gt;='tableau financier'!AH1),'tableau financier'!$C118,IF(AND(RIGHT('tableau financier'!$I118,2)&lt;='tableau financier'!AH1,RIGHT('tableau financier'!$I119,2)&gt;='tableau financier'!AH1),'tableau financier'!$G118,IF(AND(RIGHT('tableau financier'!$M118,2)&lt;='tableau financier'!AH1,RIGHT('tableau financier'!$M119,2)&gt;='tableau financier'!AH1),'tableau financier'!$K118,0)))</f>
        <v>0</v>
      </c>
      <c r="EO9">
        <f>IF(AND(RIGHT('tableau financier'!$E118,2)&lt;='tableau financier'!AJ1,RIGHT('tableau financier'!$E119,2)&gt;='tableau financier'!AJ1),'tableau financier'!$C118,IF(AND(RIGHT('tableau financier'!$I118,2)&lt;='tableau financier'!AJ1,RIGHT('tableau financier'!$I119,2)&gt;='tableau financier'!AJ1),'tableau financier'!$G118,IF(AND(RIGHT('tableau financier'!$M118,2)&lt;='tableau financier'!AJ1,RIGHT('tableau financier'!$M119,2)&gt;='tableau financier'!AJ1),'tableau financier'!$K118,0)))</f>
        <v>0</v>
      </c>
    </row>
    <row r="10" spans="1:145" ht="18" thickBot="1">
      <c r="C10" s="118" t="s">
        <v>1</v>
      </c>
      <c r="D10" s="123" t="s">
        <v>207</v>
      </c>
      <c r="E10" s="119" t="s">
        <v>1</v>
      </c>
      <c r="F10" s="119" t="s">
        <v>1</v>
      </c>
      <c r="G10" s="119" t="s">
        <v>1</v>
      </c>
      <c r="H10" s="119" t="s">
        <v>1</v>
      </c>
      <c r="I10" t="s">
        <v>1</v>
      </c>
      <c r="J10" s="119" t="s">
        <v>1</v>
      </c>
      <c r="K10" t="s">
        <v>1</v>
      </c>
      <c r="L10" s="119" t="s">
        <v>1</v>
      </c>
      <c r="M10" t="s">
        <v>1</v>
      </c>
      <c r="O10">
        <f>O9*Q10/Q9</f>
        <v>96</v>
      </c>
      <c r="Q10">
        <v>40</v>
      </c>
      <c r="AG10" t="s">
        <v>186</v>
      </c>
      <c r="BL10" s="53">
        <v>4</v>
      </c>
      <c r="BM10" t="s">
        <v>193</v>
      </c>
      <c r="BN10" s="57">
        <f t="shared" si="19"/>
        <v>1504.126</v>
      </c>
      <c r="BO10" s="57">
        <f t="shared" si="20"/>
        <v>1862.86</v>
      </c>
      <c r="BP10" s="57">
        <f t="shared" si="21"/>
        <v>2307.152</v>
      </c>
      <c r="BQ10" s="57">
        <f t="shared" si="22"/>
        <v>2857.4079999999999</v>
      </c>
      <c r="BR10" s="57">
        <f t="shared" si="23"/>
        <v>3538.9</v>
      </c>
      <c r="BS10" s="57">
        <f t="shared" si="24"/>
        <v>4382.9269999999997</v>
      </c>
      <c r="BT10" s="57">
        <f t="shared" si="25"/>
        <v>5428.2560000000003</v>
      </c>
      <c r="BU10" s="57">
        <f t="shared" si="26"/>
        <v>6722.8940000000002</v>
      </c>
      <c r="BV10" s="57">
        <f t="shared" si="27"/>
        <v>8326.3050000000003</v>
      </c>
      <c r="BW10">
        <f>5/18</f>
        <v>0.27777777777777779</v>
      </c>
      <c r="BX10">
        <f>5/18.4</f>
        <v>0.27173913043478265</v>
      </c>
      <c r="BY10" s="57">
        <v>1504126</v>
      </c>
      <c r="BZ10" s="57">
        <v>1862860</v>
      </c>
      <c r="CA10" s="57">
        <v>2307152</v>
      </c>
      <c r="CB10" s="57">
        <v>2857408</v>
      </c>
      <c r="CC10" s="57">
        <v>3538900</v>
      </c>
      <c r="CD10" s="57">
        <v>4382927</v>
      </c>
      <c r="CE10" s="57">
        <v>5428256</v>
      </c>
      <c r="CF10" s="57">
        <v>6722894</v>
      </c>
      <c r="CG10" s="57">
        <v>8326305</v>
      </c>
      <c r="CI10">
        <v>4</v>
      </c>
      <c r="CJ10">
        <v>370</v>
      </c>
      <c r="CK10">
        <v>7600</v>
      </c>
      <c r="CL10">
        <v>740</v>
      </c>
      <c r="CM10">
        <v>11446.154</v>
      </c>
      <c r="CN10">
        <v>1110</v>
      </c>
      <c r="CO10">
        <v>14330.769</v>
      </c>
      <c r="CP10">
        <v>1480</v>
      </c>
      <c r="CQ10">
        <v>17215.384999999998</v>
      </c>
      <c r="CR10">
        <v>1850</v>
      </c>
      <c r="CS10">
        <v>21061.538</v>
      </c>
      <c r="CT10">
        <f t="shared" si="11"/>
        <v>17215.384114285713</v>
      </c>
      <c r="CU10" s="148" t="s">
        <v>189</v>
      </c>
      <c r="CV10" s="149">
        <v>3000</v>
      </c>
      <c r="CW10" t="str">
        <f>'constantes gp'!B16</f>
        <v>Anderstorp</v>
      </c>
      <c r="CY10" t="s">
        <v>67</v>
      </c>
      <c r="DA10" t="s">
        <v>196</v>
      </c>
      <c r="DC10">
        <f t="shared" si="1"/>
        <v>3.1</v>
      </c>
      <c r="DD10">
        <f t="shared" si="1"/>
        <v>1.5</v>
      </c>
      <c r="DE10">
        <f t="shared" si="1"/>
        <v>1.5</v>
      </c>
      <c r="DG10" s="174" t="s">
        <v>196</v>
      </c>
      <c r="DH10" s="175"/>
      <c r="DI10" s="175">
        <v>3.1</v>
      </c>
      <c r="DJ10" s="175">
        <v>1.5</v>
      </c>
      <c r="DK10" s="176">
        <v>1.5</v>
      </c>
      <c r="DS10" s="58">
        <f>VLOOKUP('tableau financier'!A1,DS11:DT15,2,0)</f>
        <v>2</v>
      </c>
      <c r="DY10">
        <f t="shared" ref="DY10:EO10" si="28">IF(DY9="stress",1500,IF(DY9="concentration",1000,IF(DY9="efficacite",1250,0)))</f>
        <v>0</v>
      </c>
      <c r="DZ10">
        <f t="shared" si="28"/>
        <v>0</v>
      </c>
      <c r="EA10">
        <f t="shared" si="28"/>
        <v>0</v>
      </c>
      <c r="EB10">
        <f t="shared" si="28"/>
        <v>0</v>
      </c>
      <c r="EC10">
        <f t="shared" si="28"/>
        <v>0</v>
      </c>
      <c r="ED10">
        <f t="shared" si="28"/>
        <v>0</v>
      </c>
      <c r="EE10">
        <f t="shared" si="28"/>
        <v>0</v>
      </c>
      <c r="EF10">
        <f t="shared" si="28"/>
        <v>0</v>
      </c>
      <c r="EG10">
        <f t="shared" si="28"/>
        <v>0</v>
      </c>
      <c r="EH10">
        <f t="shared" si="28"/>
        <v>0</v>
      </c>
      <c r="EI10">
        <f t="shared" si="28"/>
        <v>0</v>
      </c>
      <c r="EJ10">
        <f t="shared" si="28"/>
        <v>0</v>
      </c>
      <c r="EK10">
        <f t="shared" si="28"/>
        <v>0</v>
      </c>
      <c r="EL10">
        <f t="shared" si="28"/>
        <v>0</v>
      </c>
      <c r="EM10">
        <f t="shared" si="28"/>
        <v>0</v>
      </c>
      <c r="EN10">
        <f t="shared" si="28"/>
        <v>0</v>
      </c>
      <c r="EO10">
        <f t="shared" si="28"/>
        <v>0</v>
      </c>
    </row>
    <row r="11" spans="1:145" ht="18" thickBot="1">
      <c r="A11" t="s">
        <v>42</v>
      </c>
      <c r="C11" t="s">
        <v>42</v>
      </c>
      <c r="D11" s="122">
        <v>1.5</v>
      </c>
      <c r="E11" t="s">
        <v>1</v>
      </c>
      <c r="G11" s="118" t="s">
        <v>1</v>
      </c>
      <c r="H11" t="s">
        <v>1</v>
      </c>
      <c r="J11" t="s">
        <v>1</v>
      </c>
      <c r="K11" t="s">
        <v>1</v>
      </c>
      <c r="L11" t="s">
        <v>1</v>
      </c>
      <c r="AO11" s="59"/>
      <c r="AP11" s="103" t="s">
        <v>191</v>
      </c>
      <c r="AQ11" s="103" t="s">
        <v>192</v>
      </c>
      <c r="BL11" s="53">
        <v>5</v>
      </c>
      <c r="BM11" t="s">
        <v>69</v>
      </c>
      <c r="BN11" s="57">
        <f t="shared" si="19"/>
        <v>510.12799999999999</v>
      </c>
      <c r="BO11" s="57">
        <f t="shared" si="20"/>
        <v>631.79399999999998</v>
      </c>
      <c r="BP11" s="57">
        <f t="shared" si="21"/>
        <v>782.476</v>
      </c>
      <c r="BQ11" s="57">
        <f t="shared" si="22"/>
        <v>969.09699999999998</v>
      </c>
      <c r="BR11" s="57">
        <f t="shared" si="23"/>
        <v>1200.2260000000001</v>
      </c>
      <c r="BS11" s="57">
        <f t="shared" si="24"/>
        <v>1486.48</v>
      </c>
      <c r="BT11" s="57">
        <f t="shared" si="25"/>
        <v>1841.0060000000001</v>
      </c>
      <c r="BU11" s="57">
        <f t="shared" si="26"/>
        <v>2280.0859999999998</v>
      </c>
      <c r="BV11" s="57">
        <f t="shared" si="27"/>
        <v>2823.8870000000002</v>
      </c>
      <c r="BY11" s="57">
        <v>510128</v>
      </c>
      <c r="BZ11" s="57">
        <v>631794</v>
      </c>
      <c r="CA11" s="57">
        <v>782476</v>
      </c>
      <c r="CB11" s="57">
        <v>969097</v>
      </c>
      <c r="CC11" s="57">
        <v>1200226</v>
      </c>
      <c r="CD11" s="57">
        <v>1486480</v>
      </c>
      <c r="CE11" s="57">
        <v>1841006</v>
      </c>
      <c r="CF11" s="57">
        <v>2280086</v>
      </c>
      <c r="CG11" s="57">
        <v>2823887</v>
      </c>
      <c r="CI11">
        <v>5</v>
      </c>
      <c r="CJ11">
        <v>360</v>
      </c>
      <c r="CK11">
        <v>7500</v>
      </c>
      <c r="CL11">
        <v>720</v>
      </c>
      <c r="CM11">
        <v>11294.871999999999</v>
      </c>
      <c r="CN11">
        <v>1080</v>
      </c>
      <c r="CO11">
        <v>14141.026</v>
      </c>
      <c r="CP11">
        <v>1440</v>
      </c>
      <c r="CQ11">
        <v>16987.179</v>
      </c>
      <c r="CR11">
        <v>1800</v>
      </c>
      <c r="CS11">
        <v>20782.050999999999</v>
      </c>
      <c r="CT11">
        <f t="shared" si="11"/>
        <v>16987.179</v>
      </c>
      <c r="CU11" s="148" t="s">
        <v>194</v>
      </c>
      <c r="CV11" s="149">
        <v>2500</v>
      </c>
      <c r="CW11" t="str">
        <f>'constantes gp'!B17</f>
        <v>Austin</v>
      </c>
      <c r="CY11" t="s">
        <v>195</v>
      </c>
      <c r="CZ11">
        <v>1</v>
      </c>
      <c r="DA11" t="s">
        <v>48</v>
      </c>
      <c r="DC11">
        <f t="shared" si="1"/>
        <v>1.5</v>
      </c>
      <c r="DD11">
        <f t="shared" si="1"/>
        <v>1.5</v>
      </c>
      <c r="DE11">
        <f t="shared" si="1"/>
        <v>3.1</v>
      </c>
      <c r="DG11" s="174" t="s">
        <v>48</v>
      </c>
      <c r="DH11" s="175"/>
      <c r="DI11" s="175">
        <v>1.5</v>
      </c>
      <c r="DJ11" s="175">
        <v>1.5</v>
      </c>
      <c r="DK11" s="176">
        <v>3.1</v>
      </c>
      <c r="DL11" t="s">
        <v>102</v>
      </c>
      <c r="DM11" t="s">
        <v>102</v>
      </c>
      <c r="DO11" t="s">
        <v>102</v>
      </c>
      <c r="DP11" t="s">
        <v>197</v>
      </c>
      <c r="DQ11" t="s">
        <v>198</v>
      </c>
      <c r="DR11" t="s">
        <v>125</v>
      </c>
      <c r="DS11" t="s">
        <v>199</v>
      </c>
      <c r="DT11">
        <v>1</v>
      </c>
      <c r="DV11" t="s">
        <v>910</v>
      </c>
      <c r="DW11" t="s">
        <v>1</v>
      </c>
    </row>
    <row r="12" spans="1:145" ht="12.75" customHeight="1" thickBot="1">
      <c r="C12" t="s">
        <v>1</v>
      </c>
      <c r="D12" t="s">
        <v>1</v>
      </c>
      <c r="E12">
        <v>1</v>
      </c>
      <c r="G12">
        <v>2</v>
      </c>
      <c r="I12">
        <v>3</v>
      </c>
      <c r="K12">
        <v>4</v>
      </c>
      <c r="M12">
        <v>5</v>
      </c>
      <c r="O12">
        <v>6</v>
      </c>
      <c r="Q12">
        <v>7</v>
      </c>
      <c r="S12">
        <v>8</v>
      </c>
      <c r="U12">
        <v>9</v>
      </c>
      <c r="W12">
        <v>10</v>
      </c>
      <c r="Y12">
        <v>11</v>
      </c>
      <c r="AA12">
        <v>12</v>
      </c>
      <c r="AC12">
        <v>13</v>
      </c>
      <c r="AE12">
        <v>14</v>
      </c>
      <c r="AG12">
        <v>15</v>
      </c>
      <c r="AI12">
        <v>16</v>
      </c>
      <c r="AK12">
        <v>17</v>
      </c>
      <c r="AO12" s="209" t="s">
        <v>200</v>
      </c>
      <c r="AP12" s="60">
        <v>1</v>
      </c>
      <c r="AQ12" s="124">
        <v>1.0193267935988299</v>
      </c>
      <c r="AS12" s="58" t="s">
        <v>201</v>
      </c>
      <c r="BL12" s="53">
        <v>6</v>
      </c>
      <c r="BM12" t="s">
        <v>209</v>
      </c>
      <c r="BN12" s="57">
        <f t="shared" si="19"/>
        <v>459.83100000000002</v>
      </c>
      <c r="BO12" s="57">
        <f t="shared" si="20"/>
        <v>569.50099999999998</v>
      </c>
      <c r="BP12" s="57">
        <f t="shared" si="21"/>
        <v>705.327</v>
      </c>
      <c r="BQ12" s="57">
        <f t="shared" si="22"/>
        <v>873.54700000000003</v>
      </c>
      <c r="BR12" s="57">
        <f t="shared" si="23"/>
        <v>1081.8879999999999</v>
      </c>
      <c r="BS12" s="57">
        <f t="shared" si="24"/>
        <v>1339.9179999999999</v>
      </c>
      <c r="BT12" s="57">
        <f t="shared" si="25"/>
        <v>1659.489</v>
      </c>
      <c r="BU12" s="57">
        <f t="shared" si="26"/>
        <v>2055.277</v>
      </c>
      <c r="BV12" s="57">
        <f t="shared" si="27"/>
        <v>2545.46</v>
      </c>
      <c r="BY12" s="57">
        <v>459831</v>
      </c>
      <c r="BZ12" s="57">
        <v>569501</v>
      </c>
      <c r="CA12" s="57">
        <v>705327</v>
      </c>
      <c r="CB12" s="57">
        <v>873547</v>
      </c>
      <c r="CC12" s="57">
        <v>1081888</v>
      </c>
      <c r="CD12" s="57">
        <v>1339918</v>
      </c>
      <c r="CE12" s="57">
        <v>1659489</v>
      </c>
      <c r="CF12" s="57">
        <v>2055277</v>
      </c>
      <c r="CG12" s="57">
        <v>2545460</v>
      </c>
      <c r="CI12">
        <v>6</v>
      </c>
      <c r="CJ12">
        <v>350</v>
      </c>
      <c r="CK12">
        <v>7400</v>
      </c>
      <c r="CL12">
        <v>700</v>
      </c>
      <c r="CM12">
        <v>11143.588</v>
      </c>
      <c r="CN12">
        <v>1050</v>
      </c>
      <c r="CO12">
        <v>13951.296</v>
      </c>
      <c r="CP12">
        <v>1400</v>
      </c>
      <c r="CQ12">
        <v>16758.973885714287</v>
      </c>
      <c r="CR12">
        <v>1750</v>
      </c>
      <c r="CS12">
        <v>20502.558000000001</v>
      </c>
      <c r="CT12">
        <f t="shared" si="11"/>
        <v>16758.973885714287</v>
      </c>
      <c r="CU12" s="148" t="s">
        <v>202</v>
      </c>
      <c r="CV12" s="149">
        <v>5000</v>
      </c>
      <c r="CW12" t="str">
        <f>'constantes gp'!B18</f>
        <v>Avus</v>
      </c>
      <c r="CY12" t="s">
        <v>203</v>
      </c>
      <c r="CZ12">
        <v>2</v>
      </c>
      <c r="DC12" s="54"/>
      <c r="DD12" s="54"/>
      <c r="DE12" s="54"/>
      <c r="DG12" s="174" t="s">
        <v>212</v>
      </c>
      <c r="DH12" s="175"/>
      <c r="DI12" s="177" t="s">
        <v>140</v>
      </c>
      <c r="DJ12" s="177" t="s">
        <v>141</v>
      </c>
      <c r="DK12" s="178" t="s">
        <v>142</v>
      </c>
      <c r="DL12" t="s">
        <v>101</v>
      </c>
      <c r="DM12" t="s">
        <v>109</v>
      </c>
      <c r="DN12" s="4">
        <v>1</v>
      </c>
      <c r="DO12" t="s">
        <v>204</v>
      </c>
      <c r="DP12" t="s">
        <v>205</v>
      </c>
      <c r="DQ12" t="s">
        <v>206</v>
      </c>
      <c r="DR12" t="s">
        <v>124</v>
      </c>
      <c r="DS12" t="s">
        <v>0</v>
      </c>
      <c r="DT12">
        <v>2</v>
      </c>
    </row>
    <row r="13" spans="1:145" ht="18" thickBot="1">
      <c r="A13" t="s">
        <v>391</v>
      </c>
      <c r="B13" t="s">
        <v>29</v>
      </c>
      <c r="C13" s="147" t="str">
        <f>'tableau financier'!A22</f>
        <v>Grobnik</v>
      </c>
      <c r="D13" t="s">
        <v>207</v>
      </c>
      <c r="E13" s="58" t="str">
        <f>'tableau financier'!D4</f>
        <v>Interlagos</v>
      </c>
      <c r="F13" s="58"/>
      <c r="G13" s="58" t="str">
        <f>'tableau financier'!F4</f>
        <v>Melbourne</v>
      </c>
      <c r="H13" s="58"/>
      <c r="I13" s="58" t="str">
        <f>'tableau financier'!H4</f>
        <v>Mexico City</v>
      </c>
      <c r="J13" s="58"/>
      <c r="K13" s="58" t="str">
        <f>'tableau financier'!J4</f>
        <v>Buenos Aires</v>
      </c>
      <c r="L13" s="58"/>
      <c r="M13" s="58" t="str">
        <f>'tableau financier'!L4</f>
        <v>Las Vegas</v>
      </c>
      <c r="N13" s="58"/>
      <c r="O13" s="58" t="str">
        <f>'tableau financier'!N4</f>
        <v>Fuji</v>
      </c>
      <c r="P13" s="58"/>
      <c r="Q13" s="58" t="str">
        <f>'tableau financier'!P4</f>
        <v>Yas Marina</v>
      </c>
      <c r="R13" s="58"/>
      <c r="S13" s="58" t="str">
        <f>'tableau financier'!R4</f>
        <v>Shanghai</v>
      </c>
      <c r="T13" s="58"/>
      <c r="U13" s="58" t="str">
        <f>'tableau financier'!T4</f>
        <v>Istanbul</v>
      </c>
      <c r="V13" s="58"/>
      <c r="W13" s="58" t="str">
        <f>'tableau financier'!V4</f>
        <v>Sepang</v>
      </c>
      <c r="X13" s="58"/>
      <c r="Y13" s="58" t="str">
        <f>'tableau financier'!X4</f>
        <v>Mugello</v>
      </c>
      <c r="Z13" s="58"/>
      <c r="AA13" s="58" t="str">
        <f>'tableau financier'!Z4</f>
        <v>Hockenheim</v>
      </c>
      <c r="AB13" s="58"/>
      <c r="AC13" s="58" t="str">
        <f>'tableau financier'!AB4</f>
        <v>Brno</v>
      </c>
      <c r="AD13" s="58"/>
      <c r="AE13" s="58" t="str">
        <f>'tableau financier'!AD4</f>
        <v>Serres</v>
      </c>
      <c r="AF13" s="58"/>
      <c r="AG13" s="58" t="str">
        <f>'tableau financier'!AF4</f>
        <v>Portimao</v>
      </c>
      <c r="AH13" s="58"/>
      <c r="AI13" s="58" t="str">
        <f>'tableau financier'!AH4</f>
        <v>Poznan</v>
      </c>
      <c r="AJ13" s="58"/>
      <c r="AK13" s="58" t="str">
        <f>'tableau financier'!AJ4</f>
        <v>Oesterreichring</v>
      </c>
      <c r="AO13" s="209"/>
      <c r="AP13" s="60">
        <v>2</v>
      </c>
      <c r="AQ13" s="124">
        <v>1.00995581572653</v>
      </c>
      <c r="AU13" s="4" t="s">
        <v>140</v>
      </c>
      <c r="AV13" s="4" t="s">
        <v>141</v>
      </c>
      <c r="AW13" s="4" t="s">
        <v>142</v>
      </c>
      <c r="BL13" s="53">
        <v>7</v>
      </c>
      <c r="BM13" t="s">
        <v>220</v>
      </c>
      <c r="BN13" s="57">
        <f t="shared" si="19"/>
        <v>454.54500000000002</v>
      </c>
      <c r="BO13" s="57">
        <f t="shared" si="20"/>
        <v>562.95399999999995</v>
      </c>
      <c r="BP13" s="57">
        <f t="shared" si="21"/>
        <v>697.21900000000005</v>
      </c>
      <c r="BQ13" s="57">
        <f t="shared" si="22"/>
        <v>863.505</v>
      </c>
      <c r="BR13" s="57">
        <f t="shared" si="23"/>
        <v>1069.451</v>
      </c>
      <c r="BS13" s="57">
        <f t="shared" si="24"/>
        <v>1324.5150000000001</v>
      </c>
      <c r="BT13" s="57">
        <f t="shared" si="25"/>
        <v>1640.412</v>
      </c>
      <c r="BU13" s="57">
        <f t="shared" si="26"/>
        <v>2031.65</v>
      </c>
      <c r="BV13" s="57">
        <f t="shared" si="27"/>
        <v>2516.1990000000001</v>
      </c>
      <c r="BY13" s="57">
        <v>454545</v>
      </c>
      <c r="BZ13" s="57">
        <v>562954</v>
      </c>
      <c r="CA13" s="57">
        <v>697219</v>
      </c>
      <c r="CB13" s="57">
        <v>863505</v>
      </c>
      <c r="CC13" s="57">
        <v>1069451</v>
      </c>
      <c r="CD13" s="57">
        <v>1324515</v>
      </c>
      <c r="CE13" s="57">
        <v>1640412</v>
      </c>
      <c r="CF13" s="57">
        <v>2031650</v>
      </c>
      <c r="CG13" s="57">
        <v>2516199</v>
      </c>
      <c r="CI13">
        <v>7</v>
      </c>
      <c r="CJ13">
        <v>340</v>
      </c>
      <c r="CK13">
        <v>7300</v>
      </c>
      <c r="CL13">
        <v>680</v>
      </c>
      <c r="CM13">
        <v>10992.306</v>
      </c>
      <c r="CN13">
        <v>1020</v>
      </c>
      <c r="CO13">
        <v>13761.552</v>
      </c>
      <c r="CP13">
        <v>1360</v>
      </c>
      <c r="CQ13">
        <v>16530.768771428575</v>
      </c>
      <c r="CR13">
        <v>1700</v>
      </c>
      <c r="CS13">
        <v>20223.071</v>
      </c>
      <c r="CT13">
        <f t="shared" si="11"/>
        <v>16530.768771428575</v>
      </c>
      <c r="CU13" s="148" t="s">
        <v>210</v>
      </c>
      <c r="CV13" s="149">
        <v>6900</v>
      </c>
      <c r="CW13" t="str">
        <f>'constantes gp'!B19</f>
        <v>Baku</v>
      </c>
      <c r="CY13" t="s">
        <v>211</v>
      </c>
      <c r="CZ13">
        <v>3</v>
      </c>
      <c r="DC13">
        <v>0</v>
      </c>
      <c r="DD13" t="s">
        <v>851</v>
      </c>
      <c r="DG13" s="174" t="s">
        <v>45</v>
      </c>
      <c r="DH13" s="175"/>
      <c r="DI13" s="175">
        <v>0</v>
      </c>
      <c r="DJ13" s="175">
        <v>0</v>
      </c>
      <c r="DK13" s="176">
        <v>0</v>
      </c>
      <c r="DL13" t="s">
        <v>161</v>
      </c>
      <c r="DM13" t="s">
        <v>213</v>
      </c>
      <c r="DN13" s="4">
        <v>2</v>
      </c>
      <c r="DO13" t="s">
        <v>214</v>
      </c>
      <c r="DP13" t="s">
        <v>215</v>
      </c>
      <c r="DQ13" t="s">
        <v>216</v>
      </c>
      <c r="DR13" t="s">
        <v>217</v>
      </c>
      <c r="DS13" t="s">
        <v>218</v>
      </c>
      <c r="DT13">
        <v>3</v>
      </c>
      <c r="DV13" t="s">
        <v>1</v>
      </c>
      <c r="DW13" t="s">
        <v>981</v>
      </c>
      <c r="EE13" t="s">
        <v>986</v>
      </c>
    </row>
    <row r="14" spans="1:145" ht="18" thickBot="1">
      <c r="A14" s="107">
        <v>6</v>
      </c>
      <c r="B14" s="107">
        <v>8</v>
      </c>
      <c r="C14" s="145">
        <v>10</v>
      </c>
      <c r="D14" s="108" t="s">
        <v>176</v>
      </c>
      <c r="E14">
        <f>VLOOKUP(données!E$13,'constantes gp'!$B$13:$M$76,2,0)*VLOOKUP('tableau financier'!D29,données!$AP$12:$AQ$20,2,0)^'tableau financier'!D$2*(0.998789138^'tableau financier'!D$92)*(0.998751839^'tableau financier'!D$93)*(0.998707677^'tableau financier'!D$94)+$D$11</f>
        <v>24.433568776304089</v>
      </c>
      <c r="F14" t="s">
        <v>1</v>
      </c>
      <c r="G14">
        <f>VLOOKUP(données!G$13,'constantes gp'!$B$13:$M$76,2,0)*VLOOKUP('tableau financier'!F29,données!$AP$12:$AQ$20,2,0)^'tableau financier'!F$2*(0.998789138^'tableau financier'!F$92)*(0.998751839^'tableau financier'!F$93)*(0.998707677^'tableau financier'!F$94)+$D$11</f>
        <v>14.761986331545613</v>
      </c>
      <c r="H14" t="s">
        <v>1</v>
      </c>
      <c r="I14">
        <f>VLOOKUP(données!I$13,'constantes gp'!$B$13:$M$76,2,0)*VLOOKUP('tableau financier'!H29,données!$AP$12:$AQ$20,2,0)^'tableau financier'!H$2*(0.998789138^'tableau financier'!H$92)*(0.998751839^'tableau financier'!H$93)*(0.998707677^'tableau financier'!H$94)+$D$11</f>
        <v>8.8085474592855846</v>
      </c>
      <c r="J14" t="s">
        <v>1</v>
      </c>
      <c r="K14">
        <f>VLOOKUP(données!K$13,'constantes gp'!$B$13:$M$76,2,0)*VLOOKUP('tableau financier'!J29,données!$AP$12:$AQ$20,2,0)^'tableau financier'!J$2*(0.998789138^'tableau financier'!J$92)*(0.998751839^'tableau financier'!J$93)*(0.998707677^'tableau financier'!J$94)+$D$11</f>
        <v>20.371751723867327</v>
      </c>
      <c r="L14" t="s">
        <v>1</v>
      </c>
      <c r="M14">
        <f>VLOOKUP(données!M$13,'constantes gp'!$B$13:$M$76,2,0)*VLOOKUP('tableau financier'!L29,données!$AP$12:$AQ$20,2,0)^'tableau financier'!L$2*(0.998789138^'tableau financier'!L$92)*(0.998751839^'tableau financier'!L$93)*(0.998707677^'tableau financier'!L$94)+$D$11</f>
        <v>1.5</v>
      </c>
      <c r="N14" t="s">
        <v>1</v>
      </c>
      <c r="O14">
        <f>VLOOKUP(données!O$13,'constantes gp'!$B$13:$M$76,2,0)*VLOOKUP('tableau financier'!N29,données!$AP$12:$AQ$20,2,0)^'tableau financier'!N$2*(0.998789138^'tableau financier'!N$92)*(0.998751839^'tableau financier'!N$93)*(0.998707677^'tableau financier'!N$94)+$D$11</f>
        <v>20.972306770970249</v>
      </c>
      <c r="P14" t="s">
        <v>1</v>
      </c>
      <c r="Q14">
        <f>VLOOKUP(données!Q$13,'constantes gp'!$B$13:$M$76,2,0)*VLOOKUP('tableau financier'!P29,données!$AP$12:$AQ$20,2,0)^'tableau financier'!P$2*(0.998789138^'tableau financier'!P$92)*(0.998751839^'tableau financier'!P$93)*(0.998707677^'tableau financier'!P$94)+$D$11</f>
        <v>15.686840993603148</v>
      </c>
      <c r="R14" t="s">
        <v>1</v>
      </c>
      <c r="S14">
        <f>VLOOKUP(données!S$13,'constantes gp'!$B$13:$M$76,2,0)*VLOOKUP('tableau financier'!R29,données!$AP$12:$AQ$20,2,0)^'tableau financier'!R$2*(0.998789138^'tableau financier'!R$92)*(0.998751839^'tableau financier'!R$93)*(0.998707677^'tableau financier'!R$94)+$D$11</f>
        <v>14.429147952847199</v>
      </c>
      <c r="T14" t="s">
        <v>1</v>
      </c>
      <c r="U14">
        <f>VLOOKUP(données!U$13,'constantes gp'!$B$13:$M$76,2,0)*VLOOKUP('tableau financier'!T29,données!$AP$12:$AQ$20,2,0)^'tableau financier'!T$2*(0.998789138^'tableau financier'!T$92)*(0.998751839^'tableau financier'!T$93)*(0.998707677^'tableau financier'!T$94)+$D$11</f>
        <v>18.544382915783832</v>
      </c>
      <c r="V14" t="s">
        <v>1</v>
      </c>
      <c r="W14">
        <f>VLOOKUP(données!W$13,'constantes gp'!$B$13:$M$76,2,0)*VLOOKUP('tableau financier'!V29,données!$AP$12:$AQ$20,2,0)^'tableau financier'!V$2*(0.998789138^'tableau financier'!V$92)*(0.998751839^'tableau financier'!V$93)*(0.998707677^'tableau financier'!V$94)+$D$11</f>
        <v>17.256787686322753</v>
      </c>
      <c r="X14" t="s">
        <v>1</v>
      </c>
      <c r="Y14">
        <f>VLOOKUP(données!Y$13,'constantes gp'!$B$13:$M$76,2,0)*VLOOKUP('tableau financier'!X29,données!$AP$12:$AQ$20,2,0)^'tableau financier'!X$2*(0.998789138^'tableau financier'!X$92)*(0.998751839^'tableau financier'!X$93)*(0.998707677^'tableau financier'!X$94)+$D$11</f>
        <v>15.486390748142203</v>
      </c>
      <c r="Z14" t="s">
        <v>1</v>
      </c>
      <c r="AA14">
        <f>VLOOKUP(données!AA$13,'constantes gp'!$B$13:$M$76,2,0)*VLOOKUP('tableau financier'!Z29,données!$AP$12:$AQ$20,2,0)^'tableau financier'!Z$2*(0.998789138^'tableau financier'!Z$92)*(0.998751839^'tableau financier'!Z$93)*(0.998707677^'tableau financier'!Z$94)+$D$11</f>
        <v>19.870390503916344</v>
      </c>
      <c r="AB14" t="s">
        <v>1</v>
      </c>
      <c r="AC14">
        <f>VLOOKUP(données!AC$13,'constantes gp'!$B$13:$M$76,2,0)*VLOOKUP('tableau financier'!AB29,données!$AP$12:$AQ$20,2,0)^'tableau financier'!AB$2*(0.998789138^'tableau financier'!AB$92)*(0.998751839^'tableau financier'!AB$93)*(0.998707677^'tableau financier'!AB$94)+$D$11</f>
        <v>17.923883005705711</v>
      </c>
      <c r="AD14" t="s">
        <v>1</v>
      </c>
      <c r="AE14">
        <f>VLOOKUP(données!AE$13,'constantes gp'!$B$13:$M$76,2,0)*VLOOKUP('tableau financier'!AD29,données!$AP$12:$AQ$20,2,0)^'tableau financier'!AD$2*(0.998789138^'tableau financier'!AD$92)*(0.998751839^'tableau financier'!AD$93)*(0.998707677^'tableau financier'!AD$94)+$D$11</f>
        <v>16.948016968720221</v>
      </c>
      <c r="AF14" t="s">
        <v>1</v>
      </c>
      <c r="AG14">
        <f>VLOOKUP(données!AG$13,'constantes gp'!$B$13:$M$76,2,0)*VLOOKUP('tableau financier'!AF29,données!$AP$12:$AQ$20,2,0)^'tableau financier'!AF$2*(0.998789138^'tableau financier'!AF$92)*(0.998751839^'tableau financier'!AF$93)*(0.998707677^'tableau financier'!AF$94)+$D$11</f>
        <v>16.473107257324578</v>
      </c>
      <c r="AH14" t="s">
        <v>1</v>
      </c>
      <c r="AI14">
        <f>VLOOKUP(données!AI$13,'constantes gp'!$B$13:$M$76,2,0)*VLOOKUP('tableau financier'!AH29,données!$AP$12:$AQ$20,2,0)^'tableau financier'!AH$2*(0.998789138^'tableau financier'!AH$92)*(0.998751839^'tableau financier'!AH$93)*(0.998707677^'tableau financier'!AH$94)+$D$11</f>
        <v>19.803656046172261</v>
      </c>
      <c r="AJ14" t="s">
        <v>1</v>
      </c>
      <c r="AK14">
        <f>VLOOKUP(données!AK$13,'constantes gp'!$B$13:$M$76,2,0)*VLOOKUP('tableau financier'!AJ29,données!$AP$12:$AQ$20,2,0)^'tableau financier'!AJ$2*(0.998789138^'tableau financier'!AJ$92)*(0.998751839^'tableau financier'!AJ$93)*(0.998707677^'tableau financier'!AJ$94)+$D$11</f>
        <v>13.919986438179233</v>
      </c>
      <c r="AL14" t="s">
        <v>1</v>
      </c>
      <c r="AO14" s="209"/>
      <c r="AP14" s="60">
        <v>3</v>
      </c>
      <c r="AQ14" s="124">
        <v>1.0073261618496101</v>
      </c>
      <c r="AS14" t="str">
        <f>'tableau financier'!A27</f>
        <v>chassis</v>
      </c>
      <c r="AT14" s="4">
        <v>6</v>
      </c>
      <c r="AU14" s="4">
        <v>0.7</v>
      </c>
      <c r="AV14" s="4">
        <v>1.7000000000000002</v>
      </c>
      <c r="AW14" s="4">
        <v>1.5</v>
      </c>
      <c r="BL14" s="53">
        <v>8</v>
      </c>
      <c r="BM14" t="s">
        <v>229</v>
      </c>
      <c r="BN14" s="57">
        <f t="shared" si="19"/>
        <v>3098.1039999999998</v>
      </c>
      <c r="BO14" s="57">
        <f t="shared" si="20"/>
        <v>3837.002</v>
      </c>
      <c r="BP14" s="57">
        <f t="shared" si="21"/>
        <v>4752.1270000000004</v>
      </c>
      <c r="BQ14" s="57">
        <f t="shared" si="22"/>
        <v>5885.509</v>
      </c>
      <c r="BR14" s="57">
        <f t="shared" si="23"/>
        <v>7289.2030000000004</v>
      </c>
      <c r="BS14" s="57">
        <f t="shared" si="24"/>
        <v>9027.6779999999999</v>
      </c>
      <c r="BT14" s="57">
        <f t="shared" si="25"/>
        <v>11180.779</v>
      </c>
      <c r="BU14" s="57">
        <f t="shared" si="26"/>
        <v>13847.395</v>
      </c>
      <c r="BV14" s="57">
        <f t="shared" si="27"/>
        <v>17149.998</v>
      </c>
      <c r="BY14" s="57">
        <v>3098104</v>
      </c>
      <c r="BZ14" s="57">
        <v>3837002</v>
      </c>
      <c r="CA14" s="57">
        <v>4752127</v>
      </c>
      <c r="CB14" s="57">
        <v>5885509</v>
      </c>
      <c r="CC14" s="57">
        <v>7289203</v>
      </c>
      <c r="CD14" s="57">
        <v>9027678</v>
      </c>
      <c r="CE14" s="57">
        <v>11180779</v>
      </c>
      <c r="CF14" s="57">
        <v>13847395</v>
      </c>
      <c r="CG14" s="57">
        <v>17149998</v>
      </c>
      <c r="CI14">
        <v>8</v>
      </c>
      <c r="CJ14">
        <v>330</v>
      </c>
      <c r="CK14">
        <v>7200</v>
      </c>
      <c r="CL14">
        <v>660</v>
      </c>
      <c r="CM14">
        <v>10841.023999999999</v>
      </c>
      <c r="CN14">
        <v>990</v>
      </c>
      <c r="CO14">
        <v>13571.808000000001</v>
      </c>
      <c r="CP14">
        <v>1320</v>
      </c>
      <c r="CQ14">
        <v>16302.563657142862</v>
      </c>
      <c r="CR14">
        <v>1650</v>
      </c>
      <c r="CS14">
        <v>19943.583999999999</v>
      </c>
      <c r="CT14">
        <f t="shared" si="11"/>
        <v>16302.563657142862</v>
      </c>
      <c r="CU14" s="148" t="s">
        <v>136</v>
      </c>
      <c r="CV14" s="149">
        <v>250</v>
      </c>
      <c r="CW14" t="str">
        <f>'constantes gp'!B20</f>
        <v>Barcelona</v>
      </c>
      <c r="CY14" t="s">
        <v>221</v>
      </c>
      <c r="CZ14">
        <v>4</v>
      </c>
      <c r="DD14" t="s">
        <v>852</v>
      </c>
      <c r="DG14" s="174" t="s">
        <v>46</v>
      </c>
      <c r="DH14" s="175"/>
      <c r="DI14" s="175">
        <v>12.8</v>
      </c>
      <c r="DJ14" s="175">
        <v>1.6</v>
      </c>
      <c r="DK14" s="176">
        <v>1.6</v>
      </c>
      <c r="DL14" t="s">
        <v>128</v>
      </c>
      <c r="DM14" t="s">
        <v>222</v>
      </c>
      <c r="DN14" s="4">
        <v>3</v>
      </c>
      <c r="DO14" t="s">
        <v>223</v>
      </c>
      <c r="DP14" t="s">
        <v>224</v>
      </c>
      <c r="DQ14" t="s">
        <v>225</v>
      </c>
      <c r="DR14" t="s">
        <v>226</v>
      </c>
      <c r="DS14" t="s">
        <v>227</v>
      </c>
      <c r="DT14">
        <v>4</v>
      </c>
      <c r="DW14" t="s">
        <v>1</v>
      </c>
      <c r="DX14" t="s">
        <v>983</v>
      </c>
      <c r="EA14" t="s">
        <v>1</v>
      </c>
      <c r="EC14" t="s">
        <v>985</v>
      </c>
      <c r="EE14" t="str">
        <f>VLOOKUP(EE13,EA16:ED77,3,1)</f>
        <v>0.6165</v>
      </c>
    </row>
    <row r="15" spans="1:145" ht="18" thickBot="1">
      <c r="A15" s="107">
        <v>7</v>
      </c>
      <c r="B15" s="107">
        <v>16</v>
      </c>
      <c r="C15" s="145">
        <v>10</v>
      </c>
      <c r="D15" s="108" t="s">
        <v>63</v>
      </c>
      <c r="E15">
        <f>VLOOKUP(données!E$13,'constantes gp'!$B$13:$M$76,3,0)*VLOOKUP('tableau financier'!D33,données!$AP$12:$AQ$20,2,0)^'tableau financier'!D$2*(0.998789138^'tableau financier'!D$92)*(0.998751839^'tableau financier'!D$93)*(0.998707677^'tableau financier'!D$94)+$D$11</f>
        <v>32.695953301100388</v>
      </c>
      <c r="F15" t="s">
        <v>1</v>
      </c>
      <c r="G15">
        <f>VLOOKUP(données!G$13,'constantes gp'!$B$13:$M$76,3,0)*VLOOKUP('tableau financier'!F33,données!$AP$12:$AQ$20,2,0)^'tableau financier'!F$2*(0.998789138^'tableau financier'!F$92)*(0.998751839^'tableau financier'!F$93)*(0.998707677^'tableau financier'!F$94)+$D$11</f>
        <v>28.916207584371808</v>
      </c>
      <c r="H15" t="s">
        <v>1</v>
      </c>
      <c r="I15">
        <f>VLOOKUP(données!I$13,'constantes gp'!$B$13:$M$76,3,0)*VLOOKUP('tableau financier'!H33,données!$AP$12:$AQ$20,2,0)^'tableau financier'!H$2*(0.998789138^'tableau financier'!H$92)*(0.998751839^'tableau financier'!H$93)*(0.998707677^'tableau financier'!H$94)+$D$11</f>
        <v>15.532779194725233</v>
      </c>
      <c r="J15" t="s">
        <v>1</v>
      </c>
      <c r="K15">
        <f>VLOOKUP(données!K$13,'constantes gp'!$B$13:$M$76,3,0)*VLOOKUP('tableau financier'!J33,données!$AP$12:$AQ$20,2,0)^'tableau financier'!J$2*(0.998789138^'tableau financier'!J$92)*(0.998751839^'tableau financier'!J$93)*(0.998707677^'tableau financier'!J$94)+$D$11</f>
        <v>36.40208304576818</v>
      </c>
      <c r="L15" t="s">
        <v>1</v>
      </c>
      <c r="M15">
        <f>VLOOKUP(données!M$13,'constantes gp'!$B$13:$M$76,3,0)*VLOOKUP('tableau financier'!L33,données!$AP$12:$AQ$20,2,0)^'tableau financier'!L$2*(0.998789138^'tableau financier'!L$92)*(0.998751839^'tableau financier'!L$93)*(0.998707677^'tableau financier'!L$94)+$D$11</f>
        <v>1.5</v>
      </c>
      <c r="N15" t="s">
        <v>1</v>
      </c>
      <c r="O15">
        <f>VLOOKUP(données!O$13,'constantes gp'!$B$13:$M$76,3,0)*VLOOKUP('tableau financier'!N33,données!$AP$12:$AQ$20,2,0)^'tableau financier'!N$2*(0.998789138^'tableau financier'!N$92)*(0.998751839^'tableau financier'!N$93)*(0.998707677^'tableau financier'!N$94)+$D$11</f>
        <v>24.088245406249019</v>
      </c>
      <c r="P15" t="s">
        <v>1</v>
      </c>
      <c r="Q15">
        <f>VLOOKUP(données!Q$13,'constantes gp'!$B$13:$M$76,3,0)*VLOOKUP('tableau financier'!P33,données!$AP$12:$AQ$20,2,0)^'tableau financier'!P$2*(0.998789138^'tableau financier'!P$92)*(0.998751839^'tableau financier'!P$93)*(0.998707677^'tableau financier'!P$94)+$D$11</f>
        <v>10.902986351020443</v>
      </c>
      <c r="R15" t="s">
        <v>1</v>
      </c>
      <c r="S15">
        <f>VLOOKUP(données!S$13,'constantes gp'!$B$13:$M$76,3,0)*VLOOKUP('tableau financier'!R33,données!$AP$12:$AQ$20,2,0)^'tableau financier'!R$2*(0.998789138^'tableau financier'!R$92)*(0.998751839^'tableau financier'!R$93)*(0.998707677^'tableau financier'!R$94)+$D$11</f>
        <v>37.704741026848296</v>
      </c>
      <c r="T15" t="s">
        <v>1</v>
      </c>
      <c r="U15">
        <f>VLOOKUP(données!U$13,'constantes gp'!$B$13:$M$76,3,0)*VLOOKUP('tableau financier'!T33,données!$AP$12:$AQ$20,2,0)^'tableau financier'!T$2*(0.998789138^'tableau financier'!T$92)*(0.998751839^'tableau financier'!T$93)*(0.998707677^'tableau financier'!T$94)+$D$11</f>
        <v>20.070997181630833</v>
      </c>
      <c r="V15" t="s">
        <v>1</v>
      </c>
      <c r="W15">
        <f>VLOOKUP(données!W$13,'constantes gp'!$B$13:$M$76,3,0)*VLOOKUP('tableau financier'!V33,données!$AP$12:$AQ$20,2,0)^'tableau financier'!V$2*(0.998789138^'tableau financier'!V$92)*(0.998751839^'tableau financier'!V$93)*(0.998707677^'tableau financier'!V$94)+$D$11</f>
        <v>29.544276718861688</v>
      </c>
      <c r="X15" t="s">
        <v>1</v>
      </c>
      <c r="Y15">
        <f>VLOOKUP(données!Y$13,'constantes gp'!$B$13:$M$76,3,0)*VLOOKUP('tableau financier'!X33,données!$AP$12:$AQ$20,2,0)^'tableau financier'!X$2*(0.998789138^'tableau financier'!X$92)*(0.998751839^'tableau financier'!X$93)*(0.998707677^'tableau financier'!X$94)+$D$11</f>
        <v>15.007728777277881</v>
      </c>
      <c r="Z15" t="s">
        <v>1</v>
      </c>
      <c r="AA15">
        <f>VLOOKUP(données!AA$13,'constantes gp'!$B$13:$M$76,3,0)*VLOOKUP('tableau financier'!Z33,données!$AP$12:$AQ$20,2,0)^'tableau financier'!Z$2*(0.998789138^'tableau financier'!Z$92)*(0.998751839^'tableau financier'!Z$93)*(0.998707677^'tableau financier'!Z$94)+$D$11</f>
        <v>39.687591424055071</v>
      </c>
      <c r="AB15" t="s">
        <v>1</v>
      </c>
      <c r="AC15">
        <f>VLOOKUP(données!AC$13,'constantes gp'!$B$13:$M$76,3,0)*VLOOKUP('tableau financier'!AB33,données!$AP$12:$AQ$20,2,0)^'tableau financier'!AB$2*(0.998789138^'tableau financier'!AB$92)*(0.998751839^'tableau financier'!AB$93)*(0.998707677^'tableau financier'!AB$94)+$D$11</f>
        <v>29.826668399972256</v>
      </c>
      <c r="AD15" t="s">
        <v>1</v>
      </c>
      <c r="AE15">
        <f>VLOOKUP(données!AE$13,'constantes gp'!$B$13:$M$76,3,0)*VLOOKUP('tableau financier'!AD33,données!$AP$12:$AQ$20,2,0)^'tableau financier'!AD$2*(0.998789138^'tableau financier'!AD$92)*(0.998751839^'tableau financier'!AD$93)*(0.998707677^'tableau financier'!AD$94)+$D$11</f>
        <v>20.473911914135591</v>
      </c>
      <c r="AF15" t="s">
        <v>1</v>
      </c>
      <c r="AG15">
        <f>VLOOKUP(données!AG$13,'constantes gp'!$B$13:$M$76,3,0)*VLOOKUP('tableau financier'!AF33,données!$AP$12:$AQ$20,2,0)^'tableau financier'!AF$2*(0.998789138^'tableau financier'!AF$92)*(0.998751839^'tableau financier'!AF$93)*(0.998707677^'tableau financier'!AF$94)+$D$11</f>
        <v>15.105392316364258</v>
      </c>
      <c r="AH15" t="s">
        <v>1</v>
      </c>
      <c r="AI15">
        <f>VLOOKUP(données!AI$13,'constantes gp'!$B$13:$M$76,3,0)*VLOOKUP('tableau financier'!AH33,données!$AP$12:$AQ$20,2,0)^'tableau financier'!AH$2*(0.998789138^'tableau financier'!AH$92)*(0.998751839^'tableau financier'!AH$93)*(0.998707677^'tableau financier'!AH$94)+$D$11</f>
        <v>26.925004256476502</v>
      </c>
      <c r="AJ15" t="s">
        <v>1</v>
      </c>
      <c r="AK15">
        <f>VLOOKUP(données!AK$13,'constantes gp'!$B$13:$M$76,3,0)*VLOOKUP('tableau financier'!AJ33,données!$AP$12:$AQ$20,2,0)^'tableau financier'!AJ$2*(0.998789138^'tableau financier'!AJ$92)*(0.998751839^'tableau financier'!AJ$93)*(0.998707677^'tableau financier'!AJ$94)+$D$11</f>
        <v>29.100282503874062</v>
      </c>
      <c r="AL15" t="s">
        <v>1</v>
      </c>
      <c r="AO15" s="209"/>
      <c r="AP15" s="60">
        <v>4</v>
      </c>
      <c r="AQ15" s="124">
        <v>1.0053141448054901</v>
      </c>
      <c r="AS15" t="str">
        <f>'tableau financier'!A31</f>
        <v>moteur</v>
      </c>
      <c r="AT15" s="4">
        <v>6</v>
      </c>
      <c r="AU15" s="4">
        <v>5.8</v>
      </c>
      <c r="AV15" s="4">
        <v>0.7</v>
      </c>
      <c r="AW15" s="4">
        <v>2</v>
      </c>
      <c r="BL15" s="53">
        <v>9</v>
      </c>
      <c r="BM15" t="s">
        <v>237</v>
      </c>
      <c r="BN15" s="57">
        <f t="shared" si="19"/>
        <v>697.67399999999998</v>
      </c>
      <c r="BO15" s="57">
        <f t="shared" si="20"/>
        <v>864.06899999999996</v>
      </c>
      <c r="BP15" s="57">
        <f t="shared" si="21"/>
        <v>1070.1500000000001</v>
      </c>
      <c r="BQ15" s="57">
        <f t="shared" si="22"/>
        <v>1325.38</v>
      </c>
      <c r="BR15" s="57">
        <f t="shared" si="23"/>
        <v>1641.4839999999999</v>
      </c>
      <c r="BS15" s="57">
        <f t="shared" si="24"/>
        <v>2032.9780000000001</v>
      </c>
      <c r="BT15" s="57">
        <f t="shared" si="25"/>
        <v>2517.8429999999998</v>
      </c>
      <c r="BU15" s="57">
        <f t="shared" si="26"/>
        <v>3118.348</v>
      </c>
      <c r="BV15" s="57">
        <f t="shared" si="27"/>
        <v>3862.0740000000001</v>
      </c>
      <c r="BY15" s="57">
        <v>697674</v>
      </c>
      <c r="BZ15" s="57">
        <v>864069</v>
      </c>
      <c r="CA15" s="57">
        <v>1070150</v>
      </c>
      <c r="CB15" s="57">
        <v>1325380</v>
      </c>
      <c r="CC15" s="57">
        <v>1641484</v>
      </c>
      <c r="CD15" s="57">
        <v>2032978</v>
      </c>
      <c r="CE15" s="57">
        <v>2517843</v>
      </c>
      <c r="CF15" s="57">
        <v>3118348</v>
      </c>
      <c r="CG15" s="57">
        <v>3862074</v>
      </c>
      <c r="CI15">
        <v>9</v>
      </c>
      <c r="CJ15">
        <v>320</v>
      </c>
      <c r="CK15">
        <v>7100</v>
      </c>
      <c r="CL15">
        <v>640</v>
      </c>
      <c r="CM15">
        <v>10689.742</v>
      </c>
      <c r="CN15">
        <v>960</v>
      </c>
      <c r="CO15">
        <v>13382.064</v>
      </c>
      <c r="CP15">
        <v>1280</v>
      </c>
      <c r="CQ15">
        <v>16074.358542857148</v>
      </c>
      <c r="CR15">
        <v>1600</v>
      </c>
      <c r="CS15">
        <v>19664.097000000002</v>
      </c>
      <c r="CT15">
        <f t="shared" si="11"/>
        <v>16074.358542857148</v>
      </c>
      <c r="CU15" s="148" t="s">
        <v>230</v>
      </c>
      <c r="CV15" s="149">
        <v>1900</v>
      </c>
      <c r="CW15" t="str">
        <f>'constantes gp'!B21</f>
        <v>Brands Hatch</v>
      </c>
      <c r="CY15" t="s">
        <v>64</v>
      </c>
      <c r="CZ15">
        <v>5</v>
      </c>
      <c r="DF15" t="s">
        <v>1</v>
      </c>
      <c r="DG15" s="174" t="s">
        <v>178</v>
      </c>
      <c r="DH15" s="175"/>
      <c r="DI15" s="175">
        <v>1.6</v>
      </c>
      <c r="DJ15" s="175">
        <v>1.6</v>
      </c>
      <c r="DK15" s="176">
        <v>12.8</v>
      </c>
      <c r="DL15" t="s">
        <v>129</v>
      </c>
      <c r="DM15" t="s">
        <v>231</v>
      </c>
      <c r="DN15" s="4">
        <v>4</v>
      </c>
      <c r="DP15" t="s">
        <v>232</v>
      </c>
      <c r="DQ15" t="s">
        <v>233</v>
      </c>
      <c r="DR15" t="s">
        <v>234</v>
      </c>
      <c r="DS15" t="s">
        <v>235</v>
      </c>
      <c r="DT15">
        <v>5</v>
      </c>
      <c r="DV15" t="s">
        <v>41</v>
      </c>
      <c r="DW15" t="s">
        <v>982</v>
      </c>
      <c r="DX15" t="s">
        <v>984</v>
      </c>
      <c r="DY15" t="s">
        <v>22</v>
      </c>
      <c r="EA15" t="s">
        <v>41</v>
      </c>
      <c r="EB15" t="s">
        <v>984</v>
      </c>
      <c r="EC15" t="s">
        <v>984</v>
      </c>
      <c r="ED15" t="s">
        <v>22</v>
      </c>
      <c r="EF15" t="str">
        <f>'tableau financier'!D91</f>
        <v>Interlagos</v>
      </c>
    </row>
    <row r="16" spans="1:145" ht="18" thickBot="1">
      <c r="A16" s="107">
        <v>18</v>
      </c>
      <c r="B16" s="107">
        <v>12</v>
      </c>
      <c r="C16" s="145">
        <v>8</v>
      </c>
      <c r="D16" s="108" t="s">
        <v>188</v>
      </c>
      <c r="E16">
        <f>VLOOKUP(données!E$13,'constantes gp'!$B$13:$M$76,4,0)*VLOOKUP('tableau financier'!D37,données!$AP$12:$AQ$20,2,0)^'tableau financier'!D$2*(0.998789138^'tableau financier'!D$92)*(0.998751839^'tableau financier'!D$93)*(0.998707677^'tableau financier'!D$94)+$D$11</f>
        <v>19.74797408908195</v>
      </c>
      <c r="F16" t="s">
        <v>1</v>
      </c>
      <c r="G16">
        <f>VLOOKUP(données!G$13,'constantes gp'!$B$13:$M$76,4,0)*VLOOKUP('tableau financier'!F37,données!$AP$12:$AQ$20,2,0)^'tableau financier'!F$2*(0.998789138^'tableau financier'!F$92)*(0.998751839^'tableau financier'!F$93)*(0.998707677^'tableau financier'!F$94)+$D$11</f>
        <v>17.212320324526633</v>
      </c>
      <c r="H16" t="s">
        <v>1</v>
      </c>
      <c r="I16">
        <f>VLOOKUP(données!I$13,'constantes gp'!$B$13:$M$76,4,0)*VLOOKUP('tableau financier'!H37,données!$AP$12:$AQ$20,2,0)^'tableau financier'!H$2*(0.998789138^'tableau financier'!H$92)*(0.998751839^'tableau financier'!H$93)*(0.998707677^'tableau financier'!H$94)+$D$11</f>
        <v>10.963499247918183</v>
      </c>
      <c r="J16" t="s">
        <v>1</v>
      </c>
      <c r="K16">
        <f>VLOOKUP(données!K$13,'constantes gp'!$B$13:$M$76,4,0)*VLOOKUP('tableau financier'!J37,données!$AP$12:$AQ$20,2,0)^'tableau financier'!J$2*(0.998789138^'tableau financier'!J$92)*(0.998751839^'tableau financier'!J$93)*(0.998707677^'tableau financier'!J$94)+$D$11</f>
        <v>16.250055986245044</v>
      </c>
      <c r="L16" t="s">
        <v>1</v>
      </c>
      <c r="M16">
        <f>VLOOKUP(données!M$13,'constantes gp'!$B$13:$M$76,4,0)*VLOOKUP('tableau financier'!L37,données!$AP$12:$AQ$20,2,0)^'tableau financier'!L$2*(0.998789138^'tableau financier'!L$92)*(0.998751839^'tableau financier'!L$93)*(0.998707677^'tableau financier'!L$94)+$D$11</f>
        <v>1.5</v>
      </c>
      <c r="N16" t="s">
        <v>1</v>
      </c>
      <c r="O16">
        <f>VLOOKUP(données!O$13,'constantes gp'!$B$13:$M$76,4,0)*VLOOKUP('tableau financier'!N37,données!$AP$12:$AQ$20,2,0)^'tableau financier'!N$2*(0.998789138^'tableau financier'!N$92)*(0.998751839^'tableau financier'!N$93)*(0.998707677^'tableau financier'!N$94)+$D$11</f>
        <v>14.114336875356273</v>
      </c>
      <c r="P16" t="s">
        <v>1</v>
      </c>
      <c r="Q16">
        <f>VLOOKUP(données!Q$13,'constantes gp'!$B$13:$M$76,4,0)*VLOOKUP('tableau financier'!P37,données!$AP$12:$AQ$20,2,0)^'tableau financier'!P$2*(0.998789138^'tableau financier'!P$92)*(0.998751839^'tableau financier'!P$93)*(0.998707677^'tableau financier'!P$94)+$D$11</f>
        <v>23.63361542781427</v>
      </c>
      <c r="R16" t="s">
        <v>1</v>
      </c>
      <c r="S16">
        <f>VLOOKUP(données!S$13,'constantes gp'!$B$13:$M$76,4,0)*VLOOKUP('tableau financier'!R37,données!$AP$12:$AQ$20,2,0)^'tableau financier'!R$2*(0.998789138^'tableau financier'!R$92)*(0.998751839^'tableau financier'!R$93)*(0.998707677^'tableau financier'!R$94)+$D$11</f>
        <v>23.187353224496498</v>
      </c>
      <c r="T16" t="s">
        <v>1</v>
      </c>
      <c r="U16">
        <f>VLOOKUP(données!U$13,'constantes gp'!$B$13:$M$76,4,0)*VLOOKUP('tableau financier'!T37,données!$AP$12:$AQ$20,2,0)^'tableau financier'!T$2*(0.998789138^'tableau financier'!T$92)*(0.998751839^'tableau financier'!T$93)*(0.998707677^'tableau financier'!T$94)+$D$11</f>
        <v>12.476975575981394</v>
      </c>
      <c r="V16" t="s">
        <v>1</v>
      </c>
      <c r="W16">
        <f>VLOOKUP(données!W$13,'constantes gp'!$B$13:$M$76,4,0)*VLOOKUP('tableau financier'!V37,données!$AP$12:$AQ$20,2,0)^'tableau financier'!V$2*(0.998789138^'tableau financier'!V$92)*(0.998751839^'tableau financier'!V$93)*(0.998707677^'tableau financier'!V$94)+$D$11</f>
        <v>22.293747980094693</v>
      </c>
      <c r="X16" t="s">
        <v>1</v>
      </c>
      <c r="Y16">
        <f>VLOOKUP(données!Y$13,'constantes gp'!$B$13:$M$76,4,0)*VLOOKUP('tableau financier'!X37,données!$AP$12:$AQ$20,2,0)^'tableau financier'!X$2*(0.998789138^'tableau financier'!X$92)*(0.998751839^'tableau financier'!X$93)*(0.998707677^'tableau financier'!X$94)+$D$11</f>
        <v>18.266255531227181</v>
      </c>
      <c r="Z16" t="s">
        <v>1</v>
      </c>
      <c r="AA16">
        <f>VLOOKUP(données!AA$13,'constantes gp'!$B$13:$M$76,4,0)*VLOOKUP('tableau financier'!Z37,données!$AP$12:$AQ$20,2,0)^'tableau financier'!Z$2*(0.998789138^'tableau financier'!Z$92)*(0.998751839^'tableau financier'!Z$93)*(0.998707677^'tableau financier'!Z$94)+$D$11</f>
        <v>14.818540918442961</v>
      </c>
      <c r="AB16" t="s">
        <v>1</v>
      </c>
      <c r="AC16">
        <f>VLOOKUP(données!AC$13,'constantes gp'!$B$13:$M$76,4,0)*VLOOKUP('tableau financier'!AB37,données!$AP$12:$AQ$20,2,0)^'tableau financier'!AB$2*(0.998789138^'tableau financier'!AB$92)*(0.998751839^'tableau financier'!AB$93)*(0.998707677^'tableau financier'!AB$94)+$D$11</f>
        <v>19.66514016948382</v>
      </c>
      <c r="AD16" t="s">
        <v>1</v>
      </c>
      <c r="AE16">
        <f>VLOOKUP(données!AE$13,'constantes gp'!$B$13:$M$76,4,0)*VLOOKUP('tableau financier'!AD37,données!$AP$12:$AQ$20,2,0)^'tableau financier'!AD$2*(0.998789138^'tableau financier'!AD$92)*(0.998751839^'tableau financier'!AD$93)*(0.998707677^'tableau financier'!AD$94)+$D$11</f>
        <v>17.355759585964865</v>
      </c>
      <c r="AF16" t="s">
        <v>1</v>
      </c>
      <c r="AG16">
        <f>VLOOKUP(données!AG$13,'constantes gp'!$B$13:$M$76,4,0)*VLOOKUP('tableau financier'!AF37,données!$AP$12:$AQ$20,2,0)^'tableau financier'!AF$2*(0.998789138^'tableau financier'!AF$92)*(0.998751839^'tableau financier'!AF$93)*(0.998707677^'tableau financier'!AF$94)+$D$11</f>
        <v>16.701699965644881</v>
      </c>
      <c r="AH16" t="s">
        <v>1</v>
      </c>
      <c r="AI16">
        <f>VLOOKUP(données!AI$13,'constantes gp'!$B$13:$M$76,4,0)*VLOOKUP('tableau financier'!AH37,données!$AP$12:$AQ$20,2,0)^'tableau financier'!AH$2*(0.998789138^'tableau financier'!AH$92)*(0.998751839^'tableau financier'!AH$93)*(0.998707677^'tableau financier'!AH$94)+$D$11</f>
        <v>22.862647508414447</v>
      </c>
      <c r="AJ16" t="s">
        <v>1</v>
      </c>
      <c r="AK16">
        <f>VLOOKUP(données!AK$13,'constantes gp'!$B$13:$M$76,4,0)*VLOOKUP('tableau financier'!AJ37,données!$AP$12:$AQ$20,2,0)^'tableau financier'!AJ$2*(0.998789138^'tableau financier'!AJ$92)*(0.998751839^'tableau financier'!AJ$93)*(0.998707677^'tableau financier'!AJ$94)+$D$11</f>
        <v>17.405686302161207</v>
      </c>
      <c r="AL16" t="s">
        <v>1</v>
      </c>
      <c r="AO16" s="209"/>
      <c r="AP16" s="60">
        <v>5</v>
      </c>
      <c r="AQ16" s="124">
        <v>1.0043268635857201</v>
      </c>
      <c r="AS16" t="str">
        <f>'tableau financier'!A35</f>
        <v>ailerons avant</v>
      </c>
      <c r="AT16" s="4">
        <v>6</v>
      </c>
      <c r="AU16" s="4">
        <v>0.9</v>
      </c>
      <c r="AV16" s="4">
        <v>2.8</v>
      </c>
      <c r="AW16" s="4">
        <v>0</v>
      </c>
      <c r="BL16" s="53">
        <v>10</v>
      </c>
      <c r="BM16" t="s">
        <v>244</v>
      </c>
      <c r="BN16" s="57">
        <f t="shared" si="19"/>
        <v>1181.5450000000001</v>
      </c>
      <c r="BO16" s="57">
        <f t="shared" si="20"/>
        <v>1463.3430000000001</v>
      </c>
      <c r="BP16" s="57">
        <f t="shared" si="21"/>
        <v>1812.3510000000001</v>
      </c>
      <c r="BQ16" s="57">
        <f t="shared" si="22"/>
        <v>2244.5970000000002</v>
      </c>
      <c r="BR16" s="57">
        <f t="shared" si="23"/>
        <v>2779.933</v>
      </c>
      <c r="BS16" s="57">
        <f t="shared" si="24"/>
        <v>3442.9470000000001</v>
      </c>
      <c r="BT16" s="57">
        <f t="shared" si="25"/>
        <v>4264.09</v>
      </c>
      <c r="BU16" s="57">
        <f t="shared" si="26"/>
        <v>5281.0749999999998</v>
      </c>
      <c r="BV16" s="57">
        <f t="shared" si="27"/>
        <v>6540.6120000000001</v>
      </c>
      <c r="BY16" s="57">
        <v>1181545</v>
      </c>
      <c r="BZ16" s="57">
        <v>1463343</v>
      </c>
      <c r="CA16" s="57">
        <v>1812351</v>
      </c>
      <c r="CB16" s="57">
        <v>2244597</v>
      </c>
      <c r="CC16" s="57">
        <v>2779933</v>
      </c>
      <c r="CD16" s="57">
        <v>3442947</v>
      </c>
      <c r="CE16" s="57">
        <v>4264090</v>
      </c>
      <c r="CF16" s="57">
        <v>5281075</v>
      </c>
      <c r="CG16" s="57">
        <v>6540612</v>
      </c>
      <c r="CI16">
        <v>10</v>
      </c>
      <c r="CJ16">
        <v>310</v>
      </c>
      <c r="CK16">
        <v>7000</v>
      </c>
      <c r="CL16">
        <v>620</v>
      </c>
      <c r="CM16">
        <v>10538.46</v>
      </c>
      <c r="CN16">
        <v>930</v>
      </c>
      <c r="CO16">
        <v>13192.32</v>
      </c>
      <c r="CP16">
        <v>1240</v>
      </c>
      <c r="CQ16">
        <v>15846.153428571433</v>
      </c>
      <c r="CR16">
        <v>1550</v>
      </c>
      <c r="CS16">
        <v>19384.61</v>
      </c>
      <c r="CT16">
        <f t="shared" si="11"/>
        <v>15846.153428571433</v>
      </c>
      <c r="CW16" t="str">
        <f>'constantes gp'!B22</f>
        <v>Brasilia</v>
      </c>
      <c r="CY16" t="s">
        <v>62</v>
      </c>
      <c r="CZ16">
        <v>6</v>
      </c>
      <c r="DF16" t="s">
        <v>1</v>
      </c>
      <c r="DG16" s="174" t="s">
        <v>47</v>
      </c>
      <c r="DH16" s="175"/>
      <c r="DI16" s="175">
        <v>4</v>
      </c>
      <c r="DJ16" s="175">
        <v>8</v>
      </c>
      <c r="DK16" s="176">
        <v>4</v>
      </c>
      <c r="DL16" t="s">
        <v>162</v>
      </c>
      <c r="DM16" t="s">
        <v>238</v>
      </c>
      <c r="DN16" s="4">
        <v>5</v>
      </c>
      <c r="DP16" t="s">
        <v>239</v>
      </c>
      <c r="DQ16" t="s">
        <v>240</v>
      </c>
      <c r="DR16" t="s">
        <v>241</v>
      </c>
      <c r="DT16">
        <v>6</v>
      </c>
      <c r="DV16" s="150" t="s">
        <v>360</v>
      </c>
      <c r="DW16" s="151" t="s">
        <v>919</v>
      </c>
      <c r="DX16" s="151" t="s">
        <v>920</v>
      </c>
      <c r="DY16" s="151">
        <v>4872</v>
      </c>
      <c r="EA16" t="s">
        <v>360</v>
      </c>
      <c r="EB16" t="s">
        <v>919</v>
      </c>
      <c r="EC16" t="s">
        <v>920</v>
      </c>
      <c r="ED16">
        <v>4872</v>
      </c>
      <c r="EF16" t="str">
        <f>VLOOKUP('tableau financier'!D91,EA16:ED77,3,0)</f>
        <v>1.8808</v>
      </c>
      <c r="EG16" t="s">
        <v>1</v>
      </c>
    </row>
    <row r="17" spans="1:134" ht="27" thickBot="1">
      <c r="A17" s="107">
        <v>18</v>
      </c>
      <c r="B17" s="107">
        <v>12</v>
      </c>
      <c r="C17" s="145">
        <v>8</v>
      </c>
      <c r="D17" s="108" t="s">
        <v>242</v>
      </c>
      <c r="E17">
        <f>VLOOKUP(données!E$13,'constantes gp'!$B$13:$M$76,5,0)*VLOOKUP('tableau financier'!D41,données!$AP$12:$AQ$20,2,0)^'tableau financier'!D$2*(0.998789138^'tableau financier'!D$92)*(0.998751839^'tableau financier'!D$93)*(0.998707677^'tableau financier'!D$94)+$D$11</f>
        <v>15.216989027096881</v>
      </c>
      <c r="F17" t="s">
        <v>1</v>
      </c>
      <c r="G17">
        <f>VLOOKUP(données!G$13,'constantes gp'!$B$13:$M$76,5,0)*VLOOKUP('tableau financier'!F41,données!$AP$12:$AQ$20,2,0)^'tableau financier'!F$2*(0.998789138^'tableau financier'!F$92)*(0.998751839^'tableau financier'!F$93)*(0.998707677^'tableau financier'!F$94)+$D$11</f>
        <v>18.704178585415406</v>
      </c>
      <c r="H17" t="s">
        <v>1</v>
      </c>
      <c r="I17">
        <f>VLOOKUP(données!I$13,'constantes gp'!$B$13:$M$76,5,0)*VLOOKUP('tableau financier'!H41,données!$AP$12:$AQ$20,2,0)^'tableau financier'!H$2*(0.998789138^'tableau financier'!H$92)*(0.998751839^'tableau financier'!H$93)*(0.998707677^'tableau financier'!H$94)+$D$11</f>
        <v>9.8690574935099011</v>
      </c>
      <c r="J17" t="s">
        <v>1</v>
      </c>
      <c r="K17">
        <f>VLOOKUP(données!K$13,'constantes gp'!$B$13:$M$76,5,0)*VLOOKUP('tableau financier'!J41,données!$AP$12:$AQ$20,2,0)^'tableau financier'!J$2*(0.998789138^'tableau financier'!J$92)*(0.998751839^'tableau financier'!J$93)*(0.998707677^'tableau financier'!J$94)+$D$11</f>
        <v>20.225221740962642</v>
      </c>
      <c r="L17" t="s">
        <v>1</v>
      </c>
      <c r="M17">
        <f>VLOOKUP(données!M$13,'constantes gp'!$B$13:$M$76,5,0)*VLOOKUP('tableau financier'!L41,données!$AP$12:$AQ$20,2,0)^'tableau financier'!L$2*(0.998789138^'tableau financier'!L$92)*(0.998751839^'tableau financier'!L$93)*(0.998707677^'tableau financier'!L$94)+$D$11</f>
        <v>1.5</v>
      </c>
      <c r="N17" t="s">
        <v>1</v>
      </c>
      <c r="O17">
        <f>VLOOKUP(données!O$13,'constantes gp'!$B$13:$M$76,5,0)*VLOOKUP('tableau financier'!N41,données!$AP$12:$AQ$20,2,0)^'tableau financier'!N$2*(0.998789138^'tableau financier'!N$92)*(0.998751839^'tableau financier'!N$93)*(0.998707677^'tableau financier'!N$94)+$D$11</f>
        <v>16.234304340135637</v>
      </c>
      <c r="P17" t="s">
        <v>1</v>
      </c>
      <c r="Q17">
        <f>VLOOKUP(données!Q$13,'constantes gp'!$B$13:$M$76,5,0)*VLOOKUP('tableau financier'!P41,données!$AP$12:$AQ$20,2,0)^'tableau financier'!P$2*(0.998789138^'tableau financier'!P$92)*(0.998751839^'tableau financier'!P$93)*(0.998707677^'tableau financier'!P$94)+$D$11</f>
        <v>26.642661439719173</v>
      </c>
      <c r="R17" t="s">
        <v>1</v>
      </c>
      <c r="S17">
        <f>VLOOKUP(données!S$13,'constantes gp'!$B$13:$M$76,5,0)*VLOOKUP('tableau financier'!R41,données!$AP$12:$AQ$20,2,0)^'tableau financier'!R$2*(0.998789138^'tableau financier'!R$92)*(0.998751839^'tableau financier'!R$93)*(0.998707677^'tableau financier'!R$94)+$D$11</f>
        <v>26.677418275133626</v>
      </c>
      <c r="T17" t="s">
        <v>1</v>
      </c>
      <c r="U17">
        <f>VLOOKUP(données!U$13,'constantes gp'!$B$13:$M$76,5,0)*VLOOKUP('tableau financier'!T41,données!$AP$12:$AQ$20,2,0)^'tableau financier'!T$2*(0.998789138^'tableau financier'!T$92)*(0.998751839^'tableau financier'!T$93)*(0.998707677^'tableau financier'!T$94)+$D$11</f>
        <v>13.814980925476524</v>
      </c>
      <c r="V17" t="s">
        <v>1</v>
      </c>
      <c r="W17">
        <f>VLOOKUP(données!W$13,'constantes gp'!$B$13:$M$76,5,0)*VLOOKUP('tableau financier'!V41,données!$AP$12:$AQ$20,2,0)^'tableau financier'!V$2*(0.998789138^'tableau financier'!V$92)*(0.998751839^'tableau financier'!V$93)*(0.998707677^'tableau financier'!V$94)+$D$11</f>
        <v>18.168713522064266</v>
      </c>
      <c r="X17" t="s">
        <v>1</v>
      </c>
      <c r="Y17">
        <f>VLOOKUP(données!Y$13,'constantes gp'!$B$13:$M$76,5,0)*VLOOKUP('tableau financier'!X41,données!$AP$12:$AQ$20,2,0)^'tableau financier'!X$2*(0.998789138^'tableau financier'!X$92)*(0.998751839^'tableau financier'!X$93)*(0.998707677^'tableau financier'!X$94)+$D$11</f>
        <v>13.613567418568636</v>
      </c>
      <c r="Z17" t="s">
        <v>1</v>
      </c>
      <c r="AA17">
        <f>VLOOKUP(données!AA$13,'constantes gp'!$B$13:$M$76,5,0)*VLOOKUP('tableau financier'!Z41,données!$AP$12:$AQ$20,2,0)^'tableau financier'!Z$2*(0.998789138^'tableau financier'!Z$92)*(0.998751839^'tableau financier'!Z$93)*(0.998707677^'tableau financier'!Z$94)+$D$11</f>
        <v>16.033452648729273</v>
      </c>
      <c r="AB17" t="s">
        <v>1</v>
      </c>
      <c r="AC17">
        <f>VLOOKUP(données!AC$13,'constantes gp'!$B$13:$M$76,5,0)*VLOOKUP('tableau financier'!AB41,données!$AP$12:$AQ$20,2,0)^'tableau financier'!AB$2*(0.998789138^'tableau financier'!AB$92)*(0.998751839^'tableau financier'!AB$93)*(0.998707677^'tableau financier'!AB$94)+$D$11</f>
        <v>16.540789047510927</v>
      </c>
      <c r="AD17" t="s">
        <v>1</v>
      </c>
      <c r="AE17">
        <f>VLOOKUP(données!AE$13,'constantes gp'!$B$13:$M$76,5,0)*VLOOKUP('tableau financier'!AD41,données!$AP$12:$AQ$20,2,0)^'tableau financier'!AD$2*(0.998789138^'tableau financier'!AD$92)*(0.998751839^'tableau financier'!AD$93)*(0.998707677^'tableau financier'!AD$94)+$D$11</f>
        <v>18.845287745679141</v>
      </c>
      <c r="AF17" t="s">
        <v>1</v>
      </c>
      <c r="AG17">
        <f>VLOOKUP(données!AG$13,'constantes gp'!$B$13:$M$76,5,0)*VLOOKUP('tableau financier'!AF41,données!$AP$12:$AQ$20,2,0)^'tableau financier'!AF$2*(0.998789138^'tableau financier'!AF$92)*(0.998751839^'tableau financier'!AF$93)*(0.998707677^'tableau financier'!AF$94)+$D$11</f>
        <v>17.996491900337645</v>
      </c>
      <c r="AH17" t="s">
        <v>1</v>
      </c>
      <c r="AI17">
        <f>VLOOKUP(données!AI$13,'constantes gp'!$B$13:$M$76,5,0)*VLOOKUP('tableau financier'!AH41,données!$AP$12:$AQ$20,2,0)^'tableau financier'!AH$2*(0.998789138^'tableau financier'!AH$92)*(0.998751839^'tableau financier'!AH$93)*(0.998707677^'tableau financier'!AH$94)+$D$11</f>
        <v>26.862179151625114</v>
      </c>
      <c r="AJ17" t="s">
        <v>1</v>
      </c>
      <c r="AK17">
        <f>VLOOKUP(données!AK$13,'constantes gp'!$B$13:$M$76,5,0)*VLOOKUP('tableau financier'!AJ41,données!$AP$12:$AQ$20,2,0)^'tableau financier'!AJ$2*(0.998789138^'tableau financier'!AJ$92)*(0.998751839^'tableau financier'!AJ$93)*(0.998707677^'tableau financier'!AJ$94)+$D$11</f>
        <v>19.724233838423032</v>
      </c>
      <c r="AL17" t="s">
        <v>1</v>
      </c>
      <c r="AO17" s="209"/>
      <c r="AP17" s="60">
        <v>6</v>
      </c>
      <c r="AQ17" s="124">
        <v>1.0036669136885199</v>
      </c>
      <c r="AS17" t="str">
        <f>'tableau financier'!A39</f>
        <v>ailerons arrière</v>
      </c>
      <c r="AT17" s="4">
        <v>6</v>
      </c>
      <c r="AU17" s="4">
        <v>0.1</v>
      </c>
      <c r="AV17" s="4">
        <v>2.1</v>
      </c>
      <c r="AW17" s="4">
        <v>2.2999999999999998</v>
      </c>
      <c r="BL17" s="53">
        <v>11</v>
      </c>
      <c r="BM17" t="s">
        <v>75</v>
      </c>
      <c r="BN17" s="57">
        <f t="shared" si="19"/>
        <v>938.41600000000005</v>
      </c>
      <c r="BO17" s="57">
        <f t="shared" si="20"/>
        <v>1162.2280000000001</v>
      </c>
      <c r="BP17" s="57">
        <f t="shared" si="21"/>
        <v>1439.42</v>
      </c>
      <c r="BQ17" s="57">
        <f t="shared" si="22"/>
        <v>1782.721</v>
      </c>
      <c r="BR17" s="57">
        <f t="shared" si="23"/>
        <v>2207.9</v>
      </c>
      <c r="BS17" s="57">
        <f t="shared" si="24"/>
        <v>2734.4839999999999</v>
      </c>
      <c r="BT17" s="57">
        <f t="shared" si="25"/>
        <v>3386.6590000000001</v>
      </c>
      <c r="BU17" s="57">
        <f t="shared" si="26"/>
        <v>4194.3770000000004</v>
      </c>
      <c r="BV17" s="57">
        <f t="shared" si="27"/>
        <v>5194.5730000000003</v>
      </c>
      <c r="BY17" s="57">
        <v>938416</v>
      </c>
      <c r="BZ17" s="57">
        <v>1162228</v>
      </c>
      <c r="CA17" s="57">
        <v>1439420</v>
      </c>
      <c r="CB17" s="57">
        <v>1782721</v>
      </c>
      <c r="CC17" s="57">
        <v>2207900</v>
      </c>
      <c r="CD17" s="57">
        <v>2734484</v>
      </c>
      <c r="CE17" s="57">
        <v>3386659</v>
      </c>
      <c r="CF17" s="57">
        <v>4194377</v>
      </c>
      <c r="CG17" s="57">
        <v>5194573</v>
      </c>
      <c r="CI17">
        <v>11</v>
      </c>
      <c r="CJ17">
        <v>300</v>
      </c>
      <c r="CK17">
        <v>6900</v>
      </c>
      <c r="CL17">
        <v>600</v>
      </c>
      <c r="CM17">
        <v>10387.178</v>
      </c>
      <c r="CN17">
        <v>900</v>
      </c>
      <c r="CO17">
        <v>13002.575999999999</v>
      </c>
      <c r="CP17">
        <v>1200</v>
      </c>
      <c r="CQ17">
        <v>15617.948314285719</v>
      </c>
      <c r="CR17">
        <v>1500</v>
      </c>
      <c r="CS17">
        <v>19105.123</v>
      </c>
      <c r="CT17">
        <f t="shared" si="11"/>
        <v>15617.948314285719</v>
      </c>
      <c r="CW17" t="str">
        <f>'constantes gp'!B23</f>
        <v>Bremgarten</v>
      </c>
      <c r="CY17" t="s">
        <v>245</v>
      </c>
      <c r="CZ17">
        <v>7</v>
      </c>
      <c r="DF17" t="s">
        <v>1</v>
      </c>
      <c r="DG17" s="174" t="s">
        <v>190</v>
      </c>
      <c r="DH17" s="175"/>
      <c r="DI17" s="175">
        <v>1.6</v>
      </c>
      <c r="DJ17" s="175">
        <v>12.8</v>
      </c>
      <c r="DK17" s="176">
        <v>1.6</v>
      </c>
      <c r="DL17" t="s">
        <v>163</v>
      </c>
      <c r="DM17" t="s">
        <v>246</v>
      </c>
      <c r="DN17" s="4">
        <v>6</v>
      </c>
      <c r="DP17" t="s">
        <v>247</v>
      </c>
      <c r="DQ17" t="s">
        <v>248</v>
      </c>
      <c r="DR17" t="s">
        <v>249</v>
      </c>
      <c r="DT17">
        <v>7</v>
      </c>
      <c r="DV17" s="150" t="s">
        <v>304</v>
      </c>
      <c r="DW17" s="151" t="s">
        <v>919</v>
      </c>
      <c r="DX17" s="151" t="s">
        <v>921</v>
      </c>
      <c r="DY17" s="151">
        <v>4888</v>
      </c>
      <c r="EA17" t="s">
        <v>304</v>
      </c>
      <c r="EB17" t="s">
        <v>919</v>
      </c>
      <c r="EC17" t="s">
        <v>921</v>
      </c>
      <c r="ED17">
        <v>4888</v>
      </c>
    </row>
    <row r="18" spans="1:134" ht="18" thickBot="1">
      <c r="A18" s="107">
        <v>10</v>
      </c>
      <c r="B18" s="107">
        <v>8</v>
      </c>
      <c r="C18" s="145">
        <v>8</v>
      </c>
      <c r="D18" s="108" t="s">
        <v>69</v>
      </c>
      <c r="E18">
        <f>VLOOKUP(données!E$13,'constantes gp'!$B$13:$M$76,6,0)*VLOOKUP('tableau financier'!D45,données!$AP$12:$AQ$20,2,0)^'tableau financier'!D$2*(0.998789138^'tableau financier'!D$92)*(0.998751839^'tableau financier'!D$93)*(0.998707677^'tableau financier'!D$94)+$D$11</f>
        <v>27.995936074210608</v>
      </c>
      <c r="F18" t="s">
        <v>1</v>
      </c>
      <c r="G18">
        <f>VLOOKUP(données!G$13,'constantes gp'!$B$13:$M$76,6,0)*VLOOKUP('tableau financier'!F45,données!$AP$12:$AQ$20,2,0)^'tableau financier'!F$2*(0.998789138^'tableau financier'!F$92)*(0.998751839^'tableau financier'!F$93)*(0.998707677^'tableau financier'!F$94)+$D$11</f>
        <v>14.392765812151902</v>
      </c>
      <c r="H18" t="s">
        <v>1</v>
      </c>
      <c r="I18">
        <f>VLOOKUP(données!I$13,'constantes gp'!$B$13:$M$76,6,0)*VLOOKUP('tableau financier'!H45,données!$AP$12:$AQ$20,2,0)^'tableau financier'!H$2*(0.998789138^'tableau financier'!H$92)*(0.998751839^'tableau financier'!H$93)*(0.998707677^'tableau financier'!H$94)+$D$11</f>
        <v>13.224847108314071</v>
      </c>
      <c r="J18" t="s">
        <v>1</v>
      </c>
      <c r="K18">
        <f>VLOOKUP(données!K$13,'constantes gp'!$B$13:$M$76,6,0)*VLOOKUP('tableau financier'!J45,données!$AP$12:$AQ$20,2,0)^'tableau financier'!J$2*(0.998789138^'tableau financier'!J$92)*(0.998751839^'tableau financier'!J$93)*(0.998707677^'tableau financier'!J$94)+$D$11</f>
        <v>15.210252786467734</v>
      </c>
      <c r="L18" t="s">
        <v>1</v>
      </c>
      <c r="M18">
        <f>VLOOKUP(données!M$13,'constantes gp'!$B$13:$M$76,6,0)*VLOOKUP('tableau financier'!L45,données!$AP$12:$AQ$20,2,0)^'tableau financier'!L$2*(0.998789138^'tableau financier'!L$92)*(0.998751839^'tableau financier'!L$93)*(0.998707677^'tableau financier'!L$94)+$D$11</f>
        <v>1.5</v>
      </c>
      <c r="N18" t="s">
        <v>1</v>
      </c>
      <c r="O18">
        <f>VLOOKUP(données!O$13,'constantes gp'!$B$13:$M$76,6,0)*VLOOKUP('tableau financier'!N45,données!$AP$12:$AQ$20,2,0)^'tableau financier'!N$2*(0.998789138^'tableau financier'!N$92)*(0.998751839^'tableau financier'!N$93)*(0.998707677^'tableau financier'!N$94)+$D$11</f>
        <v>16.309816869790716</v>
      </c>
      <c r="P18" t="s">
        <v>1</v>
      </c>
      <c r="Q18">
        <f>VLOOKUP(données!Q$13,'constantes gp'!$B$13:$M$76,6,0)*VLOOKUP('tableau financier'!P45,données!$AP$12:$AQ$20,2,0)^'tableau financier'!P$2*(0.998789138^'tableau financier'!P$92)*(0.998751839^'tableau financier'!P$93)*(0.998707677^'tableau financier'!P$94)+$D$11</f>
        <v>19.549819168745699</v>
      </c>
      <c r="R18" t="s">
        <v>1</v>
      </c>
      <c r="S18">
        <f>VLOOKUP(données!S$13,'constantes gp'!$B$13:$M$76,6,0)*VLOOKUP('tableau financier'!R45,données!$AP$12:$AQ$20,2,0)^'tableau financier'!R$2*(0.998789138^'tableau financier'!R$92)*(0.998751839^'tableau financier'!R$93)*(0.998707677^'tableau financier'!R$94)+$D$11</f>
        <v>23.779837856043635</v>
      </c>
      <c r="T18" t="s">
        <v>1</v>
      </c>
      <c r="U18">
        <f>VLOOKUP(données!U$13,'constantes gp'!$B$13:$M$76,6,0)*VLOOKUP('tableau financier'!T45,données!$AP$12:$AQ$20,2,0)^'tableau financier'!T$2*(0.998789138^'tableau financier'!T$92)*(0.998751839^'tableau financier'!T$93)*(0.998707677^'tableau financier'!T$94)+$D$11</f>
        <v>14.240883007787355</v>
      </c>
      <c r="V18" t="s">
        <v>1</v>
      </c>
      <c r="W18">
        <f>VLOOKUP(données!W$13,'constantes gp'!$B$13:$M$76,6,0)*VLOOKUP('tableau financier'!V45,données!$AP$12:$AQ$20,2,0)^'tableau financier'!V$2*(0.998789138^'tableau financier'!V$92)*(0.998751839^'tableau financier'!V$93)*(0.998707677^'tableau financier'!V$94)+$D$11</f>
        <v>22.374867109089607</v>
      </c>
      <c r="X18" t="s">
        <v>1</v>
      </c>
      <c r="Y18">
        <f>VLOOKUP(données!Y$13,'constantes gp'!$B$13:$M$76,6,0)*VLOOKUP('tableau financier'!X45,données!$AP$12:$AQ$20,2,0)^'tableau financier'!X$2*(0.998789138^'tableau financier'!X$92)*(0.998751839^'tableau financier'!X$93)*(0.998707677^'tableau financier'!X$94)+$D$11</f>
        <v>18.826248592522276</v>
      </c>
      <c r="Z18" t="s">
        <v>1</v>
      </c>
      <c r="AA18">
        <f>VLOOKUP(données!AA$13,'constantes gp'!$B$13:$M$76,6,0)*VLOOKUP('tableau financier'!Z45,données!$AP$12:$AQ$20,2,0)^'tableau financier'!Z$2*(0.998789138^'tableau financier'!Z$92)*(0.998751839^'tableau financier'!Z$93)*(0.998707677^'tableau financier'!Z$94)+$D$11</f>
        <v>16.603317641302475</v>
      </c>
      <c r="AB18" t="s">
        <v>1</v>
      </c>
      <c r="AC18">
        <f>VLOOKUP(données!AC$13,'constantes gp'!$B$13:$M$76,6,0)*VLOOKUP('tableau financier'!AB45,données!$AP$12:$AQ$20,2,0)^'tableau financier'!AB$2*(0.998789138^'tableau financier'!AB$92)*(0.998751839^'tableau financier'!AB$93)*(0.998707677^'tableau financier'!AB$94)+$D$11</f>
        <v>19.554119414897261</v>
      </c>
      <c r="AD18" t="s">
        <v>1</v>
      </c>
      <c r="AE18">
        <f>VLOOKUP(données!AE$13,'constantes gp'!$B$13:$M$76,6,0)*VLOOKUP('tableau financier'!AD45,données!$AP$12:$AQ$20,2,0)^'tableau financier'!AD$2*(0.998789138^'tableau financier'!AD$92)*(0.998751839^'tableau financier'!AD$93)*(0.998707677^'tableau financier'!AD$94)+$D$11</f>
        <v>16.756799213919081</v>
      </c>
      <c r="AF18" t="s">
        <v>1</v>
      </c>
      <c r="AG18">
        <f>VLOOKUP(données!AG$13,'constantes gp'!$B$13:$M$76,6,0)*VLOOKUP('tableau financier'!AF45,données!$AP$12:$AQ$20,2,0)^'tableau financier'!AF$2*(0.998789138^'tableau financier'!AF$92)*(0.998751839^'tableau financier'!AF$93)*(0.998707677^'tableau financier'!AF$94)+$D$11</f>
        <v>29.988566788434269</v>
      </c>
      <c r="AH18" t="s">
        <v>1</v>
      </c>
      <c r="AI18">
        <f>VLOOKUP(données!AI$13,'constantes gp'!$B$13:$M$76,6,0)*VLOOKUP('tableau financier'!AH45,données!$AP$12:$AQ$20,2,0)^'tableau financier'!AH$2*(0.998789138^'tableau financier'!AH$92)*(0.998751839^'tableau financier'!AH$93)*(0.998707677^'tableau financier'!AH$94)+$D$11</f>
        <v>24.189964603194252</v>
      </c>
      <c r="AJ18" t="s">
        <v>1</v>
      </c>
      <c r="AK18">
        <f>VLOOKUP(données!AK$13,'constantes gp'!$B$13:$M$76,6,0)*VLOOKUP('tableau financier'!AJ45,données!$AP$12:$AQ$20,2,0)^'tableau financier'!AJ$2*(0.998789138^'tableau financier'!AJ$92)*(0.998751839^'tableau financier'!AJ$93)*(0.998707677^'tableau financier'!AJ$94)+$D$11</f>
        <v>14.84346617288934</v>
      </c>
      <c r="AL18" t="s">
        <v>1</v>
      </c>
      <c r="AO18" s="209"/>
      <c r="AP18" s="60">
        <v>7</v>
      </c>
      <c r="AQ18" s="124">
        <v>1.00430482472465</v>
      </c>
      <c r="AS18" t="str">
        <f>'tableau financier'!A43</f>
        <v>fond plat</v>
      </c>
      <c r="AT18" s="4">
        <v>6</v>
      </c>
      <c r="AU18" s="4">
        <v>0</v>
      </c>
      <c r="AV18" s="4">
        <v>0.7</v>
      </c>
      <c r="AW18" s="4">
        <v>0.4</v>
      </c>
      <c r="BM18" t="s">
        <v>256</v>
      </c>
      <c r="BN18">
        <f t="shared" ref="BN18:BV18" si="29">SUM(BN7:BN17)</f>
        <v>14999.999</v>
      </c>
      <c r="BO18">
        <f t="shared" si="29"/>
        <v>18577.499</v>
      </c>
      <c r="BP18">
        <f t="shared" si="29"/>
        <v>23008.233999999997</v>
      </c>
      <c r="BQ18">
        <f t="shared" si="29"/>
        <v>28495.695000000007</v>
      </c>
      <c r="BR18">
        <f t="shared" si="29"/>
        <v>35291.919000000002</v>
      </c>
      <c r="BS18">
        <f t="shared" si="29"/>
        <v>43709.040999999997</v>
      </c>
      <c r="BT18">
        <f t="shared" si="29"/>
        <v>54133.649000000005</v>
      </c>
      <c r="BU18">
        <f t="shared" si="29"/>
        <v>67044.521999999997</v>
      </c>
      <c r="BV18">
        <f t="shared" si="29"/>
        <v>83034.478999999992</v>
      </c>
      <c r="CI18">
        <v>12</v>
      </c>
      <c r="CJ18">
        <v>290</v>
      </c>
      <c r="CK18">
        <v>6800</v>
      </c>
      <c r="CL18">
        <v>580</v>
      </c>
      <c r="CM18">
        <v>10235.896000000001</v>
      </c>
      <c r="CN18">
        <v>870</v>
      </c>
      <c r="CO18">
        <v>12812.832</v>
      </c>
      <c r="CP18">
        <v>1160</v>
      </c>
      <c r="CQ18">
        <v>15389.743200000004</v>
      </c>
      <c r="CR18">
        <v>1450</v>
      </c>
      <c r="CS18">
        <v>18825.635999999999</v>
      </c>
      <c r="CT18">
        <f t="shared" si="11"/>
        <v>15389.743200000004</v>
      </c>
      <c r="CW18" t="str">
        <f>'constantes gp'!B24</f>
        <v>Brno</v>
      </c>
      <c r="CY18" t="s">
        <v>251</v>
      </c>
      <c r="CZ18">
        <v>8</v>
      </c>
      <c r="DG18" s="174" t="s">
        <v>196</v>
      </c>
      <c r="DH18" s="175"/>
      <c r="DI18" s="175">
        <v>8</v>
      </c>
      <c r="DJ18" s="175">
        <v>4</v>
      </c>
      <c r="DK18" s="176">
        <v>4</v>
      </c>
      <c r="DL18" t="s">
        <v>133</v>
      </c>
      <c r="DN18" s="4">
        <v>7</v>
      </c>
      <c r="DP18" t="s">
        <v>252</v>
      </c>
      <c r="DQ18" t="s">
        <v>253</v>
      </c>
      <c r="DR18" t="s">
        <v>254</v>
      </c>
      <c r="DT18">
        <v>8</v>
      </c>
      <c r="DV18" s="150" t="s">
        <v>27</v>
      </c>
      <c r="DW18" s="151" t="s">
        <v>410</v>
      </c>
      <c r="DX18" s="151" t="s">
        <v>922</v>
      </c>
      <c r="DY18" s="151">
        <v>1919</v>
      </c>
      <c r="EA18" t="s">
        <v>27</v>
      </c>
      <c r="EB18" t="s">
        <v>410</v>
      </c>
      <c r="EC18" t="s">
        <v>922</v>
      </c>
      <c r="ED18">
        <v>1919</v>
      </c>
    </row>
    <row r="19" spans="1:134" ht="12.75" customHeight="1">
      <c r="A19" s="107">
        <v>5</v>
      </c>
      <c r="B19" s="107">
        <v>8</v>
      </c>
      <c r="C19" s="145">
        <v>10</v>
      </c>
      <c r="D19" s="108" t="s">
        <v>209</v>
      </c>
      <c r="E19">
        <f>VLOOKUP(données!E$13,'constantes gp'!$B$13:$M$76,7,0)*VLOOKUP('tableau financier'!D49,données!$AP$12:$AQ$20,2,0)^'tableau financier'!D$2*(0.998789138^'tableau financier'!D$92)*(0.998751839^'tableau financier'!D$93)*(0.998707677^'tableau financier'!D$94)+$D$11</f>
        <v>14.944691478171881</v>
      </c>
      <c r="F19" t="s">
        <v>1</v>
      </c>
      <c r="G19">
        <f>VLOOKUP(données!G$13,'constantes gp'!$B$13:$M$76,7,0)*VLOOKUP('tableau financier'!F49,données!$AP$12:$AQ$20,2,0)^'tableau financier'!F$2*(0.998789138^'tableau financier'!F$92)*(0.998751839^'tableau financier'!F$93)*(0.998707677^'tableau financier'!F$94)+$D$11</f>
        <v>14.154874900280451</v>
      </c>
      <c r="H19" t="s">
        <v>1</v>
      </c>
      <c r="I19">
        <f>VLOOKUP(données!I$13,'constantes gp'!$B$13:$M$76,7,0)*VLOOKUP('tableau financier'!H49,données!$AP$12:$AQ$20,2,0)^'tableau financier'!H$2*(0.998789138^'tableau financier'!H$92)*(0.998751839^'tableau financier'!H$93)*(0.998707677^'tableau financier'!H$94)+$D$11</f>
        <v>9.599329073742437</v>
      </c>
      <c r="J19" t="s">
        <v>1</v>
      </c>
      <c r="K19">
        <f>VLOOKUP(données!K$13,'constantes gp'!$B$13:$M$76,7,0)*VLOOKUP('tableau financier'!J49,données!$AP$12:$AQ$20,2,0)^'tableau financier'!J$2*(0.998789138^'tableau financier'!J$92)*(0.998751839^'tableau financier'!J$93)*(0.998707677^'tableau financier'!J$94)+$D$11</f>
        <v>13.186361308514662</v>
      </c>
      <c r="L19" t="s">
        <v>1</v>
      </c>
      <c r="M19">
        <f>VLOOKUP(données!M$13,'constantes gp'!$B$13:$M$76,7,0)*VLOOKUP('tableau financier'!L49,données!$AP$12:$AQ$20,2,0)^'tableau financier'!L$2*(0.998789138^'tableau financier'!L$92)*(0.998751839^'tableau financier'!L$93)*(0.998707677^'tableau financier'!L$94)+$D$11</f>
        <v>1.5</v>
      </c>
      <c r="N19" t="s">
        <v>1</v>
      </c>
      <c r="O19">
        <f>VLOOKUP(données!O$13,'constantes gp'!$B$13:$M$76,7,0)*VLOOKUP('tableau financier'!N49,données!$AP$12:$AQ$20,2,0)^'tableau financier'!N$2*(0.998789138^'tableau financier'!N$92)*(0.998751839^'tableau financier'!N$93)*(0.998707677^'tableau financier'!N$94)+$D$11</f>
        <v>15.776236598261026</v>
      </c>
      <c r="P19" t="s">
        <v>1</v>
      </c>
      <c r="Q19">
        <f>VLOOKUP(données!Q$13,'constantes gp'!$B$13:$M$76,7,0)*VLOOKUP('tableau financier'!P49,données!$AP$12:$AQ$20,2,0)^'tableau financier'!P$2*(0.998789138^'tableau financier'!P$92)*(0.998751839^'tableau financier'!P$93)*(0.998707677^'tableau financier'!P$94)+$D$11</f>
        <v>14.94774879759702</v>
      </c>
      <c r="R19" t="s">
        <v>1</v>
      </c>
      <c r="S19">
        <f>VLOOKUP(données!S$13,'constantes gp'!$B$13:$M$76,7,0)*VLOOKUP('tableau financier'!R49,données!$AP$12:$AQ$20,2,0)^'tableau financier'!R$2*(0.998789138^'tableau financier'!R$92)*(0.998751839^'tableau financier'!R$93)*(0.998707677^'tableau financier'!R$94)+$D$11</f>
        <v>19.435374366780586</v>
      </c>
      <c r="T19" t="s">
        <v>1</v>
      </c>
      <c r="U19">
        <f>VLOOKUP(données!U$13,'constantes gp'!$B$13:$M$76,7,0)*VLOOKUP('tableau financier'!T49,données!$AP$12:$AQ$20,2,0)^'tableau financier'!T$2*(0.998789138^'tableau financier'!T$92)*(0.998751839^'tableau financier'!T$93)*(0.998707677^'tableau financier'!T$94)+$D$11</f>
        <v>14.730257829637804</v>
      </c>
      <c r="V19" t="s">
        <v>1</v>
      </c>
      <c r="W19">
        <f>VLOOKUP(données!W$13,'constantes gp'!$B$13:$M$76,7,0)*VLOOKUP('tableau financier'!V49,données!$AP$12:$AQ$20,2,0)^'tableau financier'!V$2*(0.998789138^'tableau financier'!V$92)*(0.998751839^'tableau financier'!V$93)*(0.998707677^'tableau financier'!V$94)+$D$11</f>
        <v>13.086726839171961</v>
      </c>
      <c r="X19" t="s">
        <v>1</v>
      </c>
      <c r="Y19">
        <f>VLOOKUP(données!Y$13,'constantes gp'!$B$13:$M$76,7,0)*VLOOKUP('tableau financier'!X49,données!$AP$12:$AQ$20,2,0)^'tableau financier'!X$2*(0.998789138^'tableau financier'!X$92)*(0.998751839^'tableau financier'!X$93)*(0.998707677^'tableau financier'!X$94)+$D$11</f>
        <v>20.711242185288466</v>
      </c>
      <c r="Z19" t="s">
        <v>1</v>
      </c>
      <c r="AA19">
        <f>VLOOKUP(données!AA$13,'constantes gp'!$B$13:$M$76,7,0)*VLOOKUP('tableau financier'!Z49,données!$AP$12:$AQ$20,2,0)^'tableau financier'!Z$2*(0.998789138^'tableau financier'!Z$92)*(0.998751839^'tableau financier'!Z$93)*(0.998707677^'tableau financier'!Z$94)+$D$11</f>
        <v>14.122320051685019</v>
      </c>
      <c r="AB19" t="s">
        <v>1</v>
      </c>
      <c r="AC19">
        <f>VLOOKUP(données!AC$13,'constantes gp'!$B$13:$M$76,7,0)*VLOOKUP('tableau financier'!AB49,données!$AP$12:$AQ$20,2,0)^'tableau financier'!AB$2*(0.998789138^'tableau financier'!AB$92)*(0.998751839^'tableau financier'!AB$93)*(0.998707677^'tableau financier'!AB$94)+$D$11</f>
        <v>18.626212994460733</v>
      </c>
      <c r="AD19" t="s">
        <v>1</v>
      </c>
      <c r="AE19">
        <f>VLOOKUP(données!AE$13,'constantes gp'!$B$13:$M$76,7,0)*VLOOKUP('tableau financier'!AD49,données!$AP$12:$AQ$20,2,0)^'tableau financier'!AD$2*(0.998789138^'tableau financier'!AD$92)*(0.998751839^'tableau financier'!AD$93)*(0.998707677^'tableau financier'!AD$94)+$D$11</f>
        <v>14.126034256994545</v>
      </c>
      <c r="AF19" t="s">
        <v>1</v>
      </c>
      <c r="AG19">
        <f>VLOOKUP(données!AG$13,'constantes gp'!$B$13:$M$76,7,0)*VLOOKUP('tableau financier'!AF49,données!$AP$12:$AQ$20,2,0)^'tableau financier'!AF$2*(0.998789138^'tableau financier'!AF$92)*(0.998751839^'tableau financier'!AF$93)*(0.998707677^'tableau financier'!AF$94)+$D$11</f>
        <v>15.34213699196555</v>
      </c>
      <c r="AH19" t="s">
        <v>1</v>
      </c>
      <c r="AI19">
        <f>VLOOKUP(données!AI$13,'constantes gp'!$B$13:$M$76,7,0)*VLOOKUP('tableau financier'!AH49,données!$AP$12:$AQ$20,2,0)^'tableau financier'!AH$2*(0.998789138^'tableau financier'!AH$92)*(0.998751839^'tableau financier'!AH$93)*(0.998707677^'tableau financier'!AH$94)+$D$11</f>
        <v>20.309100382364548</v>
      </c>
      <c r="AJ19" t="s">
        <v>1</v>
      </c>
      <c r="AK19">
        <f>VLOOKUP(données!AK$13,'constantes gp'!$B$13:$M$76,7,0)*VLOOKUP('tableau financier'!AJ49,données!$AP$12:$AQ$20,2,0)^'tableau financier'!AJ$2*(0.998789138^'tableau financier'!AJ$92)*(0.998751839^'tableau financier'!AJ$93)*(0.998707677^'tableau financier'!AJ$94)+$D$11</f>
        <v>13.01113831413485</v>
      </c>
      <c r="AL19" t="s">
        <v>1</v>
      </c>
      <c r="AO19" s="209"/>
      <c r="AP19" s="60">
        <v>8</v>
      </c>
      <c r="AQ19" s="124">
        <v>1.0096900118273699</v>
      </c>
      <c r="AS19" t="str">
        <f>'tableau financier'!A47</f>
        <v>pontons</v>
      </c>
      <c r="AT19" s="4">
        <v>6</v>
      </c>
      <c r="AU19" s="4">
        <v>0.60000000000000009</v>
      </c>
      <c r="AV19" s="4">
        <v>0.60000000000000009</v>
      </c>
      <c r="AW19" s="4">
        <v>0</v>
      </c>
      <c r="BL19" s="53"/>
      <c r="BW19" t="s">
        <v>1</v>
      </c>
      <c r="BX19" t="s">
        <v>1</v>
      </c>
      <c r="BY19" t="s">
        <v>1</v>
      </c>
      <c r="BZ19" t="s">
        <v>1</v>
      </c>
      <c r="CA19" t="s">
        <v>1</v>
      </c>
      <c r="CB19" t="s">
        <v>1</v>
      </c>
      <c r="CC19" t="s">
        <v>1</v>
      </c>
      <c r="CD19" t="s">
        <v>1</v>
      </c>
      <c r="CF19" s="61"/>
      <c r="CG19" s="53"/>
      <c r="CI19">
        <v>13</v>
      </c>
      <c r="CJ19">
        <v>280</v>
      </c>
      <c r="CK19">
        <v>6700</v>
      </c>
      <c r="CL19">
        <v>560</v>
      </c>
      <c r="CM19">
        <v>10084.614</v>
      </c>
      <c r="CN19">
        <v>840</v>
      </c>
      <c r="CO19">
        <v>12623.088</v>
      </c>
      <c r="CP19">
        <v>1120</v>
      </c>
      <c r="CQ19">
        <v>15161.53808571429</v>
      </c>
      <c r="CR19">
        <v>1400</v>
      </c>
      <c r="CS19">
        <v>18546.149000000001</v>
      </c>
      <c r="CT19">
        <f t="shared" si="11"/>
        <v>15161.53808571429</v>
      </c>
      <c r="CW19" t="str">
        <f>'constantes gp'!B25</f>
        <v>Bucharest Ring</v>
      </c>
      <c r="CY19" t="s">
        <v>257</v>
      </c>
      <c r="CZ19">
        <v>9</v>
      </c>
      <c r="DG19" s="179" t="s">
        <v>48</v>
      </c>
      <c r="DH19" s="180" t="s">
        <v>1</v>
      </c>
      <c r="DI19" s="180">
        <v>4</v>
      </c>
      <c r="DJ19" s="180">
        <v>4</v>
      </c>
      <c r="DK19" s="181">
        <v>8</v>
      </c>
      <c r="DL19" t="s">
        <v>121</v>
      </c>
      <c r="DN19" s="4">
        <v>8</v>
      </c>
      <c r="DP19" t="s">
        <v>258</v>
      </c>
      <c r="DQ19" t="s">
        <v>259</v>
      </c>
      <c r="DT19">
        <v>9</v>
      </c>
      <c r="DV19" s="150" t="s">
        <v>250</v>
      </c>
      <c r="DW19" s="151" t="s">
        <v>410</v>
      </c>
      <c r="DX19" s="151" t="s">
        <v>923</v>
      </c>
      <c r="DY19" s="151">
        <v>6876</v>
      </c>
      <c r="EA19" t="s">
        <v>250</v>
      </c>
      <c r="EB19" t="s">
        <v>410</v>
      </c>
      <c r="EC19" t="s">
        <v>923</v>
      </c>
      <c r="ED19">
        <v>6876</v>
      </c>
    </row>
    <row r="20" spans="1:134" ht="26.4">
      <c r="A20" s="107">
        <v>6</v>
      </c>
      <c r="B20" s="107">
        <v>8</v>
      </c>
      <c r="C20" s="145">
        <v>10</v>
      </c>
      <c r="D20" s="108" t="s">
        <v>220</v>
      </c>
      <c r="E20">
        <f>VLOOKUP(données!E$13,'constantes gp'!$B$13:$M$76,8,0)*VLOOKUP('tableau financier'!D53,données!$AP$12:$AQ$20,2,0)^'tableau financier'!D$2*(0.998789138^'tableau financier'!D$92)*(0.998751839^'tableau financier'!D$93)*(0.998707677^'tableau financier'!D$94)+$D$11</f>
        <v>13.752235898451595</v>
      </c>
      <c r="F20" t="s">
        <v>1</v>
      </c>
      <c r="G20">
        <f>VLOOKUP(données!G$13,'constantes gp'!$B$13:$M$76,8,0)*VLOOKUP('tableau financier'!F53,données!$AP$12:$AQ$20,2,0)^'tableau financier'!F$2*(0.998789138^'tableau financier'!F$92)*(0.998751839^'tableau financier'!F$93)*(0.998707677^'tableau financier'!F$94)+$D$11</f>
        <v>13.397425628825339</v>
      </c>
      <c r="H20" t="s">
        <v>1</v>
      </c>
      <c r="I20">
        <f>VLOOKUP(données!I$13,'constantes gp'!$B$13:$M$76,8,0)*VLOOKUP('tableau financier'!H53,données!$AP$12:$AQ$20,2,0)^'tableau financier'!H$2*(0.998789138^'tableau financier'!H$92)*(0.998751839^'tableau financier'!H$93)*(0.998707677^'tableau financier'!H$94)+$D$11</f>
        <v>12.885529906474403</v>
      </c>
      <c r="J20" t="s">
        <v>1</v>
      </c>
      <c r="K20">
        <f>VLOOKUP(données!K$13,'constantes gp'!$B$13:$M$76,8,0)*VLOOKUP('tableau financier'!J53,données!$AP$12:$AQ$20,2,0)^'tableau financier'!J$2*(0.998789138^'tableau financier'!J$92)*(0.998751839^'tableau financier'!J$93)*(0.998707677^'tableau financier'!J$94)+$D$11</f>
        <v>17.565303742254756</v>
      </c>
      <c r="L20" t="s">
        <v>1</v>
      </c>
      <c r="M20">
        <f>VLOOKUP(données!M$13,'constantes gp'!$B$13:$M$76,8,0)*VLOOKUP('tableau financier'!L53,données!$AP$12:$AQ$20,2,0)^'tableau financier'!L$2*(0.998789138^'tableau financier'!L$92)*(0.998751839^'tableau financier'!L$93)*(0.998707677^'tableau financier'!L$94)+$D$11</f>
        <v>1.5</v>
      </c>
      <c r="N20" t="s">
        <v>1</v>
      </c>
      <c r="O20">
        <f>VLOOKUP(données!O$13,'constantes gp'!$B$13:$M$76,8,0)*VLOOKUP('tableau financier'!N53,données!$AP$12:$AQ$20,2,0)^'tableau financier'!N$2*(0.998789138^'tableau financier'!N$92)*(0.998751839^'tableau financier'!N$93)*(0.998707677^'tableau financier'!N$94)+$D$11</f>
        <v>20.96975124115</v>
      </c>
      <c r="P20" t="s">
        <v>1</v>
      </c>
      <c r="Q20">
        <f>VLOOKUP(données!Q$13,'constantes gp'!$B$13:$M$76,8,0)*VLOOKUP('tableau financier'!P53,données!$AP$12:$AQ$20,2,0)^'tableau financier'!P$2*(0.998789138^'tableau financier'!P$92)*(0.998751839^'tableau financier'!P$93)*(0.998707677^'tableau financier'!P$94)+$D$11</f>
        <v>19.905097982677766</v>
      </c>
      <c r="R20" t="s">
        <v>1</v>
      </c>
      <c r="S20">
        <f>VLOOKUP(données!S$13,'constantes gp'!$B$13:$M$76,8,0)*VLOOKUP('tableau financier'!R53,données!$AP$12:$AQ$20,2,0)^'tableau financier'!R$2*(0.998789138^'tableau financier'!R$92)*(0.998751839^'tableau financier'!R$93)*(0.998707677^'tableau financier'!R$94)+$D$11</f>
        <v>18.49896893516155</v>
      </c>
      <c r="T20" t="s">
        <v>1</v>
      </c>
      <c r="U20">
        <f>VLOOKUP(données!U$13,'constantes gp'!$B$13:$M$76,8,0)*VLOOKUP('tableau financier'!T53,données!$AP$12:$AQ$20,2,0)^'tableau financier'!T$2*(0.998789138^'tableau financier'!T$92)*(0.998751839^'tableau financier'!T$93)*(0.998707677^'tableau financier'!T$94)+$D$11</f>
        <v>18.52275401712993</v>
      </c>
      <c r="V20" t="s">
        <v>1</v>
      </c>
      <c r="W20">
        <f>VLOOKUP(données!W$13,'constantes gp'!$B$13:$M$76,8,0)*VLOOKUP('tableau financier'!V53,données!$AP$12:$AQ$20,2,0)^'tableau financier'!V$2*(0.998789138^'tableau financier'!V$92)*(0.998751839^'tableau financier'!V$93)*(0.998707677^'tableau financier'!V$94)+$D$11</f>
        <v>21.671412162336839</v>
      </c>
      <c r="X20" t="s">
        <v>1</v>
      </c>
      <c r="Y20">
        <f>VLOOKUP(données!Y$13,'constantes gp'!$B$13:$M$76,8,0)*VLOOKUP('tableau financier'!X53,données!$AP$12:$AQ$20,2,0)^'tableau financier'!X$2*(0.998789138^'tableau financier'!X$92)*(0.998751839^'tableau financier'!X$93)*(0.998707677^'tableau financier'!X$94)+$D$11</f>
        <v>22.024853027377294</v>
      </c>
      <c r="Z20" t="s">
        <v>1</v>
      </c>
      <c r="AA20">
        <f>VLOOKUP(données!AA$13,'constantes gp'!$B$13:$M$76,8,0)*VLOOKUP('tableau financier'!Z53,données!$AP$12:$AQ$20,2,0)^'tableau financier'!Z$2*(0.998789138^'tableau financier'!Z$92)*(0.998751839^'tableau financier'!Z$93)*(0.998707677^'tableau financier'!Z$94)+$D$11</f>
        <v>14.512127923544956</v>
      </c>
      <c r="AB20" t="s">
        <v>1</v>
      </c>
      <c r="AC20">
        <f>VLOOKUP(données!AC$13,'constantes gp'!$B$13:$M$76,8,0)*VLOOKUP('tableau financier'!AB53,données!$AP$12:$AQ$20,2,0)^'tableau financier'!AB$2*(0.998789138^'tableau financier'!AB$92)*(0.998751839^'tableau financier'!AB$93)*(0.998707677^'tableau financier'!AB$94)+$D$11</f>
        <v>17.640272997763049</v>
      </c>
      <c r="AD20" t="s">
        <v>1</v>
      </c>
      <c r="AE20">
        <f>VLOOKUP(données!AE$13,'constantes gp'!$B$13:$M$76,8,0)*VLOOKUP('tableau financier'!AD53,données!$AP$12:$AQ$20,2,0)^'tableau financier'!AD$2*(0.998789138^'tableau financier'!AD$92)*(0.998751839^'tableau financier'!AD$93)*(0.998707677^'tableau financier'!AD$94)+$D$11</f>
        <v>16.026835942414284</v>
      </c>
      <c r="AF20" t="s">
        <v>1</v>
      </c>
      <c r="AG20">
        <f>VLOOKUP(données!AG$13,'constantes gp'!$B$13:$M$76,8,0)*VLOOKUP('tableau financier'!AF53,données!$AP$12:$AQ$20,2,0)^'tableau financier'!AF$2*(0.998789138^'tableau financier'!AF$92)*(0.998751839^'tableau financier'!AF$93)*(0.998707677^'tableau financier'!AF$94)+$D$11</f>
        <v>14.974262644323362</v>
      </c>
      <c r="AH20" t="s">
        <v>1</v>
      </c>
      <c r="AI20">
        <f>VLOOKUP(données!AI$13,'constantes gp'!$B$13:$M$76,8,0)*VLOOKUP('tableau financier'!AH53,données!$AP$12:$AQ$20,2,0)^'tableau financier'!AH$2*(0.998789138^'tableau financier'!AH$92)*(0.998751839^'tableau financier'!AH$93)*(0.998707677^'tableau financier'!AH$94)+$D$11</f>
        <v>17.525752851068958</v>
      </c>
      <c r="AJ20" t="s">
        <v>1</v>
      </c>
      <c r="AK20">
        <f>VLOOKUP(données!AK$13,'constantes gp'!$B$13:$M$76,8,0)*VLOOKUP('tableau financier'!AJ53,données!$AP$12:$AQ$20,2,0)^'tableau financier'!AJ$2*(0.998789138^'tableau financier'!AJ$92)*(0.998751839^'tableau financier'!AJ$93)*(0.998707677^'tableau financier'!AJ$94)+$D$11</f>
        <v>14.533951331883518</v>
      </c>
      <c r="AL20" t="s">
        <v>1</v>
      </c>
      <c r="AO20" s="209"/>
      <c r="AP20" s="60">
        <v>9</v>
      </c>
      <c r="AQ20" s="124">
        <v>1.0051519553917501</v>
      </c>
      <c r="AS20" t="str">
        <f>'tableau financier'!A51</f>
        <v>refroidissement</v>
      </c>
      <c r="AT20" s="4">
        <v>6</v>
      </c>
      <c r="AU20" s="4">
        <v>1.2</v>
      </c>
      <c r="AV20" s="4">
        <v>0</v>
      </c>
      <c r="AW20" s="4">
        <v>0</v>
      </c>
      <c r="BL20" s="53"/>
      <c r="BM20" s="53"/>
      <c r="BN20" s="53"/>
      <c r="BO20" s="53"/>
      <c r="CI20">
        <v>14</v>
      </c>
      <c r="CJ20">
        <v>270</v>
      </c>
      <c r="CK20">
        <v>6600</v>
      </c>
      <c r="CL20">
        <v>540</v>
      </c>
      <c r="CM20">
        <v>9933.3320000000003</v>
      </c>
      <c r="CN20">
        <v>810</v>
      </c>
      <c r="CO20">
        <v>12433.343999999999</v>
      </c>
      <c r="CP20">
        <v>1080</v>
      </c>
      <c r="CQ20">
        <v>14933.332971428576</v>
      </c>
      <c r="CR20">
        <v>1350</v>
      </c>
      <c r="CS20">
        <v>18266.662</v>
      </c>
      <c r="CT20">
        <f t="shared" si="11"/>
        <v>14933.332971428576</v>
      </c>
      <c r="CW20" t="str">
        <f>'constantes gp'!B26</f>
        <v>Buenos Aires</v>
      </c>
      <c r="CZ20" t="str">
        <f>RIGHT('tableau financier'!$D$111,2)</f>
        <v>01</v>
      </c>
      <c r="DL20" t="s">
        <v>164</v>
      </c>
      <c r="DN20" s="4">
        <v>9</v>
      </c>
      <c r="DP20" t="s">
        <v>261</v>
      </c>
      <c r="DQ20" t="s">
        <v>262</v>
      </c>
      <c r="DT20">
        <v>10</v>
      </c>
      <c r="DV20" s="150" t="s">
        <v>350</v>
      </c>
      <c r="DW20" s="151" t="s">
        <v>410</v>
      </c>
      <c r="DX20" s="151" t="s">
        <v>924</v>
      </c>
      <c r="DY20" s="151">
        <v>7212</v>
      </c>
      <c r="EA20" t="s">
        <v>350</v>
      </c>
      <c r="EB20" t="s">
        <v>410</v>
      </c>
      <c r="EC20" t="s">
        <v>924</v>
      </c>
      <c r="ED20">
        <v>7212</v>
      </c>
    </row>
    <row r="21" spans="1:134" ht="17.399999999999999">
      <c r="A21" s="107">
        <v>11</v>
      </c>
      <c r="B21" s="107">
        <v>12</v>
      </c>
      <c r="C21" s="145">
        <v>12</v>
      </c>
      <c r="D21" s="108" t="s">
        <v>229</v>
      </c>
      <c r="E21">
        <f>VLOOKUP(données!E$13,'constantes gp'!$B$13:$M$76,9,0)*VLOOKUP('tableau financier'!D57,données!$AP$12:$AQ$20,2,0)^'tableau financier'!D$2*(0.998789138^'tableau financier'!D$92)*(0.998751839^'tableau financier'!D$93)*(0.998707677^'tableau financier'!D$94)+$D$11</f>
        <v>20.14372857756193</v>
      </c>
      <c r="F21" t="s">
        <v>1</v>
      </c>
      <c r="G21">
        <f>VLOOKUP(données!G$13,'constantes gp'!$B$13:$M$76,9,0)*VLOOKUP('tableau financier'!F57,données!$AP$12:$AQ$20,2,0)^'tableau financier'!F$2*(0.998789138^'tableau financier'!F$92)*(0.998751839^'tableau financier'!F$93)*(0.998707677^'tableau financier'!F$94)+$D$11</f>
        <v>20.135556105997878</v>
      </c>
      <c r="H21" t="s">
        <v>1</v>
      </c>
      <c r="I21">
        <f>VLOOKUP(données!I$13,'constantes gp'!$B$13:$M$76,9,0)*VLOOKUP('tableau financier'!H57,données!$AP$12:$AQ$20,2,0)^'tableau financier'!H$2*(0.998789138^'tableau financier'!H$92)*(0.998751839^'tableau financier'!H$93)*(0.998707677^'tableau financier'!H$94)+$D$11</f>
        <v>19.846708569300397</v>
      </c>
      <c r="J21" t="s">
        <v>1</v>
      </c>
      <c r="K21">
        <f>VLOOKUP(données!K$13,'constantes gp'!$B$13:$M$76,9,0)*VLOOKUP('tableau financier'!J57,données!$AP$12:$AQ$20,2,0)^'tableau financier'!J$2*(0.998789138^'tableau financier'!J$92)*(0.998751839^'tableau financier'!J$93)*(0.998707677^'tableau financier'!J$94)+$D$11</f>
        <v>36.436681772123933</v>
      </c>
      <c r="L21" t="s">
        <v>1</v>
      </c>
      <c r="M21">
        <f>VLOOKUP(données!M$13,'constantes gp'!$B$13:$M$76,9,0)*VLOOKUP('tableau financier'!L57,données!$AP$12:$AQ$20,2,0)^'tableau financier'!L$2*(0.998789138^'tableau financier'!L$92)*(0.998751839^'tableau financier'!L$93)*(0.998707677^'tableau financier'!L$94)+$D$11</f>
        <v>1.5</v>
      </c>
      <c r="N21" t="s">
        <v>1</v>
      </c>
      <c r="O21">
        <f>VLOOKUP(données!O$13,'constantes gp'!$B$13:$M$76,9,0)*VLOOKUP('tableau financier'!N57,données!$AP$12:$AQ$20,2,0)^'tableau financier'!N$2*(0.998789138^'tableau financier'!N$92)*(0.998751839^'tableau financier'!N$93)*(0.998707677^'tableau financier'!N$94)+$D$11</f>
        <v>18.571451107733111</v>
      </c>
      <c r="P21" t="s">
        <v>1</v>
      </c>
      <c r="Q21">
        <f>VLOOKUP(données!Q$13,'constantes gp'!$B$13:$M$76,9,0)*VLOOKUP('tableau financier'!P57,données!$AP$12:$AQ$20,2,0)^'tableau financier'!P$2*(0.998789138^'tableau financier'!P$92)*(0.998751839^'tableau financier'!P$93)*(0.998707677^'tableau financier'!P$94)+$D$11</f>
        <v>23.599178739053173</v>
      </c>
      <c r="R21" t="s">
        <v>1</v>
      </c>
      <c r="S21">
        <f>VLOOKUP(données!S$13,'constantes gp'!$B$13:$M$76,9,0)*VLOOKUP('tableau financier'!R57,données!$AP$12:$AQ$20,2,0)^'tableau financier'!R$2*(0.998789138^'tableau financier'!R$92)*(0.998751839^'tableau financier'!R$93)*(0.998707677^'tableau financier'!R$94)+$D$11</f>
        <v>25.791164356972025</v>
      </c>
      <c r="T21" t="s">
        <v>1</v>
      </c>
      <c r="U21">
        <f>VLOOKUP(données!U$13,'constantes gp'!$B$13:$M$76,9,0)*VLOOKUP('tableau financier'!T57,données!$AP$12:$AQ$20,2,0)^'tableau financier'!T$2*(0.998789138^'tableau financier'!T$92)*(0.998751839^'tableau financier'!T$93)*(0.998707677^'tableau financier'!T$94)+$D$11</f>
        <v>14.798714620971495</v>
      </c>
      <c r="V21" t="s">
        <v>1</v>
      </c>
      <c r="W21">
        <f>VLOOKUP(données!W$13,'constantes gp'!$B$13:$M$76,9,0)*VLOOKUP('tableau financier'!V57,données!$AP$12:$AQ$20,2,0)^'tableau financier'!V$2*(0.998789138^'tableau financier'!V$92)*(0.998751839^'tableau financier'!V$93)*(0.998707677^'tableau financier'!V$94)+$D$11</f>
        <v>24.318197542820393</v>
      </c>
      <c r="X21" t="s">
        <v>1</v>
      </c>
      <c r="Y21">
        <f>VLOOKUP(données!Y$13,'constantes gp'!$B$13:$M$76,9,0)*VLOOKUP('tableau financier'!X57,données!$AP$12:$AQ$20,2,0)^'tableau financier'!X$2*(0.998789138^'tableau financier'!X$92)*(0.998751839^'tableau financier'!X$93)*(0.998707677^'tableau financier'!X$94)+$D$11</f>
        <v>24.348172905743471</v>
      </c>
      <c r="Z21" t="s">
        <v>1</v>
      </c>
      <c r="AA21">
        <f>VLOOKUP(données!AA$13,'constantes gp'!$B$13:$M$76,9,0)*VLOOKUP('tableau financier'!Z57,données!$AP$12:$AQ$20,2,0)^'tableau financier'!Z$2*(0.998789138^'tableau financier'!Z$92)*(0.998751839^'tableau financier'!Z$93)*(0.998707677^'tableau financier'!Z$94)+$D$11</f>
        <v>24.324552983755598</v>
      </c>
      <c r="AB21" t="s">
        <v>1</v>
      </c>
      <c r="AC21">
        <f>VLOOKUP(données!AC$13,'constantes gp'!$B$13:$M$76,9,0)*VLOOKUP('tableau financier'!AB57,données!$AP$12:$AQ$20,2,0)^'tableau financier'!AB$2*(0.998789138^'tableau financier'!AB$92)*(0.998751839^'tableau financier'!AB$93)*(0.998707677^'tableau financier'!AB$94)+$D$11</f>
        <v>20.971249238175893</v>
      </c>
      <c r="AD21" t="s">
        <v>1</v>
      </c>
      <c r="AE21">
        <f>VLOOKUP(données!AE$13,'constantes gp'!$B$13:$M$76,9,0)*VLOOKUP('tableau financier'!AD57,données!$AP$12:$AQ$20,2,0)^'tableau financier'!AD$2*(0.998789138^'tableau financier'!AD$92)*(0.998751839^'tableau financier'!AD$93)*(0.998707677^'tableau financier'!AD$94)+$D$11</f>
        <v>22.709890627543437</v>
      </c>
      <c r="AF21" t="s">
        <v>1</v>
      </c>
      <c r="AG21">
        <f>VLOOKUP(données!AG$13,'constantes gp'!$B$13:$M$76,9,0)*VLOOKUP('tableau financier'!AF57,données!$AP$12:$AQ$20,2,0)^'tableau financier'!AF$2*(0.998789138^'tableau financier'!AF$92)*(0.998751839^'tableau financier'!AF$93)*(0.998707677^'tableau financier'!AF$94)+$D$11</f>
        <v>15.72955530841716</v>
      </c>
      <c r="AH21" t="s">
        <v>1</v>
      </c>
      <c r="AI21">
        <f>VLOOKUP(données!AI$13,'constantes gp'!$B$13:$M$76,9,0)*VLOOKUP('tableau financier'!AH57,données!$AP$12:$AQ$20,2,0)^'tableau financier'!AH$2*(0.998789138^'tableau financier'!AH$92)*(0.998751839^'tableau financier'!AH$93)*(0.998707677^'tableau financier'!AH$94)+$D$11</f>
        <v>20.794344903876336</v>
      </c>
      <c r="AJ21" t="s">
        <v>1</v>
      </c>
      <c r="AK21">
        <f>VLOOKUP(données!AK$13,'constantes gp'!$B$13:$M$76,9,0)*VLOOKUP('tableau financier'!AJ57,données!$AP$12:$AQ$20,2,0)^'tableau financier'!AJ$2*(0.998789138^'tableau financier'!AJ$92)*(0.998751839^'tableau financier'!AJ$93)*(0.998707677^'tableau financier'!AJ$94)+$D$11</f>
        <v>16.777652552047567</v>
      </c>
      <c r="AL21" t="s">
        <v>1</v>
      </c>
      <c r="AS21" t="str">
        <f>'tableau financier'!A55</f>
        <v>boite de vitesse</v>
      </c>
      <c r="AT21" s="4">
        <v>6</v>
      </c>
      <c r="AU21" s="4">
        <v>2.7</v>
      </c>
      <c r="AV21" s="4">
        <v>1.1000000000000001</v>
      </c>
      <c r="AW21" s="4">
        <v>4.2</v>
      </c>
      <c r="BL21" s="53"/>
      <c r="BM21" s="53"/>
      <c r="BN21" s="53"/>
      <c r="BO21" s="53"/>
      <c r="BP21" s="20">
        <f>BP8+BP9+BQ15</f>
        <v>8784.7890000000007</v>
      </c>
      <c r="CI21">
        <v>15</v>
      </c>
      <c r="CJ21">
        <v>260</v>
      </c>
      <c r="CK21">
        <v>6500</v>
      </c>
      <c r="CL21">
        <v>520</v>
      </c>
      <c r="CM21">
        <v>9782.0499999999993</v>
      </c>
      <c r="CN21">
        <v>780</v>
      </c>
      <c r="CO21">
        <v>12243.6</v>
      </c>
      <c r="CP21">
        <v>1040</v>
      </c>
      <c r="CQ21">
        <v>14705.127857142861</v>
      </c>
      <c r="CR21">
        <v>1300</v>
      </c>
      <c r="CS21">
        <v>17987.174999999999</v>
      </c>
      <c r="CT21">
        <f t="shared" si="11"/>
        <v>14705.127857142861</v>
      </c>
      <c r="CW21" t="str">
        <f>'constantes gp'!B27</f>
        <v>Estoril</v>
      </c>
      <c r="CY21" t="s">
        <v>264</v>
      </c>
      <c r="DA21" t="s">
        <v>265</v>
      </c>
      <c r="DC21" t="s">
        <v>266</v>
      </c>
      <c r="DL21" t="s">
        <v>112</v>
      </c>
      <c r="DP21" t="s">
        <v>267</v>
      </c>
      <c r="DQ21" t="s">
        <v>268</v>
      </c>
      <c r="DT21">
        <v>11</v>
      </c>
      <c r="DV21" s="150" t="s">
        <v>339</v>
      </c>
      <c r="DW21" s="151" t="s">
        <v>410</v>
      </c>
      <c r="DX21" s="151" t="s">
        <v>925</v>
      </c>
      <c r="DY21" s="151">
        <v>8621</v>
      </c>
      <c r="EA21" t="s">
        <v>339</v>
      </c>
      <c r="EB21" t="s">
        <v>410</v>
      </c>
      <c r="EC21" t="s">
        <v>925</v>
      </c>
      <c r="ED21">
        <v>8621</v>
      </c>
    </row>
    <row r="22" spans="1:134" ht="17.399999999999999">
      <c r="A22" s="107">
        <v>15</v>
      </c>
      <c r="B22" s="107">
        <v>16</v>
      </c>
      <c r="C22" s="145">
        <v>8</v>
      </c>
      <c r="D22" s="108" t="s">
        <v>237</v>
      </c>
      <c r="E22">
        <f>VLOOKUP(données!E$13,'constantes gp'!$B$13:$M$76,10,0)*VLOOKUP('tableau financier'!D61,données!$AP$12:$AQ$20,2,0)^'tableau financier'!D$2*(0.998789138^'tableau financier'!D$92)*(0.998751839^'tableau financier'!D$93)*(0.998707677^'tableau financier'!D$94)+$D$11</f>
        <v>34.758376473572582</v>
      </c>
      <c r="F22" t="s">
        <v>1</v>
      </c>
      <c r="G22">
        <f>VLOOKUP(données!G$13,'constantes gp'!$B$13:$M$76,10,0)*VLOOKUP('tableau financier'!F61,données!$AP$12:$AQ$20,2,0)^'tableau financier'!F$2*(0.998789138^'tableau financier'!F$92)*(0.998751839^'tableau financier'!F$93)*(0.998707677^'tableau financier'!F$94)+$D$11</f>
        <v>23.974643097821694</v>
      </c>
      <c r="H22" t="s">
        <v>1</v>
      </c>
      <c r="I22">
        <f>VLOOKUP(données!I$13,'constantes gp'!$B$13:$M$76,10,0)*VLOOKUP('tableau financier'!H61,données!$AP$12:$AQ$20,2,0)^'tableau financier'!H$2*(0.998789138^'tableau financier'!H$92)*(0.998751839^'tableau financier'!H$93)*(0.998707677^'tableau financier'!H$94)+$D$11</f>
        <v>9.2847417696639649</v>
      </c>
      <c r="J22" t="s">
        <v>1</v>
      </c>
      <c r="K22">
        <f>VLOOKUP(données!K$13,'constantes gp'!$B$13:$M$76,10,0)*VLOOKUP('tableau financier'!J61,données!$AP$12:$AQ$20,2,0)^'tableau financier'!J$2*(0.998789138^'tableau financier'!J$92)*(0.998751839^'tableau financier'!J$93)*(0.998707677^'tableau financier'!J$94)+$D$11</f>
        <v>45.589898396419052</v>
      </c>
      <c r="L22" t="s">
        <v>1</v>
      </c>
      <c r="M22">
        <f>VLOOKUP(données!M$13,'constantes gp'!$B$13:$M$76,10,0)*VLOOKUP('tableau financier'!L61,données!$AP$12:$AQ$20,2,0)^'tableau financier'!L$2*(0.998789138^'tableau financier'!L$92)*(0.998751839^'tableau financier'!L$93)*(0.998707677^'tableau financier'!L$94)+$D$11</f>
        <v>1.5</v>
      </c>
      <c r="N22" t="s">
        <v>1</v>
      </c>
      <c r="O22">
        <f>VLOOKUP(données!O$13,'constantes gp'!$B$13:$M$76,10,0)*VLOOKUP('tableau financier'!N61,données!$AP$12:$AQ$20,2,0)^'tableau financier'!N$2*(0.998789138^'tableau financier'!N$92)*(0.998751839^'tableau financier'!N$93)*(0.998707677^'tableau financier'!N$94)+$D$11</f>
        <v>33.57957064239173</v>
      </c>
      <c r="P22" t="s">
        <v>1</v>
      </c>
      <c r="Q22">
        <f>VLOOKUP(données!Q$13,'constantes gp'!$B$13:$M$76,10,0)*VLOOKUP('tableau financier'!P61,données!$AP$12:$AQ$20,2,0)^'tableau financier'!P$2*(0.998789138^'tableau financier'!P$92)*(0.998751839^'tableau financier'!P$93)*(0.998707677^'tableau financier'!P$94)+$D$11</f>
        <v>27.195525080727691</v>
      </c>
      <c r="R22" t="s">
        <v>1</v>
      </c>
      <c r="S22">
        <f>VLOOKUP(données!S$13,'constantes gp'!$B$13:$M$76,10,0)*VLOOKUP('tableau financier'!R61,données!$AP$12:$AQ$20,2,0)^'tableau financier'!R$2*(0.998789138^'tableau financier'!R$92)*(0.998751839^'tableau financier'!R$93)*(0.998707677^'tableau financier'!R$94)+$D$11</f>
        <v>28.977331651760728</v>
      </c>
      <c r="T22" t="s">
        <v>1</v>
      </c>
      <c r="U22">
        <f>VLOOKUP(données!U$13,'constantes gp'!$B$13:$M$76,10,0)*VLOOKUP('tableau financier'!T61,données!$AP$12:$AQ$20,2,0)^'tableau financier'!T$2*(0.998789138^'tableau financier'!T$92)*(0.998751839^'tableau financier'!T$93)*(0.998707677^'tableau financier'!T$94)+$D$11</f>
        <v>29.444845841410405</v>
      </c>
      <c r="V22" t="s">
        <v>1</v>
      </c>
      <c r="W22">
        <f>VLOOKUP(données!W$13,'constantes gp'!$B$13:$M$76,10,0)*VLOOKUP('tableau financier'!V61,données!$AP$12:$AQ$20,2,0)^'tableau financier'!V$2*(0.998789138^'tableau financier'!V$92)*(0.998751839^'tableau financier'!V$93)*(0.998707677^'tableau financier'!V$94)+$D$11</f>
        <v>28.412780392425454</v>
      </c>
      <c r="X22" t="s">
        <v>1</v>
      </c>
      <c r="Y22">
        <f>VLOOKUP(données!Y$13,'constantes gp'!$B$13:$M$76,10,0)*VLOOKUP('tableau financier'!X61,données!$AP$12:$AQ$20,2,0)^'tableau financier'!X$2*(0.998789138^'tableau financier'!X$92)*(0.998751839^'tableau financier'!X$93)*(0.998707677^'tableau financier'!X$94)+$D$11</f>
        <v>22.178944078094361</v>
      </c>
      <c r="Z22" t="s">
        <v>1</v>
      </c>
      <c r="AA22">
        <f>VLOOKUP(données!AA$13,'constantes gp'!$B$13:$M$76,10,0)*VLOOKUP('tableau financier'!Z61,données!$AP$12:$AQ$20,2,0)^'tableau financier'!Z$2*(0.998789138^'tableau financier'!Z$92)*(0.998751839^'tableau financier'!Z$93)*(0.998707677^'tableau financier'!Z$94)+$D$11</f>
        <v>32.685352180250291</v>
      </c>
      <c r="AB22" t="s">
        <v>1</v>
      </c>
      <c r="AC22">
        <f>VLOOKUP(données!AC$13,'constantes gp'!$B$13:$M$76,10,0)*VLOOKUP('tableau financier'!AB61,données!$AP$12:$AQ$20,2,0)^'tableau financier'!AB$2*(0.998789138^'tableau financier'!AB$92)*(0.998751839^'tableau financier'!AB$93)*(0.998707677^'tableau financier'!AB$94)+$D$11</f>
        <v>23.597283425879784</v>
      </c>
      <c r="AD22" t="s">
        <v>1</v>
      </c>
      <c r="AE22">
        <f>VLOOKUP(données!AE$13,'constantes gp'!$B$13:$M$76,10,0)*VLOOKUP('tableau financier'!AD61,données!$AP$12:$AQ$20,2,0)^'tableau financier'!AD$2*(0.998789138^'tableau financier'!AD$92)*(0.998751839^'tableau financier'!AD$93)*(0.998707677^'tableau financier'!AD$94)+$D$11</f>
        <v>19.425622642014204</v>
      </c>
      <c r="AF22" t="s">
        <v>1</v>
      </c>
      <c r="AG22">
        <f>VLOOKUP(données!AG$13,'constantes gp'!$B$13:$M$76,10,0)*VLOOKUP('tableau financier'!AF61,données!$AP$12:$AQ$20,2,0)^'tableau financier'!AF$2*(0.998789138^'tableau financier'!AF$92)*(0.998751839^'tableau financier'!AF$93)*(0.998707677^'tableau financier'!AF$94)+$D$11</f>
        <v>21.975515398365772</v>
      </c>
      <c r="AH22" t="s">
        <v>1</v>
      </c>
      <c r="AI22">
        <f>VLOOKUP(données!AI$13,'constantes gp'!$B$13:$M$76,10,0)*VLOOKUP('tableau financier'!AH61,données!$AP$12:$AQ$20,2,0)^'tableau financier'!AH$2*(0.998789138^'tableau financier'!AH$92)*(0.998751839^'tableau financier'!AH$93)*(0.998707677^'tableau financier'!AH$94)+$D$11</f>
        <v>22.289642737106742</v>
      </c>
      <c r="AJ22" t="s">
        <v>1</v>
      </c>
      <c r="AK22">
        <f>VLOOKUP(données!AK$13,'constantes gp'!$B$13:$M$76,10,0)*VLOOKUP('tableau financier'!AJ61,données!$AP$12:$AQ$20,2,0)^'tableau financier'!AJ$2*(0.998789138^'tableau financier'!AJ$92)*(0.998751839^'tableau financier'!AJ$93)*(0.998707677^'tableau financier'!AJ$94)+$D$11</f>
        <v>23.579663248842873</v>
      </c>
      <c r="AL22" t="s">
        <v>1</v>
      </c>
      <c r="AO22" t="s">
        <v>269</v>
      </c>
      <c r="AS22" t="str">
        <f>'tableau financier'!A59</f>
        <v xml:space="preserve">freins </v>
      </c>
      <c r="AT22" s="4">
        <v>6</v>
      </c>
      <c r="AU22" s="4">
        <v>0.1</v>
      </c>
      <c r="AV22" s="4">
        <v>1.8</v>
      </c>
      <c r="AW22" s="4">
        <v>0</v>
      </c>
      <c r="BL22" s="53"/>
      <c r="BM22" s="53"/>
      <c r="BN22" s="53"/>
      <c r="BO22" s="53"/>
      <c r="CI22">
        <v>16</v>
      </c>
      <c r="CJ22">
        <v>250</v>
      </c>
      <c r="CK22">
        <v>6400</v>
      </c>
      <c r="CL22">
        <v>500</v>
      </c>
      <c r="CM22">
        <v>9630.768</v>
      </c>
      <c r="CN22">
        <v>750</v>
      </c>
      <c r="CO22">
        <v>12053.856</v>
      </c>
      <c r="CP22">
        <v>1000</v>
      </c>
      <c r="CQ22">
        <v>14476.922742857147</v>
      </c>
      <c r="CR22">
        <v>1250</v>
      </c>
      <c r="CS22">
        <v>17707.687999999998</v>
      </c>
      <c r="CT22">
        <f t="shared" si="11"/>
        <v>14476.922742857147</v>
      </c>
      <c r="CW22" t="str">
        <f>'constantes gp'!B28</f>
        <v>Fiorano</v>
      </c>
      <c r="CY22" t="s">
        <v>3</v>
      </c>
      <c r="CZ22">
        <f>IF(OR(AND(RIGHT('tableau financier'!$D$111,2)&lt;=CY22,RIGHT('tableau financier'!$D$112,2)&gt;=CY22,'tableau financier'!$B$111&gt;0),AND(RIGHT('tableau financier'!$H$111,2)&lt;=CY22,RIGHT('tableau financier'!$H$112,2)&gt;=CY22,'tableau financier'!$F$111&gt;0)),8,0)</f>
        <v>0</v>
      </c>
      <c r="DA22">
        <v>0</v>
      </c>
      <c r="DC22">
        <v>0</v>
      </c>
      <c r="DL22" t="s">
        <v>165</v>
      </c>
      <c r="DP22" t="s">
        <v>271</v>
      </c>
      <c r="DQ22" t="s">
        <v>272</v>
      </c>
      <c r="DT22">
        <v>12</v>
      </c>
      <c r="DV22" s="150" t="s">
        <v>208</v>
      </c>
      <c r="DW22" s="151" t="s">
        <v>410</v>
      </c>
      <c r="DX22" s="151" t="s">
        <v>926</v>
      </c>
      <c r="DY22" s="151">
        <v>3915</v>
      </c>
      <c r="EA22" t="s">
        <v>208</v>
      </c>
      <c r="EB22" t="s">
        <v>410</v>
      </c>
      <c r="EC22" t="s">
        <v>926</v>
      </c>
      <c r="ED22">
        <v>3915</v>
      </c>
    </row>
    <row r="23" spans="1:134" ht="17.399999999999999">
      <c r="A23" s="107">
        <v>12</v>
      </c>
      <c r="B23" s="107">
        <v>8</v>
      </c>
      <c r="C23" s="145">
        <v>14</v>
      </c>
      <c r="D23" s="108" t="s">
        <v>244</v>
      </c>
      <c r="E23">
        <f>VLOOKUP(données!E$13,'constantes gp'!$B$13:$M$76,11,0)*VLOOKUP('tableau financier'!D65,données!$AP$12:$AQ$20,2,0)^'tableau financier'!D$2*(0.998789138^'tableau financier'!D$92)*(0.998751839^'tableau financier'!D$93)*(0.998707677^'tableau financier'!D$94)+$D$11</f>
        <v>25.099313207362247</v>
      </c>
      <c r="F23" t="s">
        <v>1</v>
      </c>
      <c r="G23">
        <f>VLOOKUP(données!G$13,'constantes gp'!$B$13:$M$76,11,0)*VLOOKUP('tableau financier'!F65,données!$AP$12:$AQ$20,2,0)^'tableau financier'!F$2*(0.998789138^'tableau financier'!F$92)*(0.998751839^'tableau financier'!F$93)*(0.998707677^'tableau financier'!F$94)+$D$11</f>
        <v>14.381821678191715</v>
      </c>
      <c r="H23" t="s">
        <v>1</v>
      </c>
      <c r="I23">
        <f>VLOOKUP(données!I$13,'constantes gp'!$B$13:$M$76,11,0)*VLOOKUP('tableau financier'!H65,données!$AP$12:$AQ$20,2,0)^'tableau financier'!H$2*(0.998789138^'tableau financier'!H$92)*(0.998751839^'tableau financier'!H$93)*(0.998707677^'tableau financier'!H$94)+$D$11</f>
        <v>23.40091248009556</v>
      </c>
      <c r="J23" t="s">
        <v>1</v>
      </c>
      <c r="K23">
        <f>VLOOKUP(données!K$13,'constantes gp'!$B$13:$M$76,11,0)*VLOOKUP('tableau financier'!J65,données!$AP$12:$AQ$20,2,0)^'tableau financier'!J$2*(0.998789138^'tableau financier'!J$92)*(0.998751839^'tableau financier'!J$93)*(0.998707677^'tableau financier'!J$94)+$D$11</f>
        <v>33.06845018565339</v>
      </c>
      <c r="L23" t="s">
        <v>1</v>
      </c>
      <c r="M23">
        <f>VLOOKUP(données!M$13,'constantes gp'!$B$13:$M$76,11,0)*VLOOKUP('tableau financier'!L65,données!$AP$12:$AQ$20,2,0)^'tableau financier'!L$2*(0.998789138^'tableau financier'!L$92)*(0.998751839^'tableau financier'!L$93)*(0.998707677^'tableau financier'!L$94)+$D$11</f>
        <v>1.5</v>
      </c>
      <c r="N23" t="s">
        <v>1</v>
      </c>
      <c r="O23">
        <f>VLOOKUP(données!O$13,'constantes gp'!$B$13:$M$76,11,0)*VLOOKUP('tableau financier'!N65,données!$AP$12:$AQ$20,2,0)^'tableau financier'!N$2*(0.998789138^'tableau financier'!N$92)*(0.998751839^'tableau financier'!N$93)*(0.998707677^'tableau financier'!N$94)+$D$11</f>
        <v>15.200843603699186</v>
      </c>
      <c r="P23" t="s">
        <v>1</v>
      </c>
      <c r="Q23">
        <f>VLOOKUP(données!Q$13,'constantes gp'!$B$13:$M$76,11,0)*VLOOKUP('tableau financier'!P65,données!$AP$12:$AQ$20,2,0)^'tableau financier'!P$2*(0.998789138^'tableau financier'!P$92)*(0.998751839^'tableau financier'!P$93)*(0.998707677^'tableau financier'!P$94)+$D$11</f>
        <v>20.617565711692066</v>
      </c>
      <c r="R23" t="s">
        <v>1</v>
      </c>
      <c r="S23">
        <f>VLOOKUP(données!S$13,'constantes gp'!$B$13:$M$76,11,0)*VLOOKUP('tableau financier'!R65,données!$AP$12:$AQ$20,2,0)^'tableau financier'!R$2*(0.998789138^'tableau financier'!R$92)*(0.998751839^'tableau financier'!R$93)*(0.998707677^'tableau financier'!R$94)+$D$11</f>
        <v>32.572386073778091</v>
      </c>
      <c r="T23" t="s">
        <v>1</v>
      </c>
      <c r="U23">
        <f>VLOOKUP(données!U$13,'constantes gp'!$B$13:$M$76,11,0)*VLOOKUP('tableau financier'!T65,données!$AP$12:$AQ$20,2,0)^'tableau financier'!T$2*(0.998789138^'tableau financier'!T$92)*(0.998751839^'tableau financier'!T$93)*(0.998707677^'tableau financier'!T$94)+$D$11</f>
        <v>14.044752242609938</v>
      </c>
      <c r="V23" t="s">
        <v>1</v>
      </c>
      <c r="W23">
        <f>VLOOKUP(données!W$13,'constantes gp'!$B$13:$M$76,11,0)*VLOOKUP('tableau financier'!V65,données!$AP$12:$AQ$20,2,0)^'tableau financier'!V$2*(0.998789138^'tableau financier'!V$92)*(0.998751839^'tableau financier'!V$93)*(0.998707677^'tableau financier'!V$94)+$D$11</f>
        <v>17.98112553626353</v>
      </c>
      <c r="X23" t="s">
        <v>1</v>
      </c>
      <c r="Y23">
        <f>VLOOKUP(données!Y$13,'constantes gp'!$B$13:$M$76,11,0)*VLOOKUP('tableau financier'!X65,données!$AP$12:$AQ$20,2,0)^'tableau financier'!X$2*(0.998789138^'tableau financier'!X$92)*(0.998751839^'tableau financier'!X$93)*(0.998707677^'tableau financier'!X$94)+$D$11</f>
        <v>19.23501188924163</v>
      </c>
      <c r="Z23" t="s">
        <v>1</v>
      </c>
      <c r="AA23">
        <f>VLOOKUP(données!AA$13,'constantes gp'!$B$13:$M$76,11,0)*VLOOKUP('tableau financier'!Z65,données!$AP$12:$AQ$20,2,0)^'tableau financier'!Z$2*(0.998789138^'tableau financier'!Z$92)*(0.998751839^'tableau financier'!Z$93)*(0.998707677^'tableau financier'!Z$94)+$D$11</f>
        <v>18.01913521154253</v>
      </c>
      <c r="AB23" t="s">
        <v>1</v>
      </c>
      <c r="AC23">
        <f>VLOOKUP(données!AC$13,'constantes gp'!$B$13:$M$76,11,0)*VLOOKUP('tableau financier'!AB65,données!$AP$12:$AQ$20,2,0)^'tableau financier'!AB$2*(0.998789138^'tableau financier'!AB$92)*(0.998751839^'tableau financier'!AB$93)*(0.998707677^'tableau financier'!AB$94)+$D$11</f>
        <v>19.433636664181165</v>
      </c>
      <c r="AD23" t="s">
        <v>1</v>
      </c>
      <c r="AE23">
        <f>VLOOKUP(données!AE$13,'constantes gp'!$B$13:$M$76,11,0)*VLOOKUP('tableau financier'!AD65,données!$AP$12:$AQ$20,2,0)^'tableau financier'!AD$2*(0.998789138^'tableau financier'!AD$92)*(0.998751839^'tableau financier'!AD$93)*(0.998707677^'tableau financier'!AD$94)+$D$11</f>
        <v>20.179249962285841</v>
      </c>
      <c r="AF23" t="s">
        <v>1</v>
      </c>
      <c r="AG23">
        <f>VLOOKUP(données!AG$13,'constantes gp'!$B$13:$M$76,11,0)*VLOOKUP('tableau financier'!AF65,données!$AP$12:$AQ$20,2,0)^'tableau financier'!AF$2*(0.998789138^'tableau financier'!AF$92)*(0.998751839^'tableau financier'!AF$93)*(0.998707677^'tableau financier'!AF$94)+$D$11</f>
        <v>32.146134116229746</v>
      </c>
      <c r="AH23" t="s">
        <v>1</v>
      </c>
      <c r="AI23">
        <f>VLOOKUP(données!AI$13,'constantes gp'!$B$13:$M$76,11,0)*VLOOKUP('tableau financier'!AH65,données!$AP$12:$AQ$20,2,0)^'tableau financier'!AH$2*(0.998789138^'tableau financier'!AH$92)*(0.998751839^'tableau financier'!AH$93)*(0.998707677^'tableau financier'!AH$94)+$D$11</f>
        <v>17.871709198856884</v>
      </c>
      <c r="AJ23" t="s">
        <v>1</v>
      </c>
      <c r="AK23">
        <f>VLOOKUP(données!AK$13,'constantes gp'!$B$13:$M$76,11,0)*VLOOKUP('tableau financier'!AJ65,données!$AP$12:$AQ$20,2,0)^'tableau financier'!AJ$2*(0.998789138^'tableau financier'!AJ$92)*(0.998751839^'tableau financier'!AJ$93)*(0.998707677^'tableau financier'!AJ$94)+$D$11</f>
        <v>14.196861532315353</v>
      </c>
      <c r="AL23" t="s">
        <v>1</v>
      </c>
      <c r="AO23" t="s">
        <v>273</v>
      </c>
      <c r="AS23" t="str">
        <f>'tableau financier'!A63</f>
        <v>suspensions</v>
      </c>
      <c r="AT23" s="4">
        <v>6</v>
      </c>
      <c r="AU23" s="4">
        <v>0.1</v>
      </c>
      <c r="AV23" s="4">
        <v>1.9</v>
      </c>
      <c r="AW23" s="4">
        <v>1.5</v>
      </c>
      <c r="BL23" s="53"/>
      <c r="BM23" s="53"/>
      <c r="BN23" s="53"/>
      <c r="BO23" s="53"/>
      <c r="CI23">
        <v>17</v>
      </c>
      <c r="CJ23">
        <v>240</v>
      </c>
      <c r="CK23">
        <v>6300</v>
      </c>
      <c r="CL23">
        <v>480</v>
      </c>
      <c r="CM23">
        <v>9479.4860000000099</v>
      </c>
      <c r="CN23">
        <v>720</v>
      </c>
      <c r="CO23">
        <v>11864.111999999999</v>
      </c>
      <c r="CP23">
        <v>960</v>
      </c>
      <c r="CQ23">
        <v>14248.717628571432</v>
      </c>
      <c r="CR23">
        <v>1200</v>
      </c>
      <c r="CS23">
        <v>17428.201000000001</v>
      </c>
      <c r="CT23">
        <f t="shared" si="11"/>
        <v>14248.717628571432</v>
      </c>
      <c r="CW23" t="str">
        <f>'constantes gp'!B29</f>
        <v>Fuji</v>
      </c>
      <c r="CY23" t="s">
        <v>4</v>
      </c>
      <c r="CZ23">
        <f>IF(OR(AND(RIGHT('tableau financier'!$D$111,2)&lt;=CY23,RIGHT('tableau financier'!$D$112,2)&gt;=CY23,'tableau financier'!$B$111&gt;0),AND(RIGHT('tableau financier'!$H$111,2)&lt;=CY23,RIGHT('tableau financier'!$H$112,2)&gt;=CY23,'tableau financier'!$F$111&gt;0)),8,0)</f>
        <v>0</v>
      </c>
      <c r="DA23">
        <v>1</v>
      </c>
      <c r="DC23">
        <v>0.05</v>
      </c>
      <c r="DD23" t="str">
        <f>CZ20</f>
        <v>01</v>
      </c>
      <c r="DL23" t="s">
        <v>166</v>
      </c>
      <c r="DP23" t="s">
        <v>275</v>
      </c>
      <c r="DQ23" t="s">
        <v>276</v>
      </c>
      <c r="DT23">
        <v>13</v>
      </c>
      <c r="DV23" s="150" t="s">
        <v>29</v>
      </c>
      <c r="DW23" s="151" t="s">
        <v>410</v>
      </c>
      <c r="DX23" s="151" t="s">
        <v>927</v>
      </c>
      <c r="DY23" s="151">
        <v>6064</v>
      </c>
      <c r="EA23" t="s">
        <v>29</v>
      </c>
      <c r="EB23" t="s">
        <v>410</v>
      </c>
      <c r="EC23" t="s">
        <v>927</v>
      </c>
      <c r="ED23">
        <v>6064</v>
      </c>
    </row>
    <row r="24" spans="1:134" ht="18" thickBot="1">
      <c r="A24" s="107">
        <v>5</v>
      </c>
      <c r="B24" s="107">
        <v>8</v>
      </c>
      <c r="C24" s="146">
        <v>8</v>
      </c>
      <c r="D24" s="108" t="s">
        <v>75</v>
      </c>
      <c r="E24">
        <f>VLOOKUP(données!E$13,'constantes gp'!$B$13:$M$76,12,0)*VLOOKUP('tableau financier'!D69,données!$AP$12:$AQ$20,2,0)^'tableau financier'!D$2*(0.998789138^'tableau financier'!D$92)*(0.998751839^'tableau financier'!D$93)*(0.998707677^'tableau financier'!D$94)+$D$11</f>
        <v>12.90245986123438</v>
      </c>
      <c r="F24" t="s">
        <v>1</v>
      </c>
      <c r="G24">
        <f>VLOOKUP(données!G$13,'constantes gp'!$B$13:$M$76,12,0)*VLOOKUP('tableau financier'!F69,données!$AP$12:$AQ$20,2,0)^'tableau financier'!F$2*(0.998789138^'tableau financier'!F$92)*(0.998751839^'tableau financier'!F$93)*(0.998707677^'tableau financier'!F$94)+$D$11</f>
        <v>11.875038994258146</v>
      </c>
      <c r="H24" t="s">
        <v>1</v>
      </c>
      <c r="I24">
        <f>VLOOKUP(données!I$13,'constantes gp'!$B$13:$M$76,12,0)*VLOOKUP('tableau financier'!H69,données!$AP$12:$AQ$20,2,0)^'tableau financier'!H$2*(0.998789138^'tableau financier'!H$92)*(0.998751839^'tableau financier'!H$93)*(0.998707677^'tableau financier'!H$94)+$D$11</f>
        <v>11.356877156491629</v>
      </c>
      <c r="J24" t="s">
        <v>1</v>
      </c>
      <c r="K24">
        <f>VLOOKUP(données!K$13,'constantes gp'!$B$13:$M$76,12,0)*VLOOKUP('tableau financier'!J69,données!$AP$12:$AQ$20,2,0)^'tableau financier'!J$2*(0.998789138^'tableau financier'!J$92)*(0.998751839^'tableau financier'!J$93)*(0.998707677^'tableau financier'!J$94)+$D$11</f>
        <v>14.252456943205065</v>
      </c>
      <c r="L24" t="s">
        <v>1</v>
      </c>
      <c r="M24">
        <f>VLOOKUP(données!M$13,'constantes gp'!$B$13:$M$76,12,0)*VLOOKUP('tableau financier'!L69,données!$AP$12:$AQ$20,2,0)^'tableau financier'!L$2*(0.998789138^'tableau financier'!L$92)*(0.998751839^'tableau financier'!L$93)*(0.998707677^'tableau financier'!L$94)+$D$11</f>
        <v>1.5</v>
      </c>
      <c r="N24" t="s">
        <v>1</v>
      </c>
      <c r="O24">
        <f>VLOOKUP(données!O$13,'constantes gp'!$B$13:$M$76,12,0)*VLOOKUP('tableau financier'!N69,données!$AP$12:$AQ$20,2,0)^'tableau financier'!N$2*(0.998789138^'tableau financier'!N$92)*(0.998751839^'tableau financier'!N$93)*(0.998707677^'tableau financier'!N$94)+$D$11</f>
        <v>14.106848029440068</v>
      </c>
      <c r="P24" t="s">
        <v>1</v>
      </c>
      <c r="Q24">
        <f>VLOOKUP(données!Q$13,'constantes gp'!$B$13:$M$76,12,0)*VLOOKUP('tableau financier'!P69,données!$AP$12:$AQ$20,2,0)^'tableau financier'!P$2*(0.998789138^'tableau financier'!P$92)*(0.998751839^'tableau financier'!P$93)*(0.998707677^'tableau financier'!P$94)+$D$11</f>
        <v>14.735090869544495</v>
      </c>
      <c r="R24" t="s">
        <v>1</v>
      </c>
      <c r="S24">
        <f>VLOOKUP(données!S$13,'constantes gp'!$B$13:$M$76,12,0)*VLOOKUP('tableau financier'!R69,données!$AP$12:$AQ$20,2,0)^'tableau financier'!R$2*(0.998789138^'tableau financier'!R$92)*(0.998751839^'tableau financier'!R$93)*(0.998707677^'tableau financier'!R$94)+$D$11</f>
        <v>13.249249957354365</v>
      </c>
      <c r="T24" t="s">
        <v>1</v>
      </c>
      <c r="U24">
        <f>VLOOKUP(données!U$13,'constantes gp'!$B$13:$M$76,12,0)*VLOOKUP('tableau financier'!T69,données!$AP$12:$AQ$20,2,0)^'tableau financier'!T$2*(0.998789138^'tableau financier'!T$92)*(0.998751839^'tableau financier'!T$93)*(0.998707677^'tableau financier'!T$94)+$D$11</f>
        <v>12.339874458575821</v>
      </c>
      <c r="V24" t="s">
        <v>1</v>
      </c>
      <c r="W24">
        <f>VLOOKUP(données!W$13,'constantes gp'!$B$13:$M$76,12,0)*VLOOKUP('tableau financier'!V69,données!$AP$12:$AQ$20,2,0)^'tableau financier'!V$2*(0.998789138^'tableau financier'!V$92)*(0.998751839^'tableau financier'!V$93)*(0.998707677^'tableau financier'!V$94)+$D$11</f>
        <v>13.408668382370527</v>
      </c>
      <c r="X24" t="s">
        <v>1</v>
      </c>
      <c r="Y24">
        <f>VLOOKUP(données!Y$13,'constantes gp'!$B$13:$M$76,12,0)*VLOOKUP('tableau financier'!X69,données!$AP$12:$AQ$20,2,0)^'tableau financier'!X$2*(0.998789138^'tableau financier'!X$92)*(0.998751839^'tableau financier'!X$93)*(0.998707677^'tableau financier'!X$94)+$D$11</f>
        <v>12.823249527543135</v>
      </c>
      <c r="Z24" t="s">
        <v>1</v>
      </c>
      <c r="AA24">
        <f>VLOOKUP(données!AA$13,'constantes gp'!$B$13:$M$76,12,0)*VLOOKUP('tableau financier'!Z69,données!$AP$12:$AQ$20,2,0)^'tableau financier'!Z$2*(0.998789138^'tableau financier'!Z$92)*(0.998751839^'tableau financier'!Z$93)*(0.998707677^'tableau financier'!Z$94)+$D$11</f>
        <v>12.588991518453149</v>
      </c>
      <c r="AB24" t="s">
        <v>1</v>
      </c>
      <c r="AC24">
        <f>VLOOKUP(données!AC$13,'constantes gp'!$B$13:$M$76,12,0)*VLOOKUP('tableau financier'!AB69,données!$AP$12:$AQ$20,2,0)^'tableau financier'!AB$2*(0.998789138^'tableau financier'!AB$92)*(0.998751839^'tableau financier'!AB$93)*(0.998707677^'tableau financier'!AB$94)+$D$11</f>
        <v>14.424455913204641</v>
      </c>
      <c r="AD24" t="s">
        <v>1</v>
      </c>
      <c r="AE24">
        <f>VLOOKUP(données!AE$13,'constantes gp'!$B$13:$M$76,12,0)*VLOOKUP('tableau financier'!AD69,données!$AP$12:$AQ$20,2,0)^'tableau financier'!AD$2*(0.998789138^'tableau financier'!AD$92)*(0.998751839^'tableau financier'!AD$93)*(0.998707677^'tableau financier'!AD$94)+$D$11</f>
        <v>14.474325619498559</v>
      </c>
      <c r="AF24" t="s">
        <v>1</v>
      </c>
      <c r="AG24">
        <f>VLOOKUP(données!AG$13,'constantes gp'!$B$13:$M$76,12,0)*VLOOKUP('tableau financier'!AF69,données!$AP$12:$AQ$20,2,0)^'tableau financier'!AF$2*(0.998789138^'tableau financier'!AF$92)*(0.998751839^'tableau financier'!AF$93)*(0.998707677^'tableau financier'!AF$94)+$D$11</f>
        <v>13.08143907782253</v>
      </c>
      <c r="AH24" t="s">
        <v>1</v>
      </c>
      <c r="AI24">
        <f>VLOOKUP(données!AI$13,'constantes gp'!$B$13:$M$76,12,0)*VLOOKUP('tableau financier'!AH69,données!$AP$12:$AQ$20,2,0)^'tableau financier'!AH$2*(0.998789138^'tableau financier'!AH$92)*(0.998751839^'tableau financier'!AH$93)*(0.998707677^'tableau financier'!AH$94)+$D$11</f>
        <v>15.240306197805715</v>
      </c>
      <c r="AJ24" t="s">
        <v>1</v>
      </c>
      <c r="AK24">
        <f>VLOOKUP(données!AK$13,'constantes gp'!$B$13:$M$76,12,0)*VLOOKUP('tableau financier'!AJ69,données!$AP$12:$AQ$20,2,0)^'tableau financier'!AJ$2*(0.998789138^'tableau financier'!AJ$92)*(0.998751839^'tableau financier'!AJ$93)*(0.998707677^'tableau financier'!AJ$94)+$D$11</f>
        <v>9.1225064025889289</v>
      </c>
      <c r="AL24" t="s">
        <v>1</v>
      </c>
      <c r="AS24" t="str">
        <f>'tableau financier'!A67</f>
        <v>électronique</v>
      </c>
      <c r="AT24" s="4">
        <v>6</v>
      </c>
      <c r="AU24" s="4">
        <v>1.2</v>
      </c>
      <c r="AV24" s="4">
        <v>0</v>
      </c>
      <c r="AW24" s="4">
        <v>1.4</v>
      </c>
      <c r="BL24" s="53"/>
      <c r="BM24" s="53"/>
      <c r="BN24" s="53"/>
      <c r="BO24" s="53"/>
      <c r="CI24">
        <v>18</v>
      </c>
      <c r="CJ24">
        <v>230</v>
      </c>
      <c r="CK24">
        <v>6200</v>
      </c>
      <c r="CL24">
        <v>460</v>
      </c>
      <c r="CM24">
        <v>9328.2039999999997</v>
      </c>
      <c r="CN24">
        <v>690</v>
      </c>
      <c r="CO24">
        <v>11674.368</v>
      </c>
      <c r="CP24">
        <v>920</v>
      </c>
      <c r="CQ24">
        <v>14020.512514285718</v>
      </c>
      <c r="CR24">
        <v>1150</v>
      </c>
      <c r="CS24">
        <v>17148.714</v>
      </c>
      <c r="CT24">
        <f t="shared" si="11"/>
        <v>14020.512514285718</v>
      </c>
      <c r="CW24" t="str">
        <f>'constantes gp'!B30</f>
        <v>Grobnik</v>
      </c>
      <c r="CY24" t="s">
        <v>5</v>
      </c>
      <c r="CZ24">
        <f>IF(OR(AND(RIGHT('tableau financier'!$D$111,2)&lt;=CY24,RIGHT('tableau financier'!$D$112,2)&gt;=CY24,'tableau financier'!$B$111&gt;0),AND(RIGHT('tableau financier'!$H$111,2)&lt;=CY24,RIGHT('tableau financier'!$H$112,2)&gt;=CY24,'tableau financier'!$F$111&gt;0)),8,0)</f>
        <v>0</v>
      </c>
      <c r="DA24">
        <v>2</v>
      </c>
      <c r="DC24">
        <v>0.1</v>
      </c>
      <c r="DL24" t="s">
        <v>167</v>
      </c>
      <c r="DP24" t="s">
        <v>278</v>
      </c>
      <c r="DQ24" t="s">
        <v>279</v>
      </c>
      <c r="DT24">
        <v>14</v>
      </c>
      <c r="DV24" s="150" t="s">
        <v>274</v>
      </c>
      <c r="DW24" s="151" t="s">
        <v>410</v>
      </c>
      <c r="DX24" s="151" t="s">
        <v>928</v>
      </c>
      <c r="DY24" s="151">
        <v>11820</v>
      </c>
      <c r="EA24" t="s">
        <v>274</v>
      </c>
      <c r="EB24" t="s">
        <v>410</v>
      </c>
      <c r="EC24" t="s">
        <v>928</v>
      </c>
      <c r="ED24">
        <v>11820</v>
      </c>
    </row>
    <row r="25" spans="1:134" ht="14.4">
      <c r="C25" t="s">
        <v>850</v>
      </c>
      <c r="AO25" t="s">
        <v>280</v>
      </c>
      <c r="AP25">
        <v>29</v>
      </c>
      <c r="AQ25" t="s">
        <v>1</v>
      </c>
      <c r="AS25" s="4" t="s">
        <v>996</v>
      </c>
      <c r="AT25" s="4"/>
      <c r="AU25" s="62">
        <f>SUM(AU14:AU24)</f>
        <v>13.399999999999999</v>
      </c>
      <c r="AV25" s="62">
        <f>SUM(AV14:AV24)</f>
        <v>13.4</v>
      </c>
      <c r="AW25" s="62">
        <f>SUM(AW14:AW24)</f>
        <v>13.3</v>
      </c>
      <c r="BL25" s="53"/>
      <c r="BM25" s="53"/>
      <c r="BN25" s="53"/>
      <c r="BO25" s="53"/>
      <c r="CI25">
        <v>19</v>
      </c>
      <c r="CJ25">
        <v>220</v>
      </c>
      <c r="CK25">
        <v>6100</v>
      </c>
      <c r="CL25">
        <v>440</v>
      </c>
      <c r="CM25">
        <v>9176.9220000000005</v>
      </c>
      <c r="CN25">
        <v>660</v>
      </c>
      <c r="CO25">
        <v>11484.624</v>
      </c>
      <c r="CP25">
        <v>880</v>
      </c>
      <c r="CQ25">
        <v>13792.307400000003</v>
      </c>
      <c r="CR25">
        <v>1100</v>
      </c>
      <c r="CS25">
        <v>16869.226999999999</v>
      </c>
      <c r="CT25">
        <f t="shared" si="11"/>
        <v>13792.307400000003</v>
      </c>
      <c r="CW25" t="str">
        <f>'constantes gp'!B31</f>
        <v>Hockenheim</v>
      </c>
      <c r="CY25" t="s">
        <v>6</v>
      </c>
      <c r="CZ25">
        <f>IF(OR(AND(RIGHT('tableau financier'!$D$111,2)&lt;=CY25,RIGHT('tableau financier'!$D$112,2)&gt;=CY25,'tableau financier'!$B$111&gt;0),AND(RIGHT('tableau financier'!$H$111,2)&lt;=CY25,RIGHT('tableau financier'!$H$112,2)&gt;=CY25,'tableau financier'!$F$111&gt;0)),8,0)</f>
        <v>0</v>
      </c>
      <c r="DA25">
        <v>3</v>
      </c>
      <c r="DC25">
        <v>0.15</v>
      </c>
      <c r="DD25">
        <f>CZ20+1</f>
        <v>2</v>
      </c>
      <c r="DL25" t="s">
        <v>116</v>
      </c>
      <c r="DP25" t="s">
        <v>282</v>
      </c>
      <c r="DQ25" t="s">
        <v>283</v>
      </c>
      <c r="DT25">
        <v>15</v>
      </c>
      <c r="DV25" s="150" t="s">
        <v>28</v>
      </c>
      <c r="DW25" s="151" t="s">
        <v>410</v>
      </c>
      <c r="DX25" s="151" t="s">
        <v>929</v>
      </c>
      <c r="DY25" s="151">
        <v>7488</v>
      </c>
      <c r="EA25" t="s">
        <v>28</v>
      </c>
      <c r="EB25" t="s">
        <v>410</v>
      </c>
      <c r="EC25" t="s">
        <v>929</v>
      </c>
      <c r="ED25">
        <v>7488</v>
      </c>
    </row>
    <row r="26" spans="1:134" ht="14.4">
      <c r="C26" t="s">
        <v>284</v>
      </c>
      <c r="D26" t="s">
        <v>841</v>
      </c>
      <c r="E26">
        <f>VLOOKUP($C$27,'constantes gp'!N13:Q76,4)</f>
        <v>74</v>
      </c>
      <c r="G26" t="s">
        <v>1</v>
      </c>
      <c r="I26" t="s">
        <v>285</v>
      </c>
      <c r="K26" t="s">
        <v>285</v>
      </c>
      <c r="M26" t="s">
        <v>286</v>
      </c>
      <c r="O26" t="s">
        <v>286</v>
      </c>
      <c r="Q26">
        <v>80</v>
      </c>
      <c r="S26" t="s">
        <v>287</v>
      </c>
      <c r="U26" t="s">
        <v>288</v>
      </c>
      <c r="AO26" t="s">
        <v>289</v>
      </c>
      <c r="AP26">
        <v>40</v>
      </c>
      <c r="BL26" s="53"/>
      <c r="BM26" s="53"/>
      <c r="BN26" s="53"/>
      <c r="BO26" s="53"/>
      <c r="CI26">
        <v>20</v>
      </c>
      <c r="CJ26">
        <v>210</v>
      </c>
      <c r="CK26">
        <v>6000</v>
      </c>
      <c r="CL26">
        <v>420</v>
      </c>
      <c r="CM26">
        <v>9025.64</v>
      </c>
      <c r="CN26">
        <v>630</v>
      </c>
      <c r="CO26">
        <v>11294.88</v>
      </c>
      <c r="CP26">
        <v>840</v>
      </c>
      <c r="CQ26">
        <v>13564.102285714289</v>
      </c>
      <c r="CR26">
        <v>1050</v>
      </c>
      <c r="CS26">
        <v>16589.740000000002</v>
      </c>
      <c r="CT26">
        <f t="shared" si="11"/>
        <v>13564.102285714289</v>
      </c>
      <c r="CW26" t="str">
        <f>'constantes gp'!B32</f>
        <v>Hungaroring</v>
      </c>
      <c r="CY26" t="s">
        <v>7</v>
      </c>
      <c r="CZ26">
        <f>IF(OR(AND(RIGHT('tableau financier'!$D$111,2)&lt;=CY26,RIGHT('tableau financier'!$D$112,2)&gt;=CY26,'tableau financier'!$B$111&gt;0),AND(RIGHT('tableau financier'!$H$111,2)&lt;=CY26,RIGHT('tableau financier'!$H$112,2)&gt;=CY26,'tableau financier'!$F$111&gt;0)),8,0)</f>
        <v>0</v>
      </c>
      <c r="DA26">
        <v>4</v>
      </c>
      <c r="DC26">
        <v>0.2</v>
      </c>
      <c r="DL26" t="s">
        <v>115</v>
      </c>
      <c r="DP26" t="s">
        <v>291</v>
      </c>
      <c r="DQ26" t="s">
        <v>292</v>
      </c>
      <c r="DT26">
        <v>16</v>
      </c>
      <c r="DV26" s="150" t="s">
        <v>301</v>
      </c>
      <c r="DW26" s="151" t="s">
        <v>410</v>
      </c>
      <c r="DX26" s="151" t="s">
        <v>930</v>
      </c>
      <c r="DY26" s="151">
        <v>5952</v>
      </c>
      <c r="EA26" t="s">
        <v>301</v>
      </c>
      <c r="EB26" t="s">
        <v>410</v>
      </c>
      <c r="EC26" t="s">
        <v>930</v>
      </c>
      <c r="ED26">
        <v>5952</v>
      </c>
    </row>
    <row r="27" spans="1:134" ht="26.4">
      <c r="C27" t="str">
        <f>'tableau financier'!A22</f>
        <v>Grobnik</v>
      </c>
      <c r="D27" t="s">
        <v>207</v>
      </c>
      <c r="E27" s="58"/>
      <c r="F27" s="58"/>
      <c r="I27" t="s">
        <v>293</v>
      </c>
      <c r="K27" t="s">
        <v>59</v>
      </c>
      <c r="M27" s="58" t="s">
        <v>294</v>
      </c>
      <c r="N27" s="58"/>
      <c r="O27" t="s">
        <v>59</v>
      </c>
      <c r="Q27" t="s">
        <v>295</v>
      </c>
      <c r="U27" s="58" t="s">
        <v>296</v>
      </c>
      <c r="V27" s="58"/>
      <c r="AO27" t="s">
        <v>297</v>
      </c>
      <c r="AP27">
        <f>(AP26-AP25)*(1500+AP25*75)*(20-(AP26-AP25)/2)/200</f>
        <v>2930.8125</v>
      </c>
      <c r="BL27" s="53"/>
      <c r="BM27" s="53"/>
      <c r="BN27" s="53"/>
      <c r="BO27" s="53"/>
      <c r="CI27">
        <v>21</v>
      </c>
      <c r="CJ27">
        <v>200</v>
      </c>
      <c r="CK27">
        <v>5900</v>
      </c>
      <c r="CL27">
        <v>400</v>
      </c>
      <c r="CM27">
        <v>8874.3580000000002</v>
      </c>
      <c r="CN27">
        <v>600</v>
      </c>
      <c r="CO27">
        <v>11105.136</v>
      </c>
      <c r="CP27">
        <v>800</v>
      </c>
      <c r="CQ27">
        <v>13335.897171428574</v>
      </c>
      <c r="CR27">
        <v>1000</v>
      </c>
      <c r="CS27">
        <v>16310.253000000001</v>
      </c>
      <c r="CT27">
        <f t="shared" si="11"/>
        <v>13335.897171428574</v>
      </c>
      <c r="CW27" t="str">
        <f>'constantes gp'!B33</f>
        <v>Imola</v>
      </c>
      <c r="CY27" t="s">
        <v>8</v>
      </c>
      <c r="CZ27">
        <f>IF(OR(AND(RIGHT('tableau financier'!$D$111,2)&lt;=CY27,RIGHT('tableau financier'!$D$112,2)&gt;=CY27,'tableau financier'!$B$111&gt;0),AND(RIGHT('tableau financier'!$H$111,2)&lt;=CY27,RIGHT('tableau financier'!$H$112,2)&gt;=CY27,'tableau financier'!$F$111&gt;0)),8,0)</f>
        <v>0</v>
      </c>
      <c r="DA27">
        <v>5</v>
      </c>
      <c r="DC27">
        <v>0.25</v>
      </c>
      <c r="DL27" t="s">
        <v>168</v>
      </c>
      <c r="DP27" t="s">
        <v>299</v>
      </c>
      <c r="DQ27" t="s">
        <v>300</v>
      </c>
      <c r="DT27">
        <v>17</v>
      </c>
      <c r="DV27" s="150" t="s">
        <v>255</v>
      </c>
      <c r="DW27" s="151" t="s">
        <v>410</v>
      </c>
      <c r="DX27" s="151" t="s">
        <v>931</v>
      </c>
      <c r="DY27" s="151">
        <v>5465</v>
      </c>
      <c r="EA27" t="s">
        <v>255</v>
      </c>
      <c r="EB27" t="s">
        <v>410</v>
      </c>
      <c r="EC27" t="s">
        <v>931</v>
      </c>
      <c r="ED27">
        <v>5465</v>
      </c>
    </row>
    <row r="28" spans="1:134" ht="14.4">
      <c r="C28">
        <f>VLOOKUP(données!C$27,'constantes gp'!$B$13:$M$75,2,0)*VLOOKUP('tableau financier'!C29,données!$AP$12:$AQ$20,2,0)^100*(0.998789138^'tableau financier'!C$92)*(0.998751839^'tableau financier'!C$93)*(0.998707677^'tableau financier'!C$94)*33/$E$26</f>
        <v>11.378012070139997</v>
      </c>
      <c r="D28" t="s">
        <v>176</v>
      </c>
      <c r="E28">
        <v>16</v>
      </c>
      <c r="G28">
        <f t="shared" ref="G28:G38" si="30">C28*1.33</f>
        <v>15.132756053286197</v>
      </c>
      <c r="I28">
        <v>10</v>
      </c>
      <c r="K28">
        <v>5</v>
      </c>
      <c r="M28">
        <v>10</v>
      </c>
      <c r="O28">
        <v>5</v>
      </c>
      <c r="Q28">
        <f t="shared" ref="Q28:Q38" si="31">E14*$Q$26/100</f>
        <v>19.546855021043271</v>
      </c>
      <c r="S28">
        <f t="shared" ref="S28:S38" si="32">G14*$Q$26/100</f>
        <v>11.809589065236489</v>
      </c>
      <c r="U28">
        <v>17.399999999999999</v>
      </c>
      <c r="AO28" t="s">
        <v>280</v>
      </c>
      <c r="AP28">
        <v>40</v>
      </c>
      <c r="BL28" s="53"/>
      <c r="BM28" s="53"/>
      <c r="BN28" s="53"/>
      <c r="BO28" s="53"/>
      <c r="CI28">
        <v>22</v>
      </c>
      <c r="CJ28">
        <v>190</v>
      </c>
      <c r="CK28">
        <v>5800</v>
      </c>
      <c r="CL28">
        <v>380</v>
      </c>
      <c r="CM28">
        <v>8723.0759999999991</v>
      </c>
      <c r="CN28">
        <v>570</v>
      </c>
      <c r="CO28">
        <v>10915.392</v>
      </c>
      <c r="CP28">
        <v>760</v>
      </c>
      <c r="CQ28">
        <v>13107.69205714286</v>
      </c>
      <c r="CR28">
        <v>950</v>
      </c>
      <c r="CS28">
        <v>16030.766</v>
      </c>
      <c r="CT28">
        <f t="shared" si="11"/>
        <v>13107.69205714286</v>
      </c>
      <c r="CW28" t="str">
        <f>'constantes gp'!B34</f>
        <v>Indianapolis</v>
      </c>
      <c r="CY28" t="s">
        <v>9</v>
      </c>
      <c r="CZ28">
        <f>IF(OR(AND(RIGHT('tableau financier'!$D$111,2)&lt;=CY28,RIGHT('tableau financier'!$D$112,2)&gt;=CY28,'tableau financier'!$B$111&gt;0),AND(RIGHT('tableau financier'!$H$111,2)&lt;=CY28,RIGHT('tableau financier'!$H$112,2)&gt;=CY28,'tableau financier'!$F$111&gt;0)),8,0)</f>
        <v>0</v>
      </c>
      <c r="DA28">
        <v>6</v>
      </c>
      <c r="DC28">
        <v>0.30000000000000004</v>
      </c>
      <c r="DL28" t="s">
        <v>107</v>
      </c>
      <c r="DP28" t="s">
        <v>302</v>
      </c>
      <c r="DQ28" t="s">
        <v>303</v>
      </c>
      <c r="DT28">
        <v>18</v>
      </c>
      <c r="DV28" s="150" t="s">
        <v>353</v>
      </c>
      <c r="DW28" s="151" t="s">
        <v>410</v>
      </c>
      <c r="DX28" s="151" t="s">
        <v>932</v>
      </c>
      <c r="DY28" s="151">
        <v>8499</v>
      </c>
      <c r="EA28" t="s">
        <v>353</v>
      </c>
      <c r="EB28" t="s">
        <v>410</v>
      </c>
      <c r="EC28" t="s">
        <v>932</v>
      </c>
      <c r="ED28">
        <v>8499</v>
      </c>
    </row>
    <row r="29" spans="1:134" ht="14.4">
      <c r="C29">
        <f>VLOOKUP(données!C$27,'constantes gp'!$B$13:$M$75,3,0)*VLOOKUP('tableau financier'!C33,données!$AP$12:$AQ$20,2,0)^100*(0.998789138^'tableau financier'!C$92)*(0.998751839^'tableau financier'!C$93)*(0.998707677^'tableau financier'!C$94)*33/$E$26</f>
        <v>12.071698140575661</v>
      </c>
      <c r="D29" t="s">
        <v>63</v>
      </c>
      <c r="E29">
        <v>20</v>
      </c>
      <c r="G29">
        <f t="shared" si="30"/>
        <v>16.05535852696563</v>
      </c>
      <c r="I29">
        <v>12</v>
      </c>
      <c r="K29">
        <v>5</v>
      </c>
      <c r="M29">
        <v>12</v>
      </c>
      <c r="O29">
        <v>5</v>
      </c>
      <c r="Q29">
        <f t="shared" si="31"/>
        <v>26.156762640880309</v>
      </c>
      <c r="S29">
        <f t="shared" si="32"/>
        <v>23.132966067497446</v>
      </c>
      <c r="U29">
        <v>21.4</v>
      </c>
      <c r="AO29" t="s">
        <v>289</v>
      </c>
      <c r="AP29">
        <v>60</v>
      </c>
      <c r="AR29" s="53"/>
      <c r="AX29" s="53"/>
      <c r="AY29" s="53"/>
      <c r="CI29">
        <v>23</v>
      </c>
      <c r="CJ29">
        <v>180</v>
      </c>
      <c r="CK29">
        <v>5700</v>
      </c>
      <c r="CL29">
        <v>360</v>
      </c>
      <c r="CM29">
        <v>8571.7939999999999</v>
      </c>
      <c r="CN29">
        <v>540</v>
      </c>
      <c r="CO29">
        <v>10725.647999999999</v>
      </c>
      <c r="CP29">
        <v>720</v>
      </c>
      <c r="CQ29">
        <v>12879.486942857146</v>
      </c>
      <c r="CR29">
        <v>900</v>
      </c>
      <c r="CS29">
        <v>15751.279</v>
      </c>
      <c r="CT29">
        <f t="shared" si="11"/>
        <v>12879.486942857146</v>
      </c>
      <c r="CW29" t="str">
        <f>'constantes gp'!B35</f>
        <v>Indianapolis Oval</v>
      </c>
      <c r="CY29" t="s">
        <v>10</v>
      </c>
      <c r="CZ29">
        <f>IF(OR(AND(RIGHT('tableau financier'!$D$111,2)&lt;=CY29,RIGHT('tableau financier'!$D$112,2)&gt;=CY29,'tableau financier'!$B$111&gt;0),AND(RIGHT('tableau financier'!$H$111,2)&lt;=CY29,RIGHT('tableau financier'!$H$112,2)&gt;=CY29,'tableau financier'!$F$111&gt;0)),8,0)</f>
        <v>0</v>
      </c>
      <c r="DA29">
        <v>7</v>
      </c>
      <c r="DC29">
        <v>0.35</v>
      </c>
      <c r="DP29" t="s">
        <v>305</v>
      </c>
      <c r="DQ29" t="s">
        <v>306</v>
      </c>
      <c r="DT29">
        <v>19</v>
      </c>
      <c r="DV29" s="150" t="s">
        <v>370</v>
      </c>
      <c r="DW29" s="151" t="s">
        <v>421</v>
      </c>
      <c r="DX29" s="151" t="s">
        <v>933</v>
      </c>
      <c r="DY29" s="151">
        <v>10081</v>
      </c>
      <c r="EA29" t="s">
        <v>370</v>
      </c>
      <c r="EB29" t="s">
        <v>421</v>
      </c>
      <c r="EC29" t="s">
        <v>933</v>
      </c>
      <c r="ED29">
        <v>10081</v>
      </c>
    </row>
    <row r="30" spans="1:134" ht="26.4">
      <c r="C30">
        <f>VLOOKUP(données!C$27,'constantes gp'!$B$13:$M$75,4,0)*VLOOKUP('tableau financier'!C37,données!$AP$12:$AQ$20,2,0)^100*(0.998789138^'tableau financier'!C$92)*(0.998751839^'tableau financier'!C$93)*(0.998707677^'tableau financier'!C$94)*33/$E$26</f>
        <v>8.6941677554032957</v>
      </c>
      <c r="D30" t="s">
        <v>188</v>
      </c>
      <c r="E30">
        <v>14</v>
      </c>
      <c r="G30">
        <f t="shared" si="30"/>
        <v>11.563243114686383</v>
      </c>
      <c r="I30">
        <v>8</v>
      </c>
      <c r="K30">
        <v>5</v>
      </c>
      <c r="M30">
        <v>9</v>
      </c>
      <c r="O30">
        <v>5</v>
      </c>
      <c r="Q30">
        <f t="shared" si="31"/>
        <v>15.79837927126556</v>
      </c>
      <c r="S30">
        <f t="shared" si="32"/>
        <v>13.769856259621307</v>
      </c>
      <c r="U30">
        <v>15.3</v>
      </c>
      <c r="AM30" s="61"/>
      <c r="AN30" s="53"/>
      <c r="AO30" t="s">
        <v>297</v>
      </c>
      <c r="AP30">
        <f>(AP29-AP28)*(1500+AP28*75)*(20-(AP29-AP28)/2)/200</f>
        <v>4500</v>
      </c>
      <c r="AR30" s="53"/>
      <c r="AX30" s="53"/>
      <c r="AY30" s="53"/>
      <c r="CI30">
        <v>24</v>
      </c>
      <c r="CJ30">
        <v>170</v>
      </c>
      <c r="CK30">
        <v>5600</v>
      </c>
      <c r="CL30">
        <v>340</v>
      </c>
      <c r="CM30">
        <v>8420.5120000000006</v>
      </c>
      <c r="CN30">
        <v>510</v>
      </c>
      <c r="CO30">
        <v>10535.904</v>
      </c>
      <c r="CP30">
        <v>680</v>
      </c>
      <c r="CQ30">
        <v>12651.281828571431</v>
      </c>
      <c r="CR30">
        <v>850</v>
      </c>
      <c r="CS30">
        <v>15471.791999999999</v>
      </c>
      <c r="CT30">
        <f t="shared" si="11"/>
        <v>12651.281828571431</v>
      </c>
      <c r="CW30" t="str">
        <f>'constantes gp'!B36</f>
        <v>Interlagos</v>
      </c>
      <c r="CY30" t="s">
        <v>11</v>
      </c>
      <c r="CZ30">
        <f>IF(OR(AND(RIGHT('tableau financier'!$D$111,2)&lt;=CY30,RIGHT('tableau financier'!$D$112,2)&gt;=CY30,'tableau financier'!$B$111&gt;0),AND(RIGHT('tableau financier'!$H$111,2)&lt;=CY30,RIGHT('tableau financier'!$H$112,2)&gt;=CY30,'tableau financier'!$F$111&gt;0)),8,0)</f>
        <v>0</v>
      </c>
      <c r="DA30">
        <v>8</v>
      </c>
      <c r="DC30">
        <v>0.4</v>
      </c>
      <c r="DP30" t="s">
        <v>307</v>
      </c>
      <c r="DQ30" t="s">
        <v>120</v>
      </c>
      <c r="DT30">
        <v>20</v>
      </c>
      <c r="DV30" s="150" t="s">
        <v>308</v>
      </c>
      <c r="DW30" s="151" t="s">
        <v>410</v>
      </c>
      <c r="DX30" s="151" t="s">
        <v>934</v>
      </c>
      <c r="DY30" s="151">
        <v>8144</v>
      </c>
      <c r="EA30" t="s">
        <v>308</v>
      </c>
      <c r="EB30" t="s">
        <v>410</v>
      </c>
      <c r="EC30" t="s">
        <v>934</v>
      </c>
      <c r="ED30">
        <v>8144</v>
      </c>
    </row>
    <row r="31" spans="1:134" ht="14.4">
      <c r="C31">
        <f>VLOOKUP(données!C$27,'constantes gp'!$B$13:$M$75,5,0)*VLOOKUP('tableau financier'!C41,données!$AP$12:$AQ$20,2,0)^100*(0.998789138^'tableau financier'!C$92)*(0.998751839^'tableau financier'!C$93)*(0.998707677^'tableau financier'!C$94)*33/$E$26</f>
        <v>8.1497654843789977</v>
      </c>
      <c r="D31" t="s">
        <v>242</v>
      </c>
      <c r="E31">
        <v>10</v>
      </c>
      <c r="G31">
        <f t="shared" si="30"/>
        <v>10.839188094224067</v>
      </c>
      <c r="I31">
        <v>6</v>
      </c>
      <c r="K31">
        <v>5</v>
      </c>
      <c r="M31">
        <v>6</v>
      </c>
      <c r="O31">
        <v>5</v>
      </c>
      <c r="Q31">
        <f t="shared" si="31"/>
        <v>12.173591221677505</v>
      </c>
      <c r="S31">
        <f t="shared" si="32"/>
        <v>14.963342868332324</v>
      </c>
      <c r="U31">
        <v>10.5</v>
      </c>
      <c r="AM31" s="61"/>
      <c r="AO31" t="s">
        <v>280</v>
      </c>
      <c r="AP31">
        <v>29</v>
      </c>
      <c r="CI31">
        <v>25</v>
      </c>
      <c r="CJ31">
        <v>160</v>
      </c>
      <c r="CK31">
        <v>5500</v>
      </c>
      <c r="CL31">
        <v>320</v>
      </c>
      <c r="CM31">
        <v>8269.23</v>
      </c>
      <c r="CN31">
        <v>480</v>
      </c>
      <c r="CO31">
        <v>10346.16</v>
      </c>
      <c r="CP31">
        <v>640</v>
      </c>
      <c r="CQ31">
        <v>12423.076714285717</v>
      </c>
      <c r="CR31">
        <v>800</v>
      </c>
      <c r="CS31">
        <v>15192.305</v>
      </c>
      <c r="CT31">
        <f t="shared" si="11"/>
        <v>12423.076714285717</v>
      </c>
      <c r="CW31" t="str">
        <f>'constantes gp'!B37</f>
        <v>Irungattukottai</v>
      </c>
      <c r="CY31" t="s">
        <v>12</v>
      </c>
      <c r="CZ31">
        <f>IF(OR(AND(RIGHT('tableau financier'!$D$111,2)&lt;=CY31,RIGHT('tableau financier'!$D$112,2)&gt;=CY31,'tableau financier'!$B$111&gt;0),AND(RIGHT('tableau financier'!$H$111,2)&lt;=CY31,RIGHT('tableau financier'!$H$112,2)&gt;=CY31,'tableau financier'!$F$111&gt;0)),8,0)</f>
        <v>0</v>
      </c>
      <c r="DA31">
        <v>9</v>
      </c>
      <c r="DC31">
        <v>0.45</v>
      </c>
      <c r="DP31" t="s">
        <v>309</v>
      </c>
      <c r="DQ31" t="s">
        <v>310</v>
      </c>
      <c r="DT31">
        <v>21</v>
      </c>
      <c r="DV31" s="150" t="s">
        <v>169</v>
      </c>
      <c r="DW31" s="151" t="s">
        <v>410</v>
      </c>
      <c r="DX31" s="151" t="s">
        <v>935</v>
      </c>
      <c r="DY31" s="151">
        <v>5886</v>
      </c>
      <c r="EA31" t="s">
        <v>169</v>
      </c>
      <c r="EB31" t="s">
        <v>410</v>
      </c>
      <c r="EC31" t="s">
        <v>935</v>
      </c>
      <c r="ED31">
        <v>5886</v>
      </c>
    </row>
    <row r="32" spans="1:134" ht="14.4">
      <c r="C32">
        <f>VLOOKUP(données!C$27,'constantes gp'!$B$13:$M$75,6,0)*VLOOKUP('tableau financier'!C45,données!$AP$12:$AQ$20,2,0)^100*(0.998789138^'tableau financier'!C$92)*(0.998751839^'tableau financier'!C$93)*(0.998707677^'tableau financier'!C$94)*33/$E$26</f>
        <v>9.1191348343151155</v>
      </c>
      <c r="D32" t="s">
        <v>69</v>
      </c>
      <c r="E32">
        <v>10</v>
      </c>
      <c r="G32">
        <f t="shared" si="30"/>
        <v>12.128449329639105</v>
      </c>
      <c r="I32">
        <v>6</v>
      </c>
      <c r="K32">
        <v>5</v>
      </c>
      <c r="M32">
        <v>6</v>
      </c>
      <c r="O32">
        <v>5</v>
      </c>
      <c r="Q32">
        <f t="shared" si="31"/>
        <v>22.396748859368486</v>
      </c>
      <c r="S32">
        <f t="shared" si="32"/>
        <v>11.514212649721522</v>
      </c>
      <c r="U32">
        <v>10.5</v>
      </c>
      <c r="AM32" s="61"/>
      <c r="AO32" t="s">
        <v>289</v>
      </c>
      <c r="AP32">
        <v>49</v>
      </c>
      <c r="CI32">
        <v>26</v>
      </c>
      <c r="CJ32">
        <v>150</v>
      </c>
      <c r="CK32">
        <v>5400</v>
      </c>
      <c r="CL32">
        <v>300</v>
      </c>
      <c r="CM32">
        <v>8117.9480000000003</v>
      </c>
      <c r="CN32">
        <v>450</v>
      </c>
      <c r="CO32">
        <v>10156.415999999999</v>
      </c>
      <c r="CP32">
        <v>600</v>
      </c>
      <c r="CQ32">
        <v>12194.871600000002</v>
      </c>
      <c r="CR32">
        <v>750</v>
      </c>
      <c r="CS32">
        <v>14912.817999999999</v>
      </c>
      <c r="CT32">
        <f t="shared" si="11"/>
        <v>12194.871600000002</v>
      </c>
      <c r="CW32" t="str">
        <f>'constantes gp'!B38</f>
        <v>Istanbul</v>
      </c>
      <c r="CY32" t="s">
        <v>13</v>
      </c>
      <c r="CZ32">
        <f>IF(OR(AND(RIGHT('tableau financier'!$D$111,2)&lt;=CY32,RIGHT('tableau financier'!$D$112,2)&gt;=CY32,'tableau financier'!$B$111&gt;0),AND(RIGHT('tableau financier'!$H$111,2)&lt;=CY32,RIGHT('tableau financier'!$H$112,2)&gt;=CY32,'tableau financier'!$F$111&gt;0)),8,0)</f>
        <v>0</v>
      </c>
      <c r="DA32">
        <v>10</v>
      </c>
      <c r="DC32">
        <v>0.5</v>
      </c>
      <c r="DP32" t="s">
        <v>311</v>
      </c>
      <c r="DQ32" t="s">
        <v>312</v>
      </c>
      <c r="DT32">
        <v>22</v>
      </c>
      <c r="DV32" s="150" t="s">
        <v>243</v>
      </c>
      <c r="DW32" s="151" t="s">
        <v>421</v>
      </c>
      <c r="DX32" s="151" t="s">
        <v>936</v>
      </c>
      <c r="DY32" s="151">
        <v>3542</v>
      </c>
      <c r="EA32" t="s">
        <v>243</v>
      </c>
      <c r="EB32" t="s">
        <v>421</v>
      </c>
      <c r="EC32" t="s">
        <v>936</v>
      </c>
      <c r="ED32">
        <v>3542</v>
      </c>
    </row>
    <row r="33" spans="2:134" ht="14.4">
      <c r="C33">
        <f>VLOOKUP(données!C$27,'constantes gp'!$B$13:$M$75,7,0)*VLOOKUP('tableau financier'!C49,données!$AP$12:$AQ$20,2,0)^100*(0.998789138^'tableau financier'!C$92)*(0.998751839^'tableau financier'!C$93)*(0.998707677^'tableau financier'!C$94)*33/$E$26</f>
        <v>11.512203417804562</v>
      </c>
      <c r="D33" t="s">
        <v>209</v>
      </c>
      <c r="E33">
        <v>9</v>
      </c>
      <c r="G33">
        <f t="shared" si="30"/>
        <v>15.311230545680068</v>
      </c>
      <c r="I33">
        <v>6</v>
      </c>
      <c r="K33">
        <v>5</v>
      </c>
      <c r="M33">
        <v>6</v>
      </c>
      <c r="O33">
        <v>5</v>
      </c>
      <c r="Q33">
        <f t="shared" si="31"/>
        <v>11.955753182537505</v>
      </c>
      <c r="S33">
        <f t="shared" si="32"/>
        <v>11.32389992022436</v>
      </c>
      <c r="U33">
        <v>9.6999999999999993</v>
      </c>
      <c r="AM33" s="61"/>
      <c r="AO33" t="s">
        <v>297</v>
      </c>
      <c r="AP33">
        <f>(AP32-AP31)*(1500+AP31*75)*(20-(AP32-AP31)/2)/200</f>
        <v>3675</v>
      </c>
      <c r="CI33">
        <v>27</v>
      </c>
      <c r="CJ33">
        <v>140</v>
      </c>
      <c r="CK33">
        <v>5300</v>
      </c>
      <c r="CL33">
        <v>280</v>
      </c>
      <c r="CM33">
        <v>7966.6660000000002</v>
      </c>
      <c r="CN33">
        <v>420</v>
      </c>
      <c r="CO33">
        <v>9966.6720000000005</v>
      </c>
      <c r="CP33">
        <v>560</v>
      </c>
      <c r="CQ33">
        <v>11966.666485714288</v>
      </c>
      <c r="CR33">
        <v>700</v>
      </c>
      <c r="CS33">
        <v>14633.331</v>
      </c>
      <c r="CT33">
        <f t="shared" si="11"/>
        <v>11966.666485714288</v>
      </c>
      <c r="CW33" t="str">
        <f>'constantes gp'!B40</f>
        <v>Jerez</v>
      </c>
      <c r="CY33" t="s">
        <v>14</v>
      </c>
      <c r="CZ33">
        <f>IF(OR(AND(RIGHT('tableau financier'!$D$111,2)&lt;=CY33,RIGHT('tableau financier'!$D$112,2)&gt;=CY33,'tableau financier'!$B$111&gt;0),AND(RIGHT('tableau financier'!$H$111,2)&lt;=CY33,RIGHT('tableau financier'!$H$112,2)&gt;=CY33,'tableau financier'!$F$111&gt;0)),8,0)</f>
        <v>0</v>
      </c>
      <c r="DA33">
        <v>11</v>
      </c>
      <c r="DC33">
        <v>0.55000000000000004</v>
      </c>
      <c r="DP33" t="s">
        <v>313</v>
      </c>
      <c r="DQ33" t="s">
        <v>314</v>
      </c>
      <c r="DT33">
        <v>23</v>
      </c>
      <c r="DV33" s="150" t="s">
        <v>344</v>
      </c>
      <c r="DW33" s="151" t="s">
        <v>421</v>
      </c>
      <c r="DX33" s="151" t="s">
        <v>937</v>
      </c>
      <c r="DY33" s="151">
        <v>9302</v>
      </c>
      <c r="EA33" t="s">
        <v>344</v>
      </c>
      <c r="EB33" t="s">
        <v>421</v>
      </c>
      <c r="EC33" t="s">
        <v>937</v>
      </c>
      <c r="ED33">
        <v>9302</v>
      </c>
    </row>
    <row r="34" spans="2:134" ht="26.4">
      <c r="C34">
        <f>VLOOKUP(données!C$27,'constantes gp'!$B$13:$M$75,8,0)*VLOOKUP('tableau financier'!C53,données!$AP$12:$AQ$20,2,0)^100*(0.998789138^'tableau financier'!C$92)*(0.998751839^'tableau financier'!C$93)*(0.998707677^'tableau financier'!C$94)*33/$E$26</f>
        <v>10.382529025963331</v>
      </c>
      <c r="D34" t="s">
        <v>220</v>
      </c>
      <c r="E34">
        <v>13</v>
      </c>
      <c r="G34">
        <f t="shared" si="30"/>
        <v>13.808763604531231</v>
      </c>
      <c r="I34">
        <v>8</v>
      </c>
      <c r="K34">
        <v>5</v>
      </c>
      <c r="M34">
        <v>9</v>
      </c>
      <c r="O34">
        <v>5</v>
      </c>
      <c r="Q34">
        <f t="shared" si="31"/>
        <v>11.001788718761278</v>
      </c>
      <c r="S34">
        <f t="shared" si="32"/>
        <v>10.717940503060271</v>
      </c>
      <c r="U34">
        <v>14.5</v>
      </c>
      <c r="AM34" s="61"/>
      <c r="AO34" t="s">
        <v>280</v>
      </c>
      <c r="AP34">
        <v>49</v>
      </c>
      <c r="CI34">
        <v>28</v>
      </c>
      <c r="CJ34">
        <v>130</v>
      </c>
      <c r="CK34">
        <v>5200</v>
      </c>
      <c r="CL34">
        <v>260</v>
      </c>
      <c r="CM34">
        <v>7815.384</v>
      </c>
      <c r="CN34">
        <v>390</v>
      </c>
      <c r="CO34">
        <v>9776.9279999999999</v>
      </c>
      <c r="CP34">
        <v>520</v>
      </c>
      <c r="CQ34">
        <v>11738.461371428573</v>
      </c>
      <c r="CR34">
        <v>650</v>
      </c>
      <c r="CS34">
        <v>14353.843999999999</v>
      </c>
      <c r="CT34">
        <f t="shared" si="11"/>
        <v>11738.461371428573</v>
      </c>
      <c r="CW34" t="str">
        <f>'constantes gp'!B42</f>
        <v>Kaunas</v>
      </c>
      <c r="CY34" t="s">
        <v>15</v>
      </c>
      <c r="CZ34">
        <f>IF(OR(AND(RIGHT('tableau financier'!$D$111,2)&lt;=CY34,RIGHT('tableau financier'!$D$112,2)&gt;=CY34,'tableau financier'!$B$111&gt;0),AND(RIGHT('tableau financier'!$H$111,2)&lt;=CY34,RIGHT('tableau financier'!$H$112,2)&gt;=CY34,'tableau financier'!$F$111&gt;0)),8,0)</f>
        <v>0</v>
      </c>
      <c r="DA34">
        <v>12</v>
      </c>
      <c r="DC34">
        <v>0.60000000000000009</v>
      </c>
      <c r="DP34" t="s">
        <v>316</v>
      </c>
      <c r="DQ34" t="s">
        <v>317</v>
      </c>
      <c r="DT34">
        <v>24</v>
      </c>
      <c r="DV34" s="150" t="s">
        <v>324</v>
      </c>
      <c r="DW34" s="151" t="s">
        <v>410</v>
      </c>
      <c r="DX34" s="151" t="s">
        <v>938</v>
      </c>
      <c r="DY34" s="151">
        <v>7252</v>
      </c>
      <c r="EA34" t="s">
        <v>324</v>
      </c>
      <c r="EB34" t="s">
        <v>410</v>
      </c>
      <c r="EC34" t="s">
        <v>938</v>
      </c>
      <c r="ED34">
        <v>7252</v>
      </c>
    </row>
    <row r="35" spans="2:134" ht="14.4">
      <c r="C35">
        <f>VLOOKUP(données!C$27,'constantes gp'!$B$13:$M$75,9,0)*VLOOKUP('tableau financier'!C57,données!$AP$12:$AQ$20,2,0)^100*(0.998789138^'tableau financier'!C$92)*(0.998751839^'tableau financier'!C$93)*(0.998707677^'tableau financier'!C$94)*33/$E$26</f>
        <v>13.379186775746046</v>
      </c>
      <c r="D35" t="s">
        <v>229</v>
      </c>
      <c r="E35">
        <v>20</v>
      </c>
      <c r="G35">
        <f t="shared" si="30"/>
        <v>17.794318411742243</v>
      </c>
      <c r="I35">
        <v>14</v>
      </c>
      <c r="K35">
        <v>4</v>
      </c>
      <c r="M35">
        <v>15</v>
      </c>
      <c r="O35">
        <v>4</v>
      </c>
      <c r="Q35">
        <f t="shared" si="31"/>
        <v>16.114982862049544</v>
      </c>
      <c r="S35">
        <f t="shared" si="32"/>
        <v>16.108444884798303</v>
      </c>
      <c r="U35">
        <v>21.6</v>
      </c>
      <c r="AM35" s="61"/>
      <c r="AO35" t="s">
        <v>289</v>
      </c>
      <c r="AP35">
        <v>60</v>
      </c>
      <c r="CI35">
        <v>29</v>
      </c>
      <c r="CJ35">
        <v>120</v>
      </c>
      <c r="CK35">
        <v>5100</v>
      </c>
      <c r="CL35">
        <v>240</v>
      </c>
      <c r="CM35">
        <v>7664.1019999999999</v>
      </c>
      <c r="CN35">
        <v>360</v>
      </c>
      <c r="CO35">
        <v>9587.1839999999993</v>
      </c>
      <c r="CP35">
        <v>480</v>
      </c>
      <c r="CQ35">
        <v>11510.256257142859</v>
      </c>
      <c r="CR35">
        <v>600</v>
      </c>
      <c r="CS35">
        <v>14074.357</v>
      </c>
      <c r="CT35">
        <f t="shared" si="11"/>
        <v>11510.256257142859</v>
      </c>
      <c r="CW35" t="str">
        <f>'constantes gp'!B43</f>
        <v>Kyalami</v>
      </c>
      <c r="CY35" t="s">
        <v>16</v>
      </c>
      <c r="CZ35">
        <f>IF(OR(AND(RIGHT('tableau financier'!$D$111,2)&lt;=CY35,RIGHT('tableau financier'!$D$112,2)&gt;=CY35,'tableau financier'!$B$111&gt;0),AND(RIGHT('tableau financier'!$H$111,2)&lt;=CY35,RIGHT('tableau financier'!$H$112,2)&gt;=CY35,'tableau financier'!$F$111&gt;0)),8,0)</f>
        <v>0</v>
      </c>
      <c r="DA35">
        <v>13</v>
      </c>
      <c r="DC35">
        <v>0.65</v>
      </c>
      <c r="DP35" t="s">
        <v>319</v>
      </c>
      <c r="DQ35" t="s">
        <v>320</v>
      </c>
      <c r="DT35">
        <v>25</v>
      </c>
      <c r="DV35" s="150" t="s">
        <v>384</v>
      </c>
      <c r="DW35" s="151" t="s">
        <v>421</v>
      </c>
      <c r="DX35" s="151" t="s">
        <v>939</v>
      </c>
      <c r="DY35" s="151">
        <v>8149</v>
      </c>
      <c r="EA35" t="s">
        <v>384</v>
      </c>
      <c r="EB35" t="s">
        <v>421</v>
      </c>
      <c r="EC35" t="s">
        <v>939</v>
      </c>
      <c r="ED35">
        <v>8149</v>
      </c>
    </row>
    <row r="36" spans="2:134" ht="14.4">
      <c r="C36">
        <f>VLOOKUP(données!C$27,'constantes gp'!$B$13:$M$75,10,0)*VLOOKUP('tableau financier'!C61,données!$AP$12:$AQ$20,2,0)^100*(0.998789138^'tableau financier'!C$92)*(0.998751839^'tableau financier'!C$93)*(0.998707677^'tableau financier'!C$94)*33/$E$26</f>
        <v>7.7472138482346296</v>
      </c>
      <c r="D36" t="s">
        <v>237</v>
      </c>
      <c r="E36">
        <v>22</v>
      </c>
      <c r="G36">
        <f t="shared" si="30"/>
        <v>10.303794418152059</v>
      </c>
      <c r="I36">
        <v>14</v>
      </c>
      <c r="K36">
        <v>4</v>
      </c>
      <c r="M36">
        <v>15</v>
      </c>
      <c r="O36">
        <v>5</v>
      </c>
      <c r="Q36">
        <f t="shared" si="31"/>
        <v>27.806701178858066</v>
      </c>
      <c r="S36">
        <f t="shared" si="32"/>
        <v>19.179714478257356</v>
      </c>
      <c r="U36">
        <v>23.8</v>
      </c>
      <c r="AM36" s="61"/>
      <c r="AO36" t="s">
        <v>297</v>
      </c>
      <c r="AP36">
        <f>(AP35-AP34)*(1500+AP34*75)*(20-(AP35-AP34)/2)/200</f>
        <v>4127.0625</v>
      </c>
      <c r="CI36">
        <v>30</v>
      </c>
      <c r="CJ36">
        <v>110</v>
      </c>
      <c r="CK36">
        <v>5000</v>
      </c>
      <c r="CL36">
        <v>220</v>
      </c>
      <c r="CM36">
        <v>7512.82</v>
      </c>
      <c r="CN36">
        <v>330</v>
      </c>
      <c r="CO36">
        <v>9397.44</v>
      </c>
      <c r="CP36">
        <v>440</v>
      </c>
      <c r="CQ36">
        <v>11282.051142857144</v>
      </c>
      <c r="CR36">
        <v>550</v>
      </c>
      <c r="CS36">
        <v>13794.87</v>
      </c>
      <c r="CT36">
        <f t="shared" si="11"/>
        <v>11282.051142857144</v>
      </c>
      <c r="CW36" t="str">
        <f>'constantes gp'!B44</f>
        <v>Laguna Seca</v>
      </c>
      <c r="CY36" t="s">
        <v>17</v>
      </c>
      <c r="CZ36">
        <f>IF(OR(AND(RIGHT('tableau financier'!$D$111,2)&lt;=CY36,RIGHT('tableau financier'!$D$112,2)&gt;=CY36,'tableau financier'!$B$111&gt;0),AND(RIGHT('tableau financier'!$H$111,2)&lt;=CY36,RIGHT('tableau financier'!$H$112,2)&gt;=CY36,'tableau financier'!$F$111&gt;0)),8,0)</f>
        <v>0</v>
      </c>
      <c r="DA36">
        <v>14</v>
      </c>
      <c r="DC36">
        <v>0.7</v>
      </c>
      <c r="DP36" t="s">
        <v>322</v>
      </c>
      <c r="DQ36" t="s">
        <v>323</v>
      </c>
      <c r="DT36">
        <v>26</v>
      </c>
      <c r="DV36" s="150" t="s">
        <v>37</v>
      </c>
      <c r="DW36" s="151" t="s">
        <v>421</v>
      </c>
      <c r="DX36" s="151" t="s">
        <v>940</v>
      </c>
      <c r="DY36" s="151">
        <v>12100</v>
      </c>
      <c r="EA36" t="s">
        <v>37</v>
      </c>
      <c r="EB36" t="s">
        <v>421</v>
      </c>
      <c r="EC36" t="s">
        <v>940</v>
      </c>
      <c r="ED36">
        <v>12100</v>
      </c>
    </row>
    <row r="37" spans="2:134" ht="14.4">
      <c r="C37">
        <f>VLOOKUP(données!C$27,'constantes gp'!$B$13:$M$75,11,0)*VLOOKUP('tableau financier'!C65,données!$AP$12:$AQ$20,2,0)^100*(0.998789138^'tableau financier'!C$92)*(0.998751839^'tableau financier'!C$93)*(0.998707677^'tableau financier'!C$94)*33/$E$26</f>
        <v>16.450312938866762</v>
      </c>
      <c r="D37" t="s">
        <v>244</v>
      </c>
      <c r="E37">
        <v>19</v>
      </c>
      <c r="G37">
        <f t="shared" si="30"/>
        <v>21.878916208692797</v>
      </c>
      <c r="I37">
        <v>12</v>
      </c>
      <c r="K37">
        <v>4</v>
      </c>
      <c r="M37">
        <v>12</v>
      </c>
      <c r="O37">
        <v>5</v>
      </c>
      <c r="Q37">
        <f t="shared" si="31"/>
        <v>20.079450565889797</v>
      </c>
      <c r="S37">
        <f t="shared" si="32"/>
        <v>11.505457342553372</v>
      </c>
      <c r="U37">
        <v>20.8</v>
      </c>
      <c r="AM37" s="61"/>
      <c r="CI37">
        <v>31</v>
      </c>
      <c r="CJ37">
        <v>100</v>
      </c>
      <c r="CK37">
        <v>4900</v>
      </c>
      <c r="CL37">
        <v>200</v>
      </c>
      <c r="CM37">
        <v>7361.5379999999996</v>
      </c>
      <c r="CN37">
        <v>300</v>
      </c>
      <c r="CO37">
        <v>9207.6959999999999</v>
      </c>
      <c r="CP37">
        <v>400</v>
      </c>
      <c r="CQ37">
        <v>11053.84602857143</v>
      </c>
      <c r="CR37">
        <v>500</v>
      </c>
      <c r="CS37">
        <v>13515.383</v>
      </c>
      <c r="CT37">
        <f t="shared" si="11"/>
        <v>11053.84602857143</v>
      </c>
      <c r="CW37" t="s">
        <v>1010</v>
      </c>
      <c r="CY37" t="s">
        <v>18</v>
      </c>
      <c r="CZ37">
        <f>IF(OR(AND(RIGHT('tableau financier'!$D$111,2)&lt;=CY37,RIGHT('tableau financier'!$D$112,2)&gt;=CY37,'tableau financier'!$B$111&gt;0),AND(RIGHT('tableau financier'!$H$111,2)&lt;=CY37,RIGHT('tableau financier'!$H$112,2)&gt;=CY37,'tableau financier'!$F$111&gt;0)),8,0)</f>
        <v>0</v>
      </c>
      <c r="DA37">
        <v>15</v>
      </c>
      <c r="DC37">
        <v>0.75</v>
      </c>
      <c r="DP37" t="s">
        <v>325</v>
      </c>
      <c r="DQ37" t="s">
        <v>326</v>
      </c>
      <c r="DT37">
        <v>27</v>
      </c>
      <c r="DV37" s="150" t="s">
        <v>23</v>
      </c>
      <c r="DW37" s="151" t="s">
        <v>421</v>
      </c>
      <c r="DX37" s="151" t="s">
        <v>941</v>
      </c>
      <c r="DY37" s="151">
        <v>11599</v>
      </c>
      <c r="EA37" t="s">
        <v>23</v>
      </c>
      <c r="EB37" t="s">
        <v>421</v>
      </c>
      <c r="EC37" t="s">
        <v>941</v>
      </c>
      <c r="ED37">
        <v>11599</v>
      </c>
    </row>
    <row r="38" spans="2:134" ht="14.4">
      <c r="C38">
        <f>VLOOKUP(données!C$27,'constantes gp'!$B$13:$M$75,12,0)*VLOOKUP('tableau financier'!C69,données!$AP$12:$AQ$20,2,0)^100*(0.998789138^'tableau financier'!C$92)*(0.998751839^'tableau financier'!C$93)*(0.998707677^'tableau financier'!C$94)*33/$E$26</f>
        <v>7.1331775701193472</v>
      </c>
      <c r="D38" t="s">
        <v>75</v>
      </c>
      <c r="E38">
        <v>6</v>
      </c>
      <c r="G38">
        <f t="shared" si="30"/>
        <v>9.4871261682587331</v>
      </c>
      <c r="I38">
        <v>4</v>
      </c>
      <c r="K38">
        <v>5</v>
      </c>
      <c r="M38">
        <v>3</v>
      </c>
      <c r="O38">
        <v>5</v>
      </c>
      <c r="Q38">
        <f t="shared" si="31"/>
        <v>10.321967888987503</v>
      </c>
      <c r="S38">
        <f t="shared" si="32"/>
        <v>9.5000311954065175</v>
      </c>
      <c r="U38">
        <v>6</v>
      </c>
      <c r="AM38" s="61"/>
      <c r="CI38">
        <v>32</v>
      </c>
      <c r="CJ38">
        <v>90</v>
      </c>
      <c r="CK38">
        <v>4800</v>
      </c>
      <c r="CL38">
        <v>180</v>
      </c>
      <c r="CM38">
        <v>7210.2560000000003</v>
      </c>
      <c r="CN38">
        <v>270</v>
      </c>
      <c r="CO38">
        <v>9017.9519999999993</v>
      </c>
      <c r="CP38">
        <v>360</v>
      </c>
      <c r="CQ38">
        <v>10825.640914285716</v>
      </c>
      <c r="CR38">
        <v>450</v>
      </c>
      <c r="CS38">
        <v>13235.896000000001</v>
      </c>
      <c r="CT38">
        <f t="shared" si="11"/>
        <v>10825.640914285716</v>
      </c>
      <c r="CW38" t="s">
        <v>1011</v>
      </c>
      <c r="CY38" t="s">
        <v>19</v>
      </c>
      <c r="CZ38">
        <f>IF(OR(AND(RIGHT('tableau financier'!$D$111,2)&lt;=CY38,RIGHT('tableau financier'!$D$112,2)&gt;=CY38,'tableau financier'!$B$111&gt;0),AND(RIGHT('tableau financier'!$H$111,2)&lt;=CY38,RIGHT('tableau financier'!$H$112,2)&gt;=CY38,'tableau financier'!$F$111&gt;0)),8,0)</f>
        <v>0</v>
      </c>
      <c r="DA38">
        <v>16</v>
      </c>
      <c r="DC38">
        <v>0.8</v>
      </c>
      <c r="DP38" t="s">
        <v>328</v>
      </c>
      <c r="DQ38" t="s">
        <v>329</v>
      </c>
      <c r="DT38">
        <v>28</v>
      </c>
      <c r="DV38" s="150" t="s">
        <v>373</v>
      </c>
      <c r="DW38" s="151" t="s">
        <v>421</v>
      </c>
      <c r="DX38" s="151" t="s">
        <v>942</v>
      </c>
      <c r="DY38" s="151">
        <v>9274</v>
      </c>
      <c r="EA38" t="s">
        <v>373</v>
      </c>
      <c r="EB38" t="s">
        <v>421</v>
      </c>
      <c r="EC38" t="s">
        <v>942</v>
      </c>
      <c r="ED38">
        <v>9274</v>
      </c>
    </row>
    <row r="39" spans="2:134" ht="14.4">
      <c r="AM39" s="61"/>
      <c r="CI39">
        <v>33</v>
      </c>
      <c r="CJ39">
        <v>80</v>
      </c>
      <c r="CK39">
        <v>4700</v>
      </c>
      <c r="CL39">
        <v>160</v>
      </c>
      <c r="CM39">
        <v>7058.9740000000002</v>
      </c>
      <c r="CN39">
        <v>240</v>
      </c>
      <c r="CO39">
        <v>8828.2080000000005</v>
      </c>
      <c r="CP39">
        <v>320</v>
      </c>
      <c r="CQ39">
        <v>10597.435800000001</v>
      </c>
      <c r="CR39">
        <v>400</v>
      </c>
      <c r="CS39">
        <v>12956.409</v>
      </c>
      <c r="CT39">
        <f t="shared" si="11"/>
        <v>10597.435800000001</v>
      </c>
      <c r="CW39" t="str">
        <f>'constantes gp'!B47</f>
        <v>Magny Cours</v>
      </c>
      <c r="DA39">
        <v>17</v>
      </c>
      <c r="DC39">
        <v>0.85</v>
      </c>
      <c r="DP39" t="s">
        <v>331</v>
      </c>
      <c r="DQ39" t="s">
        <v>332</v>
      </c>
      <c r="DT39">
        <v>29</v>
      </c>
      <c r="DV39" s="150" t="s">
        <v>24</v>
      </c>
      <c r="DW39" s="151" t="s">
        <v>421</v>
      </c>
      <c r="DX39" s="151" t="s">
        <v>943</v>
      </c>
      <c r="DY39" s="151">
        <v>10426</v>
      </c>
      <c r="EA39" t="s">
        <v>24</v>
      </c>
      <c r="EB39" t="s">
        <v>421</v>
      </c>
      <c r="EC39" t="s">
        <v>943</v>
      </c>
      <c r="ED39">
        <v>10426</v>
      </c>
    </row>
    <row r="40" spans="2:134" ht="14.4">
      <c r="AM40" s="61"/>
      <c r="CI40">
        <v>34</v>
      </c>
      <c r="CJ40">
        <v>70</v>
      </c>
      <c r="CK40">
        <v>4600</v>
      </c>
      <c r="CL40">
        <v>140</v>
      </c>
      <c r="CM40">
        <v>6907.692</v>
      </c>
      <c r="CN40">
        <v>210</v>
      </c>
      <c r="CO40">
        <v>8638.4639999999999</v>
      </c>
      <c r="CP40">
        <v>280</v>
      </c>
      <c r="CQ40">
        <v>10369.230685714287</v>
      </c>
      <c r="CR40">
        <v>350</v>
      </c>
      <c r="CS40">
        <v>12676.922</v>
      </c>
      <c r="CT40">
        <f t="shared" si="11"/>
        <v>10369.230685714287</v>
      </c>
      <c r="CW40" t="str">
        <f>'constantes gp'!B48</f>
        <v>Melbourne</v>
      </c>
      <c r="DA40">
        <v>18</v>
      </c>
      <c r="DC40">
        <v>0.9</v>
      </c>
      <c r="DP40" t="s">
        <v>333</v>
      </c>
      <c r="DQ40" t="s">
        <v>334</v>
      </c>
      <c r="DT40">
        <v>30</v>
      </c>
      <c r="DV40" s="150" t="s">
        <v>33</v>
      </c>
      <c r="DW40" s="151" t="s">
        <v>421</v>
      </c>
      <c r="DX40" s="151" t="s">
        <v>944</v>
      </c>
      <c r="DY40" s="151">
        <v>11457</v>
      </c>
      <c r="EA40" t="s">
        <v>33</v>
      </c>
      <c r="EB40" t="s">
        <v>421</v>
      </c>
      <c r="EC40" t="s">
        <v>944</v>
      </c>
      <c r="ED40">
        <v>11457</v>
      </c>
    </row>
    <row r="41" spans="2:134" ht="14.4">
      <c r="D41" s="131" t="s">
        <v>854</v>
      </c>
      <c r="E41" s="131" t="s">
        <v>854</v>
      </c>
      <c r="F41" s="4"/>
      <c r="AM41" s="61"/>
      <c r="CI41">
        <v>35</v>
      </c>
      <c r="CJ41">
        <v>60</v>
      </c>
      <c r="CK41">
        <v>4500</v>
      </c>
      <c r="CL41">
        <v>120</v>
      </c>
      <c r="CM41">
        <v>6756.41</v>
      </c>
      <c r="CN41">
        <v>180</v>
      </c>
      <c r="CO41">
        <v>8448.7199999999993</v>
      </c>
      <c r="CP41">
        <v>240</v>
      </c>
      <c r="CQ41">
        <v>10141.025571428572</v>
      </c>
      <c r="CR41">
        <v>300</v>
      </c>
      <c r="CS41">
        <v>12397.434999999999</v>
      </c>
      <c r="CT41">
        <f t="shared" si="11"/>
        <v>10141.025571428572</v>
      </c>
      <c r="CW41" t="str">
        <f>'constantes gp'!B49</f>
        <v>Mexico City</v>
      </c>
      <c r="DA41">
        <v>19</v>
      </c>
      <c r="DC41">
        <v>0.95</v>
      </c>
      <c r="DP41" t="s">
        <v>335</v>
      </c>
      <c r="DQ41" t="s">
        <v>336</v>
      </c>
      <c r="DT41">
        <v>31</v>
      </c>
      <c r="DV41" s="150" t="s">
        <v>263</v>
      </c>
      <c r="DW41" s="151" t="s">
        <v>421</v>
      </c>
      <c r="DX41" s="151" t="s">
        <v>945</v>
      </c>
      <c r="DY41" s="151">
        <v>7745</v>
      </c>
      <c r="EA41" t="s">
        <v>263</v>
      </c>
      <c r="EB41" t="s">
        <v>421</v>
      </c>
      <c r="EC41" t="s">
        <v>945</v>
      </c>
      <c r="ED41">
        <v>7745</v>
      </c>
    </row>
    <row r="42" spans="2:134" ht="14.4">
      <c r="B42" s="210" t="s">
        <v>855</v>
      </c>
      <c r="C42" s="210"/>
      <c r="D42" s="132">
        <v>0</v>
      </c>
      <c r="E42" s="4">
        <v>0</v>
      </c>
      <c r="F42" s="4" t="s">
        <v>856</v>
      </c>
      <c r="AM42" s="61"/>
      <c r="CI42">
        <v>36</v>
      </c>
      <c r="CJ42">
        <v>50</v>
      </c>
      <c r="CK42">
        <v>4400</v>
      </c>
      <c r="CL42">
        <v>100</v>
      </c>
      <c r="CM42">
        <v>6605.1279999999997</v>
      </c>
      <c r="CN42">
        <v>150</v>
      </c>
      <c r="CO42">
        <v>8258.9760000000006</v>
      </c>
      <c r="CP42">
        <v>200</v>
      </c>
      <c r="CQ42">
        <v>9912.8204571428578</v>
      </c>
      <c r="CR42">
        <v>250</v>
      </c>
      <c r="CS42">
        <v>12117.948</v>
      </c>
      <c r="CT42">
        <f t="shared" si="11"/>
        <v>9912.8204571428578</v>
      </c>
      <c r="CU42">
        <v>9000</v>
      </c>
      <c r="CW42" t="s">
        <v>998</v>
      </c>
      <c r="DA42">
        <v>20</v>
      </c>
      <c r="DC42">
        <v>1</v>
      </c>
      <c r="DP42" t="s">
        <v>337</v>
      </c>
      <c r="DQ42" t="s">
        <v>338</v>
      </c>
      <c r="DT42">
        <v>32</v>
      </c>
      <c r="DV42" s="150" t="s">
        <v>30</v>
      </c>
      <c r="DW42" s="151" t="s">
        <v>421</v>
      </c>
      <c r="DX42" s="151" t="s">
        <v>946</v>
      </c>
      <c r="DY42" s="151">
        <v>10831</v>
      </c>
      <c r="EA42" t="s">
        <v>30</v>
      </c>
      <c r="EB42" t="s">
        <v>421</v>
      </c>
      <c r="EC42" t="s">
        <v>946</v>
      </c>
      <c r="ED42">
        <v>10831</v>
      </c>
    </row>
    <row r="43" spans="2:134">
      <c r="B43" s="210" t="s">
        <v>857</v>
      </c>
      <c r="C43" s="210"/>
      <c r="D43" s="132">
        <v>0</v>
      </c>
      <c r="E43" s="4">
        <v>0</v>
      </c>
      <c r="F43" s="4" t="s">
        <v>858</v>
      </c>
      <c r="G43" t="s">
        <v>1</v>
      </c>
      <c r="CI43">
        <v>37</v>
      </c>
      <c r="CJ43">
        <v>40</v>
      </c>
      <c r="CK43">
        <v>4300</v>
      </c>
      <c r="CL43">
        <v>80</v>
      </c>
      <c r="CM43">
        <v>6453.8459999999995</v>
      </c>
      <c r="CN43">
        <v>120</v>
      </c>
      <c r="CO43">
        <v>8069.23</v>
      </c>
      <c r="CP43">
        <v>160</v>
      </c>
      <c r="CQ43">
        <v>9684.6153428571433</v>
      </c>
      <c r="CR43">
        <v>200</v>
      </c>
      <c r="CS43">
        <v>11838.460999999999</v>
      </c>
      <c r="CT43">
        <f t="shared" si="11"/>
        <v>9684.6153428571433</v>
      </c>
      <c r="CU43">
        <v>16987.179</v>
      </c>
      <c r="CW43" t="str">
        <f>'constantes gp'!B51</f>
        <v>Monte Carlo</v>
      </c>
      <c r="DA43">
        <v>21</v>
      </c>
      <c r="DC43">
        <v>1.05</v>
      </c>
      <c r="DP43" t="s">
        <v>340</v>
      </c>
      <c r="DQ43" t="s">
        <v>341</v>
      </c>
      <c r="DT43">
        <v>33</v>
      </c>
      <c r="DV43" s="150" t="s">
        <v>398</v>
      </c>
      <c r="DW43" s="151" t="s">
        <v>421</v>
      </c>
      <c r="DX43" s="151" t="s">
        <v>947</v>
      </c>
      <c r="DY43" s="151">
        <v>6435</v>
      </c>
      <c r="EA43" t="s">
        <v>398</v>
      </c>
      <c r="EB43" t="s">
        <v>421</v>
      </c>
      <c r="EC43" t="s">
        <v>947</v>
      </c>
      <c r="ED43">
        <v>6435</v>
      </c>
    </row>
    <row r="44" spans="2:134">
      <c r="B44" s="210" t="s">
        <v>859</v>
      </c>
      <c r="C44" s="210"/>
      <c r="D44" s="132">
        <v>3.5059337363944674</v>
      </c>
      <c r="E44" s="4">
        <v>3.1186958290704239E-2</v>
      </c>
      <c r="F44" s="4" t="s">
        <v>860</v>
      </c>
      <c r="AA44" t="s">
        <v>1</v>
      </c>
      <c r="AC44" t="s">
        <v>1</v>
      </c>
      <c r="AE44" t="s">
        <v>1</v>
      </c>
      <c r="AG44" t="s">
        <v>1</v>
      </c>
      <c r="AI44" t="s">
        <v>1</v>
      </c>
      <c r="AK44" t="s">
        <v>1</v>
      </c>
      <c r="CI44">
        <v>38</v>
      </c>
      <c r="CJ44">
        <v>30</v>
      </c>
      <c r="CK44">
        <v>4200</v>
      </c>
      <c r="CL44">
        <v>60</v>
      </c>
      <c r="CM44">
        <v>6302.5640000000003</v>
      </c>
      <c r="CN44">
        <v>90</v>
      </c>
      <c r="CO44">
        <v>7879.4870000000001</v>
      </c>
      <c r="CP44">
        <v>120</v>
      </c>
      <c r="CQ44">
        <v>9456.4102285714289</v>
      </c>
      <c r="CR44">
        <v>150</v>
      </c>
      <c r="CS44">
        <v>11558.974</v>
      </c>
      <c r="CT44">
        <f t="shared" si="11"/>
        <v>9456.4102285714289</v>
      </c>
      <c r="CU44">
        <f>CU43-CU42</f>
        <v>7987.1790000000001</v>
      </c>
      <c r="CV44">
        <f>CU44/35</f>
        <v>228.2051142857143</v>
      </c>
      <c r="CW44" t="str">
        <f>'constantes gp'!B52</f>
        <v>Montreal</v>
      </c>
      <c r="DA44">
        <v>22</v>
      </c>
      <c r="DC44">
        <v>1.1000000000000001</v>
      </c>
      <c r="DP44" t="s">
        <v>342</v>
      </c>
      <c r="DQ44" t="s">
        <v>343</v>
      </c>
      <c r="DT44">
        <v>34</v>
      </c>
      <c r="DV44" s="150" t="s">
        <v>35</v>
      </c>
      <c r="DW44" s="151" t="s">
        <v>421</v>
      </c>
      <c r="DX44" s="151" t="s">
        <v>948</v>
      </c>
      <c r="DY44" s="151">
        <v>7720</v>
      </c>
      <c r="EA44" t="s">
        <v>35</v>
      </c>
      <c r="EB44" t="s">
        <v>421</v>
      </c>
      <c r="EC44" t="s">
        <v>948</v>
      </c>
      <c r="ED44">
        <v>7720</v>
      </c>
    </row>
    <row r="45" spans="2:134">
      <c r="B45" s="211" t="s">
        <v>861</v>
      </c>
      <c r="C45" s="212"/>
      <c r="D45" s="132">
        <v>0</v>
      </c>
      <c r="E45" s="132">
        <v>0</v>
      </c>
      <c r="F45" s="4" t="s">
        <v>862</v>
      </c>
      <c r="CI45">
        <v>39</v>
      </c>
      <c r="CJ45">
        <v>20</v>
      </c>
      <c r="CK45">
        <v>4100</v>
      </c>
      <c r="CL45">
        <v>40</v>
      </c>
      <c r="CM45">
        <v>6151.2820000000002</v>
      </c>
      <c r="CN45">
        <v>60</v>
      </c>
      <c r="CO45">
        <v>7689.7439999999997</v>
      </c>
      <c r="CP45">
        <v>80</v>
      </c>
      <c r="CQ45">
        <v>9228.2051142857144</v>
      </c>
      <c r="CR45">
        <v>100</v>
      </c>
      <c r="CS45">
        <v>11279.486999999999</v>
      </c>
      <c r="CT45">
        <f>CT46+$CV$44</f>
        <v>9228.2051142857144</v>
      </c>
      <c r="CU45">
        <f>CT45-CT46</f>
        <v>228.20511428571444</v>
      </c>
      <c r="CW45" t="str">
        <f>'constantes gp'!B53</f>
        <v>Monza</v>
      </c>
      <c r="DA45">
        <v>23</v>
      </c>
      <c r="DC45">
        <v>1.1499999999999999</v>
      </c>
      <c r="DP45" t="s">
        <v>345</v>
      </c>
      <c r="DQ45" t="s">
        <v>346</v>
      </c>
      <c r="DT45">
        <v>35</v>
      </c>
      <c r="DV45" s="150" t="s">
        <v>347</v>
      </c>
      <c r="DW45" s="151" t="s">
        <v>421</v>
      </c>
      <c r="DX45" s="151" t="s">
        <v>949</v>
      </c>
      <c r="DY45" s="151">
        <v>6597</v>
      </c>
      <c r="EA45" t="s">
        <v>347</v>
      </c>
      <c r="EB45" t="s">
        <v>421</v>
      </c>
      <c r="EC45" t="s">
        <v>949</v>
      </c>
      <c r="ED45">
        <v>6597</v>
      </c>
    </row>
    <row r="46" spans="2:134">
      <c r="B46" s="211" t="s">
        <v>863</v>
      </c>
      <c r="C46" s="212"/>
      <c r="D46" s="132">
        <v>0</v>
      </c>
      <c r="E46" s="4">
        <v>1.4576832989678538E-2</v>
      </c>
      <c r="F46" s="4" t="s">
        <v>864</v>
      </c>
      <c r="CI46">
        <v>40</v>
      </c>
      <c r="CJ46">
        <v>10</v>
      </c>
      <c r="CK46">
        <v>4000</v>
      </c>
      <c r="CL46">
        <v>20</v>
      </c>
      <c r="CM46">
        <v>6000</v>
      </c>
      <c r="CN46">
        <v>30</v>
      </c>
      <c r="CO46">
        <v>7500</v>
      </c>
      <c r="CP46">
        <v>40</v>
      </c>
      <c r="CQ46">
        <v>9000</v>
      </c>
      <c r="CR46">
        <v>50</v>
      </c>
      <c r="CS46">
        <v>11000</v>
      </c>
      <c r="CT46">
        <v>9000</v>
      </c>
      <c r="CW46" t="str">
        <f>'constantes gp'!B54</f>
        <v>Mugello</v>
      </c>
      <c r="DA46">
        <v>24</v>
      </c>
      <c r="DC46">
        <v>1.2</v>
      </c>
      <c r="DP46" t="s">
        <v>348</v>
      </c>
      <c r="DQ46" t="s">
        <v>349</v>
      </c>
      <c r="DT46">
        <v>36</v>
      </c>
      <c r="DV46" s="150" t="s">
        <v>379</v>
      </c>
      <c r="DW46" s="151" t="s">
        <v>416</v>
      </c>
      <c r="DX46" s="151" t="s">
        <v>950</v>
      </c>
      <c r="DY46" s="151">
        <v>5254</v>
      </c>
      <c r="EA46" t="s">
        <v>379</v>
      </c>
      <c r="EB46" t="s">
        <v>416</v>
      </c>
      <c r="EC46" t="s">
        <v>950</v>
      </c>
      <c r="ED46">
        <v>5254</v>
      </c>
    </row>
    <row r="47" spans="2:134">
      <c r="B47" s="211" t="s">
        <v>865</v>
      </c>
      <c r="C47" s="212"/>
      <c r="D47" s="132">
        <v>0</v>
      </c>
      <c r="E47" s="132">
        <v>0</v>
      </c>
      <c r="F47" s="4" t="s">
        <v>866</v>
      </c>
      <c r="CW47" t="str">
        <f>'constantes gp'!B55</f>
        <v>New Delhi</v>
      </c>
      <c r="DA47">
        <v>25</v>
      </c>
      <c r="DC47">
        <v>1.25</v>
      </c>
      <c r="DP47" t="s">
        <v>351</v>
      </c>
      <c r="DQ47" t="s">
        <v>352</v>
      </c>
      <c r="DT47">
        <v>37</v>
      </c>
      <c r="DV47" s="150" t="s">
        <v>281</v>
      </c>
      <c r="DW47" s="151" t="s">
        <v>421</v>
      </c>
      <c r="DX47" s="151" t="s">
        <v>951</v>
      </c>
      <c r="DY47" s="151">
        <v>6413</v>
      </c>
      <c r="EA47" t="s">
        <v>281</v>
      </c>
      <c r="EB47" t="s">
        <v>421</v>
      </c>
      <c r="EC47" t="s">
        <v>951</v>
      </c>
      <c r="ED47">
        <v>6413</v>
      </c>
    </row>
    <row r="48" spans="2:134" ht="26.4">
      <c r="B48" s="211" t="s">
        <v>867</v>
      </c>
      <c r="C48" s="212"/>
      <c r="D48" s="132">
        <v>2.2961361914632743</v>
      </c>
      <c r="E48" s="4">
        <v>1.6422903343070132</v>
      </c>
      <c r="F48" s="4" t="s">
        <v>868</v>
      </c>
      <c r="AE48" t="s">
        <v>1</v>
      </c>
      <c r="CW48" t="str">
        <f>'constantes gp'!B56</f>
        <v>Nurburgring</v>
      </c>
      <c r="DA48">
        <v>26</v>
      </c>
      <c r="DC48">
        <v>1.3</v>
      </c>
      <c r="DP48" t="s">
        <v>354</v>
      </c>
      <c r="DQ48" t="s">
        <v>355</v>
      </c>
      <c r="DT48">
        <v>38</v>
      </c>
      <c r="DV48" s="150" t="s">
        <v>228</v>
      </c>
      <c r="DW48" s="151" t="s">
        <v>421</v>
      </c>
      <c r="DX48" s="151" t="s">
        <v>952</v>
      </c>
      <c r="DY48" s="151">
        <v>8189</v>
      </c>
      <c r="EA48" t="s">
        <v>228</v>
      </c>
      <c r="EB48" t="s">
        <v>421</v>
      </c>
      <c r="EC48" t="s">
        <v>952</v>
      </c>
      <c r="ED48">
        <v>8189</v>
      </c>
    </row>
    <row r="49" spans="2:134">
      <c r="B49" s="211" t="s">
        <v>869</v>
      </c>
      <c r="C49" s="212"/>
      <c r="D49" s="132">
        <v>10.376778250288387</v>
      </c>
      <c r="E49" s="4">
        <v>3.8465088864297399</v>
      </c>
      <c r="F49" s="4" t="s">
        <v>870</v>
      </c>
      <c r="CW49" t="str">
        <f>'constantes gp'!B57</f>
        <v>Oesterreichring</v>
      </c>
      <c r="DA49">
        <v>27</v>
      </c>
      <c r="DC49">
        <v>1.35</v>
      </c>
      <c r="DP49" t="s">
        <v>356</v>
      </c>
      <c r="DQ49" t="s">
        <v>357</v>
      </c>
      <c r="DT49">
        <v>39</v>
      </c>
      <c r="DV49" s="150" t="s">
        <v>39</v>
      </c>
      <c r="DW49" s="151" t="s">
        <v>416</v>
      </c>
      <c r="DX49" s="151" t="s">
        <v>953</v>
      </c>
      <c r="DY49" s="151">
        <v>13188</v>
      </c>
      <c r="EA49" t="s">
        <v>39</v>
      </c>
      <c r="EB49" t="s">
        <v>416</v>
      </c>
      <c r="EC49" t="s">
        <v>953</v>
      </c>
      <c r="ED49">
        <v>13188</v>
      </c>
    </row>
    <row r="50" spans="2:134">
      <c r="B50" s="211" t="s">
        <v>871</v>
      </c>
      <c r="C50" s="212"/>
      <c r="D50" s="132">
        <v>198.51260661104453</v>
      </c>
      <c r="E50" s="4">
        <v>206.82697313576699</v>
      </c>
      <c r="F50" s="4" t="s">
        <v>872</v>
      </c>
      <c r="CW50" t="str">
        <f>'constantes gp'!B58</f>
        <v>Paul Ricard</v>
      </c>
      <c r="DA50">
        <v>28</v>
      </c>
      <c r="DC50">
        <v>1.4</v>
      </c>
      <c r="DP50" t="s">
        <v>359</v>
      </c>
      <c r="DQ50" t="s">
        <v>123</v>
      </c>
      <c r="DT50">
        <v>40</v>
      </c>
      <c r="DV50" s="150" t="s">
        <v>236</v>
      </c>
      <c r="DW50" s="151" t="s">
        <v>416</v>
      </c>
      <c r="DX50" s="151" t="s">
        <v>954</v>
      </c>
      <c r="DY50" s="151">
        <v>8801</v>
      </c>
      <c r="EA50" t="s">
        <v>236</v>
      </c>
      <c r="EB50" t="s">
        <v>416</v>
      </c>
      <c r="EC50" t="s">
        <v>954</v>
      </c>
      <c r="ED50">
        <v>8801</v>
      </c>
    </row>
    <row r="51" spans="2:134">
      <c r="B51" s="210" t="s">
        <v>873</v>
      </c>
      <c r="C51" s="210"/>
      <c r="D51" s="132">
        <v>0</v>
      </c>
      <c r="E51" s="4">
        <v>0</v>
      </c>
      <c r="F51" s="4" t="s">
        <v>874</v>
      </c>
      <c r="CW51" t="str">
        <f>'constantes gp'!B59</f>
        <v>Portimao</v>
      </c>
      <c r="DA51">
        <v>29</v>
      </c>
      <c r="DC51">
        <v>1.45</v>
      </c>
      <c r="DP51" t="s">
        <v>361</v>
      </c>
      <c r="DQ51" t="s">
        <v>362</v>
      </c>
      <c r="DV51" s="150" t="s">
        <v>38</v>
      </c>
      <c r="DW51" s="151" t="s">
        <v>416</v>
      </c>
      <c r="DX51" s="151" t="s">
        <v>955</v>
      </c>
      <c r="DY51" s="151">
        <v>5749</v>
      </c>
      <c r="EA51" t="s">
        <v>38</v>
      </c>
      <c r="EB51" t="s">
        <v>416</v>
      </c>
      <c r="EC51" t="s">
        <v>955</v>
      </c>
      <c r="ED51">
        <v>5749</v>
      </c>
    </row>
    <row r="52" spans="2:134">
      <c r="B52" s="4"/>
      <c r="C52" s="4"/>
      <c r="D52" s="4"/>
      <c r="E52" s="4"/>
      <c r="F52" s="4"/>
      <c r="CW52" t="str">
        <f>'constantes gp'!B60</f>
        <v>Poznan</v>
      </c>
      <c r="DA52">
        <v>30</v>
      </c>
      <c r="DC52">
        <v>1.5</v>
      </c>
      <c r="DP52" t="s">
        <v>363</v>
      </c>
      <c r="DQ52" t="s">
        <v>364</v>
      </c>
      <c r="DV52" s="150" t="s">
        <v>376</v>
      </c>
      <c r="DW52" s="151" t="s">
        <v>416</v>
      </c>
      <c r="DX52" s="151" t="s">
        <v>956</v>
      </c>
      <c r="DY52" s="151">
        <v>11322</v>
      </c>
      <c r="EA52" t="s">
        <v>376</v>
      </c>
      <c r="EB52" t="s">
        <v>416</v>
      </c>
      <c r="EC52" t="s">
        <v>956</v>
      </c>
      <c r="ED52">
        <v>11322</v>
      </c>
    </row>
    <row r="53" spans="2:134">
      <c r="B53" s="4"/>
      <c r="C53" s="131" t="s">
        <v>875</v>
      </c>
      <c r="D53" s="133">
        <f>CirA</f>
        <v>5.4410350190000001</v>
      </c>
      <c r="E53" s="4"/>
      <c r="F53" s="4" t="s">
        <v>876</v>
      </c>
      <c r="CW53" t="str">
        <f>'constantes gp'!B61</f>
        <v>Rafaela Oval</v>
      </c>
      <c r="DA53">
        <v>31</v>
      </c>
      <c r="DC53">
        <v>1.55</v>
      </c>
      <c r="DP53" t="s">
        <v>365</v>
      </c>
      <c r="DQ53" t="s">
        <v>366</v>
      </c>
      <c r="DV53" s="150" t="s">
        <v>32</v>
      </c>
      <c r="DW53" s="151" t="s">
        <v>416</v>
      </c>
      <c r="DX53" s="151" t="s">
        <v>957</v>
      </c>
      <c r="DY53" s="151">
        <v>4930</v>
      </c>
      <c r="EA53" t="s">
        <v>32</v>
      </c>
      <c r="EB53" t="s">
        <v>416</v>
      </c>
      <c r="EC53" t="s">
        <v>957</v>
      </c>
      <c r="ED53">
        <v>4930</v>
      </c>
    </row>
    <row r="54" spans="2:134">
      <c r="B54" s="4"/>
      <c r="C54" s="131" t="s">
        <v>877</v>
      </c>
      <c r="D54" s="133">
        <f>CTA</f>
        <v>2.0226307449999998</v>
      </c>
      <c r="E54" s="4"/>
      <c r="F54" s="4" t="s">
        <v>878</v>
      </c>
      <c r="CW54" t="str">
        <f>'constantes gp'!B62</f>
        <v>Sakhir</v>
      </c>
      <c r="DA54">
        <v>32</v>
      </c>
      <c r="DC54">
        <v>1.6</v>
      </c>
      <c r="DP54" t="s">
        <v>368</v>
      </c>
      <c r="DQ54" t="s">
        <v>369</v>
      </c>
      <c r="DV54" s="150" t="s">
        <v>36</v>
      </c>
      <c r="DW54" s="151" t="s">
        <v>416</v>
      </c>
      <c r="DX54" s="151" t="s">
        <v>958</v>
      </c>
      <c r="DY54" s="151">
        <v>9513</v>
      </c>
      <c r="EA54" t="s">
        <v>36</v>
      </c>
      <c r="EB54" t="s">
        <v>416</v>
      </c>
      <c r="EC54" t="s">
        <v>958</v>
      </c>
      <c r="ED54">
        <v>9513</v>
      </c>
    </row>
    <row r="55" spans="2:134">
      <c r="B55" s="4"/>
      <c r="C55" s="131" t="s">
        <v>879</v>
      </c>
      <c r="D55" s="133">
        <f>CTR</f>
        <v>65.337806779999994</v>
      </c>
      <c r="E55" s="4"/>
      <c r="F55" s="4" t="s">
        <v>880</v>
      </c>
      <c r="DA55">
        <v>33</v>
      </c>
      <c r="DC55">
        <v>1.65</v>
      </c>
      <c r="DP55" t="s">
        <v>371</v>
      </c>
      <c r="DQ55" t="s">
        <v>372</v>
      </c>
      <c r="DV55" s="150" t="s">
        <v>43</v>
      </c>
      <c r="DW55" s="151" t="s">
        <v>416</v>
      </c>
      <c r="DX55" s="151" t="s">
        <v>959</v>
      </c>
      <c r="DY55" s="151">
        <v>9418</v>
      </c>
      <c r="EA55" t="s">
        <v>43</v>
      </c>
      <c r="EB55" t="s">
        <v>416</v>
      </c>
      <c r="EC55" t="s">
        <v>959</v>
      </c>
      <c r="ED55">
        <v>9418</v>
      </c>
    </row>
    <row r="56" spans="2:134">
      <c r="B56" s="4"/>
      <c r="C56" s="131" t="s">
        <v>881</v>
      </c>
      <c r="D56" s="134">
        <f>tech</f>
        <v>1.6262563000000001E-2</v>
      </c>
      <c r="E56" s="4"/>
      <c r="F56" s="4" t="s">
        <v>882</v>
      </c>
      <c r="DA56">
        <v>34</v>
      </c>
      <c r="DC56">
        <v>1.7</v>
      </c>
      <c r="DP56" t="s">
        <v>374</v>
      </c>
      <c r="DQ56" t="s">
        <v>375</v>
      </c>
      <c r="DV56" s="150" t="s">
        <v>318</v>
      </c>
      <c r="DW56" s="151" t="s">
        <v>421</v>
      </c>
      <c r="DX56" s="151" t="s">
        <v>960</v>
      </c>
      <c r="DY56" s="151">
        <v>6294</v>
      </c>
      <c r="EA56" t="s">
        <v>318</v>
      </c>
      <c r="EB56" t="s">
        <v>421</v>
      </c>
      <c r="EC56" t="s">
        <v>960</v>
      </c>
      <c r="ED56">
        <v>6294</v>
      </c>
    </row>
    <row r="57" spans="2:134">
      <c r="B57" s="4"/>
      <c r="C57" s="131" t="s">
        <v>883</v>
      </c>
      <c r="D57" s="134">
        <f>Con</f>
        <v>-0.28311636500000004</v>
      </c>
      <c r="E57" s="4"/>
      <c r="F57" s="4" t="s">
        <v>884</v>
      </c>
      <c r="DA57">
        <v>35</v>
      </c>
      <c r="DC57">
        <v>1.75</v>
      </c>
      <c r="DP57" t="s">
        <v>377</v>
      </c>
      <c r="DQ57" t="s">
        <v>378</v>
      </c>
      <c r="DV57" s="150" t="s">
        <v>270</v>
      </c>
      <c r="DW57" s="151" t="s">
        <v>421</v>
      </c>
      <c r="DX57" s="151" t="s">
        <v>961</v>
      </c>
      <c r="DY57" s="151">
        <v>4915</v>
      </c>
      <c r="EA57" t="s">
        <v>270</v>
      </c>
      <c r="EB57" t="s">
        <v>421</v>
      </c>
      <c r="EC57" t="s">
        <v>961</v>
      </c>
      <c r="ED57">
        <v>4915</v>
      </c>
    </row>
    <row r="58" spans="2:134">
      <c r="B58" s="4"/>
      <c r="C58" s="131" t="s">
        <v>869</v>
      </c>
      <c r="D58" s="134">
        <f>Poids</f>
        <v>-4.4713100000000003E-4</v>
      </c>
      <c r="E58" s="4"/>
      <c r="F58" s="4" t="s">
        <v>885</v>
      </c>
      <c r="DA58">
        <v>36</v>
      </c>
      <c r="DC58">
        <v>1.8</v>
      </c>
      <c r="DP58" t="s">
        <v>380</v>
      </c>
      <c r="DQ58" t="s">
        <v>381</v>
      </c>
      <c r="DV58" s="150" t="s">
        <v>181</v>
      </c>
      <c r="DW58" s="151" t="s">
        <v>421</v>
      </c>
      <c r="DX58" s="151" t="s">
        <v>962</v>
      </c>
      <c r="DY58" s="151">
        <v>7845</v>
      </c>
      <c r="EA58" t="s">
        <v>181</v>
      </c>
      <c r="EB58" t="s">
        <v>421</v>
      </c>
      <c r="EC58" t="s">
        <v>962</v>
      </c>
      <c r="ED58">
        <v>7845</v>
      </c>
    </row>
    <row r="59" spans="2:134">
      <c r="B59" s="4"/>
      <c r="C59" s="131" t="s">
        <v>886</v>
      </c>
      <c r="D59" s="134">
        <f>Exp</f>
        <v>-0.27759661900000004</v>
      </c>
      <c r="E59" s="4"/>
      <c r="F59" s="4" t="s">
        <v>887</v>
      </c>
      <c r="DA59">
        <v>37</v>
      </c>
      <c r="DC59">
        <v>1.85</v>
      </c>
      <c r="DP59" t="s">
        <v>382</v>
      </c>
      <c r="DQ59" t="s">
        <v>383</v>
      </c>
      <c r="DV59" s="150" t="s">
        <v>26</v>
      </c>
      <c r="DW59" s="151" t="s">
        <v>416</v>
      </c>
      <c r="DX59" s="151" t="s">
        <v>963</v>
      </c>
      <c r="DY59" s="151">
        <v>6934</v>
      </c>
      <c r="EA59" t="s">
        <v>26</v>
      </c>
      <c r="EB59" t="s">
        <v>416</v>
      </c>
      <c r="EC59" t="s">
        <v>963</v>
      </c>
      <c r="ED59">
        <v>6934</v>
      </c>
    </row>
    <row r="60" spans="2:134">
      <c r="B60" s="4"/>
      <c r="C60" s="131" t="s">
        <v>888</v>
      </c>
      <c r="D60" s="134">
        <f>Endu</f>
        <v>-0.35339979500000002</v>
      </c>
      <c r="E60" s="4"/>
      <c r="F60" s="4" t="s">
        <v>889</v>
      </c>
      <c r="DA60">
        <v>38</v>
      </c>
      <c r="DC60">
        <v>1.9</v>
      </c>
      <c r="DP60" t="s">
        <v>385</v>
      </c>
      <c r="DQ60" t="s">
        <v>386</v>
      </c>
      <c r="DV60" s="150" t="s">
        <v>330</v>
      </c>
      <c r="DW60" s="151" t="s">
        <v>416</v>
      </c>
      <c r="DX60" s="151" t="s">
        <v>964</v>
      </c>
      <c r="DY60" s="151">
        <v>9427</v>
      </c>
      <c r="EA60" t="s">
        <v>330</v>
      </c>
      <c r="EB60" t="s">
        <v>416</v>
      </c>
      <c r="EC60" t="s">
        <v>964</v>
      </c>
      <c r="ED60">
        <v>9427</v>
      </c>
    </row>
    <row r="61" spans="2:134">
      <c r="B61" s="4"/>
      <c r="C61" s="131" t="s">
        <v>890</v>
      </c>
      <c r="D61" s="134">
        <f>Motiv</f>
        <v>2.2387817000000001E-2</v>
      </c>
      <c r="E61" s="4"/>
      <c r="F61" s="4" t="s">
        <v>891</v>
      </c>
      <c r="DA61">
        <v>39</v>
      </c>
      <c r="DC61">
        <v>1.95</v>
      </c>
      <c r="DP61" t="s">
        <v>388</v>
      </c>
      <c r="DQ61" t="s">
        <v>389</v>
      </c>
      <c r="DV61" s="150" t="s">
        <v>31</v>
      </c>
      <c r="DW61" s="151" t="s">
        <v>416</v>
      </c>
      <c r="DX61" s="151" t="s">
        <v>965</v>
      </c>
      <c r="DY61" s="151">
        <v>11095</v>
      </c>
      <c r="EA61" t="s">
        <v>31</v>
      </c>
      <c r="EB61" t="s">
        <v>416</v>
      </c>
      <c r="EC61" t="s">
        <v>965</v>
      </c>
      <c r="ED61">
        <v>11095</v>
      </c>
    </row>
    <row r="62" spans="2:134">
      <c r="B62" s="4"/>
      <c r="C62" s="131" t="s">
        <v>892</v>
      </c>
      <c r="D62" s="134">
        <f>Agr</f>
        <v>-0.28312775300000004</v>
      </c>
      <c r="E62" s="4"/>
      <c r="F62" s="4" t="s">
        <v>893</v>
      </c>
      <c r="DA62">
        <v>40</v>
      </c>
      <c r="DC62">
        <v>2</v>
      </c>
      <c r="DP62" t="s">
        <v>392</v>
      </c>
      <c r="DQ62" t="s">
        <v>393</v>
      </c>
      <c r="DV62" s="150" t="s">
        <v>298</v>
      </c>
      <c r="DW62" s="151" t="s">
        <v>416</v>
      </c>
      <c r="DX62" s="151" t="s">
        <v>966</v>
      </c>
      <c r="DY62" s="151">
        <v>7226</v>
      </c>
      <c r="EA62" t="s">
        <v>298</v>
      </c>
      <c r="EB62" t="s">
        <v>416</v>
      </c>
      <c r="EC62" t="s">
        <v>966</v>
      </c>
      <c r="ED62">
        <v>7226</v>
      </c>
    </row>
    <row r="63" spans="2:134">
      <c r="B63" s="4"/>
      <c r="C63" s="131" t="s">
        <v>857</v>
      </c>
      <c r="D63" s="135">
        <f>talent</f>
        <v>-0.281445538</v>
      </c>
      <c r="E63" s="4"/>
      <c r="F63" s="4" t="s">
        <v>894</v>
      </c>
      <c r="DA63">
        <v>41</v>
      </c>
      <c r="DC63">
        <v>2.0499999999999998</v>
      </c>
      <c r="DP63" t="s">
        <v>394</v>
      </c>
      <c r="DQ63" t="s">
        <v>395</v>
      </c>
      <c r="DV63" s="150" t="s">
        <v>277</v>
      </c>
      <c r="DW63" s="151" t="s">
        <v>416</v>
      </c>
      <c r="DX63" s="151" t="s">
        <v>967</v>
      </c>
      <c r="DY63" s="151">
        <v>2990</v>
      </c>
      <c r="EA63" t="s">
        <v>277</v>
      </c>
      <c r="EB63" t="s">
        <v>416</v>
      </c>
      <c r="EC63" t="s">
        <v>967</v>
      </c>
      <c r="ED63">
        <v>2990</v>
      </c>
    </row>
    <row r="64" spans="2:134">
      <c r="C64" t="s">
        <v>387</v>
      </c>
      <c r="DA64">
        <v>42</v>
      </c>
      <c r="DC64">
        <v>2.1</v>
      </c>
      <c r="DP64" t="s">
        <v>396</v>
      </c>
      <c r="DQ64" t="s">
        <v>397</v>
      </c>
      <c r="DV64" s="150" t="s">
        <v>25</v>
      </c>
      <c r="DW64" s="151" t="s">
        <v>416</v>
      </c>
      <c r="DX64" s="151" t="s">
        <v>968</v>
      </c>
      <c r="DY64" s="151">
        <v>10824</v>
      </c>
      <c r="EA64" t="s">
        <v>25</v>
      </c>
      <c r="EB64" t="s">
        <v>416</v>
      </c>
      <c r="EC64" t="s">
        <v>968</v>
      </c>
      <c r="ED64">
        <v>10824</v>
      </c>
    </row>
    <row r="65" spans="3:134">
      <c r="C65" t="s">
        <v>390</v>
      </c>
      <c r="DA65">
        <v>43</v>
      </c>
      <c r="DC65">
        <v>2.15</v>
      </c>
      <c r="DP65" t="s">
        <v>399</v>
      </c>
      <c r="DQ65" t="s">
        <v>400</v>
      </c>
      <c r="DV65" s="150" t="s">
        <v>391</v>
      </c>
      <c r="DW65" s="151" t="s">
        <v>416</v>
      </c>
      <c r="DX65" s="151" t="s">
        <v>969</v>
      </c>
      <c r="DY65" s="151">
        <v>7439</v>
      </c>
      <c r="EA65" t="s">
        <v>391</v>
      </c>
      <c r="EB65" t="s">
        <v>416</v>
      </c>
      <c r="EC65" t="s">
        <v>969</v>
      </c>
      <c r="ED65">
        <v>7439</v>
      </c>
    </row>
    <row r="66" spans="3:134">
      <c r="DA66">
        <v>44</v>
      </c>
      <c r="DC66">
        <v>2.2000000000000002</v>
      </c>
      <c r="DP66" t="s">
        <v>401</v>
      </c>
      <c r="DQ66" t="s">
        <v>402</v>
      </c>
      <c r="DV66" s="150" t="s">
        <v>219</v>
      </c>
      <c r="DW66" s="151" t="s">
        <v>416</v>
      </c>
      <c r="DX66" s="151" t="s">
        <v>970</v>
      </c>
      <c r="DY66" s="151">
        <v>6478</v>
      </c>
      <c r="EA66" t="s">
        <v>219</v>
      </c>
      <c r="EB66" t="s">
        <v>416</v>
      </c>
      <c r="EC66" t="s">
        <v>970</v>
      </c>
      <c r="ED66">
        <v>6478</v>
      </c>
    </row>
    <row r="67" spans="3:134">
      <c r="DA67">
        <v>45</v>
      </c>
      <c r="DC67">
        <v>2.25</v>
      </c>
      <c r="DP67" t="s">
        <v>403</v>
      </c>
      <c r="DQ67" t="s">
        <v>404</v>
      </c>
      <c r="DV67" s="150" t="s">
        <v>358</v>
      </c>
      <c r="DW67" s="151" t="s">
        <v>416</v>
      </c>
      <c r="DX67" s="151" t="s">
        <v>971</v>
      </c>
      <c r="DY67" s="151">
        <v>7063</v>
      </c>
      <c r="EA67" t="s">
        <v>358</v>
      </c>
      <c r="EB67" t="s">
        <v>416</v>
      </c>
      <c r="EC67" t="s">
        <v>971</v>
      </c>
      <c r="ED67">
        <v>7063</v>
      </c>
    </row>
    <row r="68" spans="3:134" ht="26.4">
      <c r="Y68" s="63"/>
      <c r="Z68" s="63"/>
      <c r="AA68" s="63"/>
      <c r="AB68" s="63"/>
      <c r="AC68" s="63"/>
      <c r="AD68" s="63"/>
      <c r="AE68" s="63"/>
      <c r="AF68" s="63"/>
      <c r="AG68" s="64"/>
      <c r="AH68" s="64"/>
      <c r="DA68">
        <v>46</v>
      </c>
      <c r="DC68">
        <v>2.2999999999999998</v>
      </c>
      <c r="DP68" t="s">
        <v>407</v>
      </c>
      <c r="DQ68" t="s">
        <v>408</v>
      </c>
      <c r="DV68" s="150" t="s">
        <v>327</v>
      </c>
      <c r="DW68" s="151" t="s">
        <v>416</v>
      </c>
      <c r="DX68" s="151" t="s">
        <v>972</v>
      </c>
      <c r="DY68" s="151">
        <v>6949</v>
      </c>
      <c r="EA68" t="s">
        <v>327</v>
      </c>
      <c r="EB68" t="s">
        <v>416</v>
      </c>
      <c r="EC68" t="s">
        <v>972</v>
      </c>
      <c r="ED68">
        <v>6949</v>
      </c>
    </row>
    <row r="69" spans="3:134" ht="13.8">
      <c r="W69" s="65"/>
      <c r="X69" s="65"/>
      <c r="Y69" s="66"/>
      <c r="Z69" s="66"/>
      <c r="AA69" s="66"/>
      <c r="AB69" s="66"/>
      <c r="AC69" s="66"/>
      <c r="AD69" s="66"/>
      <c r="AE69" s="66"/>
      <c r="AF69" s="66"/>
      <c r="AG69" s="67"/>
      <c r="AH69" s="67"/>
      <c r="DA69">
        <v>47</v>
      </c>
      <c r="DC69">
        <v>2.35</v>
      </c>
      <c r="DP69" t="s">
        <v>413</v>
      </c>
      <c r="DQ69" t="s">
        <v>414</v>
      </c>
      <c r="DV69" s="150" t="s">
        <v>321</v>
      </c>
      <c r="DW69" s="151" t="s">
        <v>416</v>
      </c>
      <c r="DX69" s="151" t="s">
        <v>973</v>
      </c>
      <c r="DY69" s="151">
        <v>11195</v>
      </c>
      <c r="EA69" t="s">
        <v>321</v>
      </c>
      <c r="EB69" t="s">
        <v>416</v>
      </c>
      <c r="EC69" t="s">
        <v>973</v>
      </c>
      <c r="ED69">
        <v>11195</v>
      </c>
    </row>
    <row r="70" spans="3:134" ht="26.4">
      <c r="W70" s="65"/>
      <c r="X70" s="65"/>
      <c r="Y70" s="68"/>
      <c r="Z70" s="68"/>
      <c r="AA70" s="68"/>
      <c r="AB70" s="68"/>
      <c r="AC70" s="68"/>
      <c r="AD70" s="68"/>
      <c r="AE70" s="68"/>
      <c r="AF70" s="68"/>
      <c r="AG70" s="69"/>
      <c r="AH70" s="69"/>
      <c r="DA70">
        <v>48</v>
      </c>
      <c r="DC70">
        <v>2.4</v>
      </c>
      <c r="DP70" t="s">
        <v>418</v>
      </c>
      <c r="DQ70" t="s">
        <v>419</v>
      </c>
      <c r="DV70" s="150" t="s">
        <v>260</v>
      </c>
      <c r="DW70" s="151" t="s">
        <v>974</v>
      </c>
      <c r="DX70" s="151" t="s">
        <v>975</v>
      </c>
      <c r="DY70" s="151">
        <v>9196</v>
      </c>
      <c r="EA70" t="s">
        <v>260</v>
      </c>
      <c r="EB70" t="s">
        <v>974</v>
      </c>
      <c r="EC70" t="s">
        <v>975</v>
      </c>
      <c r="ED70">
        <v>9196</v>
      </c>
    </row>
    <row r="71" spans="3:134" ht="26.4">
      <c r="W71" s="65"/>
      <c r="X71" s="65"/>
      <c r="Y71" s="68"/>
      <c r="Z71" s="68"/>
      <c r="AA71" s="68"/>
      <c r="AB71" s="68"/>
      <c r="AC71" s="68"/>
      <c r="AD71" s="68"/>
      <c r="AE71" s="68"/>
      <c r="AF71" s="68"/>
      <c r="AG71" s="69"/>
      <c r="AH71" s="69"/>
      <c r="AZ71" t="s">
        <v>999</v>
      </c>
      <c r="BA71" t="s">
        <v>1000</v>
      </c>
      <c r="BB71" t="s">
        <v>987</v>
      </c>
      <c r="BC71" t="s">
        <v>153</v>
      </c>
      <c r="BD71" t="s">
        <v>1001</v>
      </c>
      <c r="BE71" t="s">
        <v>1002</v>
      </c>
      <c r="BF71" t="s">
        <v>1003</v>
      </c>
      <c r="BG71" t="s">
        <v>1004</v>
      </c>
      <c r="BH71" t="s">
        <v>1005</v>
      </c>
      <c r="BI71" t="s">
        <v>405</v>
      </c>
      <c r="BJ71" t="s">
        <v>280</v>
      </c>
      <c r="BK71" t="s">
        <v>406</v>
      </c>
      <c r="BL71" t="s">
        <v>1006</v>
      </c>
      <c r="BN71" t="s">
        <v>1008</v>
      </c>
      <c r="BO71" t="s">
        <v>1009</v>
      </c>
      <c r="BP71" t="s">
        <v>1007</v>
      </c>
      <c r="DA71">
        <v>49</v>
      </c>
      <c r="DC71">
        <v>2.4500000000000002</v>
      </c>
      <c r="DP71" t="s">
        <v>423</v>
      </c>
      <c r="DQ71" t="s">
        <v>424</v>
      </c>
      <c r="DV71" s="150" t="s">
        <v>315</v>
      </c>
      <c r="DW71" s="151" t="s">
        <v>421</v>
      </c>
      <c r="DX71" s="151" t="s">
        <v>976</v>
      </c>
      <c r="DY71" s="151">
        <v>2372</v>
      </c>
      <c r="EA71" t="s">
        <v>315</v>
      </c>
      <c r="EB71" t="s">
        <v>421</v>
      </c>
      <c r="EC71" t="s">
        <v>976</v>
      </c>
      <c r="ED71">
        <v>2372</v>
      </c>
    </row>
    <row r="72" spans="3:134" ht="13.8">
      <c r="W72" s="65"/>
      <c r="X72" s="65"/>
      <c r="Y72" s="68"/>
      <c r="Z72" s="68"/>
      <c r="AA72" s="68"/>
      <c r="AB72" s="68"/>
      <c r="AC72" s="68"/>
      <c r="AD72" s="68"/>
      <c r="AE72" s="68"/>
      <c r="AF72" s="68"/>
      <c r="AG72" s="69"/>
      <c r="AH72" s="69"/>
      <c r="AZ72" s="70" t="s">
        <v>169</v>
      </c>
      <c r="BA72" s="71" t="s">
        <v>409</v>
      </c>
      <c r="BB72" s="72" t="s">
        <v>410</v>
      </c>
      <c r="BC72" s="72" t="s">
        <v>411</v>
      </c>
      <c r="BD72" s="72" t="s">
        <v>412</v>
      </c>
      <c r="BE72" s="73" t="s">
        <v>411</v>
      </c>
      <c r="BF72" s="73">
        <v>4.3250000000000002</v>
      </c>
      <c r="BG72" s="72">
        <v>71</v>
      </c>
      <c r="BH72" s="71">
        <f>BG72*BF72</f>
        <v>307.07499999999999</v>
      </c>
      <c r="BI72" s="72">
        <v>13</v>
      </c>
      <c r="BJ72" s="72">
        <v>8</v>
      </c>
      <c r="BK72" s="72">
        <v>9</v>
      </c>
      <c r="BL72" s="74">
        <v>226.29</v>
      </c>
      <c r="BM72" s="72"/>
      <c r="BN72" s="72">
        <v>9</v>
      </c>
      <c r="BO72" s="71">
        <v>21</v>
      </c>
      <c r="BP72" s="72" t="s">
        <v>409</v>
      </c>
      <c r="DA72">
        <v>50</v>
      </c>
      <c r="DC72">
        <v>2.5</v>
      </c>
      <c r="DP72" t="s">
        <v>426</v>
      </c>
      <c r="DQ72" t="s">
        <v>427</v>
      </c>
      <c r="DV72" s="150" t="s">
        <v>290</v>
      </c>
      <c r="DW72" s="151" t="s">
        <v>974</v>
      </c>
      <c r="DX72" s="151" t="s">
        <v>977</v>
      </c>
      <c r="DY72" s="151">
        <v>9467</v>
      </c>
      <c r="EA72" t="s">
        <v>290</v>
      </c>
      <c r="EB72" t="s">
        <v>974</v>
      </c>
      <c r="EC72" t="s">
        <v>977</v>
      </c>
      <c r="ED72">
        <v>9467</v>
      </c>
    </row>
    <row r="73" spans="3:134" ht="13.8">
      <c r="W73" s="65"/>
      <c r="X73" s="65"/>
      <c r="Y73" s="68"/>
      <c r="Z73" s="68"/>
      <c r="AA73" s="68"/>
      <c r="AB73" s="68"/>
      <c r="AC73" s="68"/>
      <c r="AD73" s="68"/>
      <c r="AE73" s="68"/>
      <c r="AF73" s="68"/>
      <c r="AG73" s="69"/>
      <c r="AH73" s="69"/>
      <c r="AZ73" s="70" t="s">
        <v>36</v>
      </c>
      <c r="BA73" s="72" t="s">
        <v>415</v>
      </c>
      <c r="BB73" s="72" t="s">
        <v>416</v>
      </c>
      <c r="BC73" s="72" t="s">
        <v>411</v>
      </c>
      <c r="BD73" s="72" t="s">
        <v>417</v>
      </c>
      <c r="BE73" s="73" t="s">
        <v>411</v>
      </c>
      <c r="BF73" s="73">
        <v>3.78</v>
      </c>
      <c r="BG73" s="72">
        <v>79</v>
      </c>
      <c r="BH73" s="73">
        <f>BG73*BF73</f>
        <v>298.62</v>
      </c>
      <c r="BI73" s="72">
        <v>8</v>
      </c>
      <c r="BJ73" s="72">
        <v>9</v>
      </c>
      <c r="BK73" s="72">
        <v>10</v>
      </c>
      <c r="BL73" s="74">
        <v>190.87</v>
      </c>
      <c r="BM73" s="72"/>
      <c r="BN73" s="72">
        <v>12</v>
      </c>
      <c r="BO73" s="71">
        <v>19.5</v>
      </c>
      <c r="BP73" s="72" t="s">
        <v>409</v>
      </c>
      <c r="DP73" t="s">
        <v>428</v>
      </c>
      <c r="DQ73" t="s">
        <v>429</v>
      </c>
      <c r="DV73" s="150" t="s">
        <v>187</v>
      </c>
      <c r="DW73" s="151" t="s">
        <v>974</v>
      </c>
      <c r="DX73" s="151" t="s">
        <v>978</v>
      </c>
      <c r="DY73" s="151">
        <v>8987</v>
      </c>
      <c r="EA73" t="s">
        <v>187</v>
      </c>
      <c r="EB73" t="s">
        <v>974</v>
      </c>
      <c r="EC73" t="s">
        <v>978</v>
      </c>
      <c r="ED73">
        <v>8987</v>
      </c>
    </row>
    <row r="74" spans="3:134" ht="13.8">
      <c r="W74" s="65"/>
      <c r="X74" s="65"/>
      <c r="Y74" s="68"/>
      <c r="Z74" s="68"/>
      <c r="AA74" s="68"/>
      <c r="AB74" s="68"/>
      <c r="AC74" s="68"/>
      <c r="AD74" s="68"/>
      <c r="AE74" s="68"/>
      <c r="AF74" s="68"/>
      <c r="AG74" s="69"/>
      <c r="AH74" s="69"/>
      <c r="AZ74" s="70" t="s">
        <v>181</v>
      </c>
      <c r="BA74" s="72" t="s">
        <v>420</v>
      </c>
      <c r="BB74" s="72" t="s">
        <v>421</v>
      </c>
      <c r="BC74" s="72" t="s">
        <v>422</v>
      </c>
      <c r="BD74" s="72" t="s">
        <v>411</v>
      </c>
      <c r="BE74" s="73" t="s">
        <v>412</v>
      </c>
      <c r="BF74" s="73">
        <v>3.04</v>
      </c>
      <c r="BG74" s="72">
        <v>80</v>
      </c>
      <c r="BH74" s="73">
        <f>BG74*BF74</f>
        <v>243.2</v>
      </c>
      <c r="BI74" s="72">
        <v>5</v>
      </c>
      <c r="BJ74" s="72">
        <v>10</v>
      </c>
      <c r="BK74" s="72">
        <v>7</v>
      </c>
      <c r="BL74" s="74">
        <v>148.41999999999999</v>
      </c>
      <c r="BM74" s="72"/>
      <c r="BN74" s="72">
        <v>10</v>
      </c>
      <c r="BO74" s="71">
        <v>11.5</v>
      </c>
      <c r="BP74" s="72" t="s">
        <v>421</v>
      </c>
      <c r="DP74" t="s">
        <v>432</v>
      </c>
      <c r="DQ74" t="s">
        <v>433</v>
      </c>
      <c r="DV74" s="150" t="s">
        <v>367</v>
      </c>
      <c r="DW74" s="151" t="s">
        <v>416</v>
      </c>
      <c r="DX74" s="151" t="s">
        <v>979</v>
      </c>
      <c r="DY74" s="151">
        <v>5680</v>
      </c>
      <c r="EA74" t="s">
        <v>367</v>
      </c>
      <c r="EB74" t="s">
        <v>416</v>
      </c>
      <c r="EC74" t="s">
        <v>979</v>
      </c>
      <c r="ED74">
        <v>5680</v>
      </c>
    </row>
    <row r="75" spans="3:134" ht="13.8">
      <c r="W75" s="65"/>
      <c r="X75" s="65"/>
      <c r="Y75" s="68"/>
      <c r="Z75" s="68"/>
      <c r="AA75" s="68"/>
      <c r="AB75" s="68"/>
      <c r="AC75" s="68"/>
      <c r="AD75" s="68"/>
      <c r="AE75" s="68"/>
      <c r="AF75" s="68"/>
      <c r="AG75" s="69"/>
      <c r="AH75" s="69"/>
      <c r="AZ75" s="70" t="s">
        <v>187</v>
      </c>
      <c r="BA75" s="71" t="s">
        <v>409</v>
      </c>
      <c r="BB75" s="72" t="s">
        <v>425</v>
      </c>
      <c r="BC75" s="72" t="s">
        <v>422</v>
      </c>
      <c r="BD75" s="72" t="s">
        <v>412</v>
      </c>
      <c r="BE75" s="73" t="s">
        <v>411</v>
      </c>
      <c r="BF75" s="73">
        <v>4.0259999999999998</v>
      </c>
      <c r="BG75" s="72">
        <v>70</v>
      </c>
      <c r="BH75" s="73">
        <f>BG75*BF75</f>
        <v>281.82</v>
      </c>
      <c r="BI75" s="72">
        <v>9</v>
      </c>
      <c r="BJ75" s="72">
        <v>11</v>
      </c>
      <c r="BK75" s="72">
        <v>9</v>
      </c>
      <c r="BL75" s="74">
        <v>203.49</v>
      </c>
      <c r="BM75" s="72"/>
      <c r="BN75" s="72">
        <v>10</v>
      </c>
      <c r="BO75" s="71">
        <v>13.5</v>
      </c>
      <c r="BP75" s="72" t="s">
        <v>409</v>
      </c>
      <c r="DP75" t="s">
        <v>434</v>
      </c>
      <c r="DQ75" t="s">
        <v>435</v>
      </c>
      <c r="DV75" s="150" t="s">
        <v>34</v>
      </c>
      <c r="DW75" s="151" t="s">
        <v>974</v>
      </c>
      <c r="DX75" s="151" t="s">
        <v>980</v>
      </c>
      <c r="DY75" s="151">
        <v>12429</v>
      </c>
      <c r="EA75" t="s">
        <v>34</v>
      </c>
      <c r="EB75" t="s">
        <v>974</v>
      </c>
      <c r="EC75" t="s">
        <v>980</v>
      </c>
      <c r="ED75">
        <v>12429</v>
      </c>
    </row>
    <row r="76" spans="3:134" ht="13.8" customHeight="1">
      <c r="W76" s="65"/>
      <c r="X76" s="65"/>
      <c r="Y76" s="68"/>
      <c r="Z76" s="68"/>
      <c r="AA76" s="68"/>
      <c r="AB76" s="68"/>
      <c r="AC76" s="68"/>
      <c r="AD76" s="68"/>
      <c r="AE76" s="68"/>
      <c r="AF76" s="68"/>
      <c r="AG76" s="69"/>
      <c r="AH76" s="69"/>
      <c r="AZ76" s="70" t="s">
        <v>29</v>
      </c>
      <c r="BA76" s="72" t="s">
        <v>415</v>
      </c>
      <c r="BB76" s="72" t="s">
        <v>410</v>
      </c>
      <c r="BC76" s="72" t="s">
        <v>430</v>
      </c>
      <c r="BD76" s="72" t="s">
        <v>411</v>
      </c>
      <c r="BE76" s="73" t="s">
        <v>411</v>
      </c>
      <c r="BF76" s="73">
        <v>5.516</v>
      </c>
      <c r="BG76" s="72">
        <v>56</v>
      </c>
      <c r="BH76" s="73">
        <f>BG76*BF76</f>
        <v>308.89600000000002</v>
      </c>
      <c r="BI76" s="72">
        <v>11</v>
      </c>
      <c r="BJ76" s="72">
        <v>18</v>
      </c>
      <c r="BK76" s="72">
        <v>10</v>
      </c>
      <c r="BL76" s="74">
        <v>190.27</v>
      </c>
      <c r="BM76" s="72"/>
      <c r="BN76" s="72">
        <v>20</v>
      </c>
      <c r="BO76" s="71">
        <v>17.5</v>
      </c>
      <c r="BP76" s="72" t="s">
        <v>431</v>
      </c>
      <c r="DP76" t="s">
        <v>436</v>
      </c>
      <c r="DQ76" t="s">
        <v>437</v>
      </c>
      <c r="DV76" s="150" t="s">
        <v>997</v>
      </c>
      <c r="DW76" s="151" t="s">
        <v>421</v>
      </c>
      <c r="DX76" s="151" t="s">
        <v>1</v>
      </c>
      <c r="DY76" s="151">
        <v>0</v>
      </c>
      <c r="EA76" t="s">
        <v>997</v>
      </c>
      <c r="EB76" t="s">
        <v>421</v>
      </c>
      <c r="EC76" t="s">
        <v>1</v>
      </c>
      <c r="ED76">
        <v>0</v>
      </c>
    </row>
    <row r="77" spans="3:134" ht="13.8">
      <c r="W77" s="65"/>
      <c r="X77" s="65"/>
      <c r="Y77" s="68"/>
      <c r="Z77" s="68"/>
      <c r="AA77" s="68"/>
      <c r="AB77" s="68"/>
      <c r="AC77" s="68"/>
      <c r="AD77" s="68"/>
      <c r="AE77" s="68"/>
      <c r="AF77" s="68"/>
      <c r="AG77" s="69"/>
      <c r="AH77" s="69"/>
      <c r="AZ77" s="70" t="s">
        <v>27</v>
      </c>
      <c r="BI77" s="4">
        <v>22</v>
      </c>
      <c r="BJ77" s="4">
        <v>3</v>
      </c>
      <c r="BK77" s="4">
        <v>9</v>
      </c>
      <c r="DP77" t="s">
        <v>438</v>
      </c>
      <c r="DQ77" t="s">
        <v>439</v>
      </c>
      <c r="DV77" t="s">
        <v>1</v>
      </c>
      <c r="DW77" t="s">
        <v>1</v>
      </c>
      <c r="DX77" t="s">
        <v>1</v>
      </c>
      <c r="DY77" t="s">
        <v>1</v>
      </c>
      <c r="EA77" t="s">
        <v>998</v>
      </c>
      <c r="EB77" t="s">
        <v>1</v>
      </c>
      <c r="EC77" t="s">
        <v>1</v>
      </c>
      <c r="ED77" t="s">
        <v>1</v>
      </c>
    </row>
    <row r="78" spans="3:134" ht="13.8">
      <c r="W78" s="65"/>
      <c r="X78" s="65"/>
      <c r="Y78" s="68"/>
      <c r="Z78" s="68"/>
      <c r="AA78" s="68"/>
      <c r="AB78" s="68"/>
      <c r="AC78" s="68"/>
      <c r="AD78" s="68"/>
      <c r="AE78" s="68"/>
      <c r="AF78" s="68"/>
      <c r="AG78" s="69"/>
      <c r="AH78" s="69"/>
      <c r="AZ78" s="70" t="s">
        <v>208</v>
      </c>
      <c r="BI78" s="72">
        <v>18</v>
      </c>
      <c r="BJ78" s="72">
        <v>8</v>
      </c>
      <c r="BK78" s="72">
        <v>16</v>
      </c>
      <c r="DP78" t="s">
        <v>441</v>
      </c>
      <c r="DQ78" t="s">
        <v>442</v>
      </c>
    </row>
    <row r="79" spans="3:134" ht="13.8">
      <c r="W79" s="65"/>
      <c r="X79" s="65"/>
      <c r="Y79" s="68"/>
      <c r="Z79" s="68"/>
      <c r="AA79" s="68"/>
      <c r="AB79" s="68"/>
      <c r="AC79" s="68"/>
      <c r="AD79" s="68"/>
      <c r="AE79" s="68"/>
      <c r="AF79" s="68"/>
      <c r="AG79" s="69"/>
      <c r="AH79" s="69"/>
      <c r="AZ79" s="70" t="s">
        <v>219</v>
      </c>
      <c r="BA79" s="72" t="s">
        <v>415</v>
      </c>
      <c r="BB79" s="72" t="s">
        <v>416</v>
      </c>
      <c r="BC79" s="72" t="s">
        <v>422</v>
      </c>
      <c r="BD79" s="72" t="s">
        <v>412</v>
      </c>
      <c r="BE79" s="73" t="s">
        <v>411</v>
      </c>
      <c r="BF79" s="73">
        <v>4.7279999999999998</v>
      </c>
      <c r="BG79" s="72">
        <v>65</v>
      </c>
      <c r="BH79" s="73">
        <f>BG79*BF79</f>
        <v>307.32</v>
      </c>
      <c r="BI79" s="72">
        <v>11</v>
      </c>
      <c r="BJ79" s="72">
        <v>13</v>
      </c>
      <c r="BK79" s="72">
        <v>8</v>
      </c>
      <c r="BL79" s="74">
        <v>217.02</v>
      </c>
      <c r="BM79" s="72"/>
      <c r="BN79" s="72">
        <v>16</v>
      </c>
      <c r="BO79" s="71">
        <v>21</v>
      </c>
      <c r="BP79" s="72" t="s">
        <v>409</v>
      </c>
      <c r="DP79" t="s">
        <v>443</v>
      </c>
      <c r="DQ79" t="s">
        <v>444</v>
      </c>
    </row>
    <row r="80" spans="3:134" ht="13.8">
      <c r="W80" s="65"/>
      <c r="X80" s="65"/>
      <c r="Y80" s="68"/>
      <c r="Z80" s="68"/>
      <c r="AA80" s="68"/>
      <c r="AB80" s="68"/>
      <c r="AC80" s="68"/>
      <c r="AD80" s="68"/>
      <c r="AE80" s="68"/>
      <c r="AF80" s="68"/>
      <c r="AG80" s="69"/>
      <c r="AH80" s="69"/>
      <c r="AZ80" s="70" t="s">
        <v>228</v>
      </c>
      <c r="BA80" s="72" t="s">
        <v>415</v>
      </c>
      <c r="BB80" s="72" t="s">
        <v>421</v>
      </c>
      <c r="BC80" s="72" t="s">
        <v>411</v>
      </c>
      <c r="BD80" s="72" t="s">
        <v>417</v>
      </c>
      <c r="BE80" s="73" t="s">
        <v>417</v>
      </c>
      <c r="BF80" s="73">
        <v>4.2069999999999999</v>
      </c>
      <c r="BG80" s="72">
        <v>75</v>
      </c>
      <c r="BH80" s="73">
        <f>BG80*BF80</f>
        <v>315.52499999999998</v>
      </c>
      <c r="BI80" s="72">
        <v>10</v>
      </c>
      <c r="BJ80" s="72">
        <v>12</v>
      </c>
      <c r="BK80" s="72">
        <v>8</v>
      </c>
      <c r="BL80" s="74">
        <v>211.02</v>
      </c>
      <c r="BM80" s="72"/>
      <c r="BN80" s="72">
        <v>12</v>
      </c>
      <c r="BO80" s="71">
        <v>25.5</v>
      </c>
      <c r="BP80" s="72" t="s">
        <v>421</v>
      </c>
      <c r="DP80" t="s">
        <v>446</v>
      </c>
      <c r="DQ80" t="s">
        <v>447</v>
      </c>
    </row>
    <row r="81" spans="23:121" ht="13.8">
      <c r="W81" s="65"/>
      <c r="X81" s="65"/>
      <c r="Y81" s="68"/>
      <c r="Z81" s="68"/>
      <c r="AA81" s="68"/>
      <c r="AB81" s="68"/>
      <c r="AC81" s="68"/>
      <c r="AD81" s="68"/>
      <c r="AE81" s="68"/>
      <c r="AF81" s="68"/>
      <c r="AG81" s="69"/>
      <c r="AH81" s="69"/>
      <c r="AZ81" s="70" t="s">
        <v>236</v>
      </c>
      <c r="BA81" s="72" t="s">
        <v>415</v>
      </c>
      <c r="BB81" s="72" t="s">
        <v>416</v>
      </c>
      <c r="BC81" s="72" t="s">
        <v>430</v>
      </c>
      <c r="BD81" s="72" t="s">
        <v>412</v>
      </c>
      <c r="BE81" s="73" t="s">
        <v>411</v>
      </c>
      <c r="BF81" s="73">
        <v>5.4749999999999996</v>
      </c>
      <c r="BG81" s="72">
        <v>55</v>
      </c>
      <c r="BH81" s="73">
        <f>BG81*BF81</f>
        <v>301.125</v>
      </c>
      <c r="BI81" s="72">
        <v>16</v>
      </c>
      <c r="BJ81" s="72">
        <v>15</v>
      </c>
      <c r="BK81" s="72">
        <v>7</v>
      </c>
      <c r="BL81" s="74">
        <v>206.08</v>
      </c>
      <c r="BM81" s="72"/>
      <c r="BN81" s="72">
        <v>12</v>
      </c>
      <c r="BO81" s="71">
        <v>13.5</v>
      </c>
      <c r="BP81" s="72" t="s">
        <v>421</v>
      </c>
      <c r="DP81" t="s">
        <v>449</v>
      </c>
      <c r="DQ81" t="s">
        <v>450</v>
      </c>
    </row>
    <row r="82" spans="23:121" ht="13.8">
      <c r="W82" s="65"/>
      <c r="X82" s="65"/>
      <c r="Y82" s="68"/>
      <c r="Z82" s="68"/>
      <c r="AA82" s="68"/>
      <c r="AB82" s="68"/>
      <c r="AC82" s="68"/>
      <c r="AD82" s="68"/>
      <c r="AE82" s="68"/>
      <c r="AF82" s="68"/>
      <c r="AG82" s="69"/>
      <c r="AH82" s="69"/>
      <c r="AZ82" s="70" t="s">
        <v>440</v>
      </c>
      <c r="BI82" s="4">
        <v>8</v>
      </c>
      <c r="BJ82" s="4">
        <v>26</v>
      </c>
      <c r="BK82" s="4">
        <v>17</v>
      </c>
      <c r="DP82" t="s">
        <v>451</v>
      </c>
      <c r="DQ82" t="s">
        <v>452</v>
      </c>
    </row>
    <row r="83" spans="23:121" ht="13.8">
      <c r="W83" s="65"/>
      <c r="X83" s="65"/>
      <c r="Y83" s="68"/>
      <c r="Z83" s="68"/>
      <c r="AA83" s="68"/>
      <c r="AB83" s="68"/>
      <c r="AC83" s="68"/>
      <c r="AD83" s="68"/>
      <c r="AE83" s="68"/>
      <c r="AF83" s="68"/>
      <c r="AG83" s="69"/>
      <c r="AH83" s="69"/>
      <c r="AZ83" s="70" t="s">
        <v>250</v>
      </c>
      <c r="BA83" s="72" t="s">
        <v>415</v>
      </c>
      <c r="BB83" s="72" t="s">
        <v>410</v>
      </c>
      <c r="BC83" s="72" t="s">
        <v>411</v>
      </c>
      <c r="BD83" s="72" t="s">
        <v>411</v>
      </c>
      <c r="BE83" s="73" t="s">
        <v>412</v>
      </c>
      <c r="BF83" s="73">
        <v>5.4039999999999999</v>
      </c>
      <c r="BG83" s="72">
        <v>57</v>
      </c>
      <c r="BH83" s="73">
        <f t="shared" ref="BH83:BH97" si="33">BG83*BF83</f>
        <v>308.02800000000002</v>
      </c>
      <c r="BI83" s="72">
        <v>12</v>
      </c>
      <c r="BJ83" s="72">
        <v>12</v>
      </c>
      <c r="BK83" s="72">
        <v>14</v>
      </c>
      <c r="BL83" s="74">
        <v>206.57</v>
      </c>
      <c r="BM83" s="72"/>
      <c r="BN83" s="72">
        <v>15</v>
      </c>
      <c r="BO83" s="71">
        <v>14</v>
      </c>
      <c r="BP83" s="72" t="s">
        <v>421</v>
      </c>
      <c r="DP83" t="s">
        <v>453</v>
      </c>
      <c r="DQ83" t="s">
        <v>454</v>
      </c>
    </row>
    <row r="84" spans="23:121" ht="13.8">
      <c r="W84" s="65"/>
      <c r="X84" s="65"/>
      <c r="Y84" s="68"/>
      <c r="Z84" s="68"/>
      <c r="AA84" s="68"/>
      <c r="AB84" s="68"/>
      <c r="AC84" s="68"/>
      <c r="AD84" s="68"/>
      <c r="AE84" s="68"/>
      <c r="AF84" s="68"/>
      <c r="AG84" s="69"/>
      <c r="AH84" s="69"/>
      <c r="AZ84" s="70" t="s">
        <v>255</v>
      </c>
      <c r="BA84" s="71" t="s">
        <v>409</v>
      </c>
      <c r="BB84" s="72" t="s">
        <v>410</v>
      </c>
      <c r="BC84" s="72" t="s">
        <v>430</v>
      </c>
      <c r="BD84" s="72" t="s">
        <v>445</v>
      </c>
      <c r="BE84" s="73" t="s">
        <v>417</v>
      </c>
      <c r="BF84" s="73">
        <v>3.0710000000000002</v>
      </c>
      <c r="BG84" s="72">
        <v>80</v>
      </c>
      <c r="BH84" s="73">
        <f t="shared" si="33"/>
        <v>245.68</v>
      </c>
      <c r="BI84" s="72">
        <v>8</v>
      </c>
      <c r="BJ84" s="72">
        <v>6</v>
      </c>
      <c r="BK84" s="72">
        <v>8</v>
      </c>
      <c r="BL84" s="74">
        <v>146.34</v>
      </c>
      <c r="BM84" s="72"/>
      <c r="BN84" s="72">
        <v>14</v>
      </c>
      <c r="BO84" s="71">
        <v>24</v>
      </c>
      <c r="BP84" s="72" t="s">
        <v>421</v>
      </c>
      <c r="DP84" t="s">
        <v>455</v>
      </c>
      <c r="DQ84" t="s">
        <v>456</v>
      </c>
    </row>
    <row r="85" spans="23:121" ht="13.8">
      <c r="W85" s="65"/>
      <c r="X85" s="65"/>
      <c r="Y85" s="68"/>
      <c r="Z85" s="68"/>
      <c r="AA85" s="68"/>
      <c r="AB85" s="68"/>
      <c r="AC85" s="68"/>
      <c r="AD85" s="68"/>
      <c r="AE85" s="68"/>
      <c r="AF85" s="68"/>
      <c r="AG85" s="69"/>
      <c r="AH85" s="69"/>
      <c r="AZ85" s="70" t="s">
        <v>260</v>
      </c>
      <c r="BA85" s="72" t="s">
        <v>420</v>
      </c>
      <c r="BB85" s="72" t="s">
        <v>425</v>
      </c>
      <c r="BC85" s="72" t="s">
        <v>430</v>
      </c>
      <c r="BD85" s="72" t="s">
        <v>448</v>
      </c>
      <c r="BE85" s="73" t="s">
        <v>412</v>
      </c>
      <c r="BF85" s="73">
        <v>4.258</v>
      </c>
      <c r="BG85" s="72">
        <v>72</v>
      </c>
      <c r="BH85" s="73">
        <f t="shared" si="33"/>
        <v>306.57600000000002</v>
      </c>
      <c r="BI85" s="72">
        <v>12</v>
      </c>
      <c r="BJ85" s="72">
        <v>11</v>
      </c>
      <c r="BK85" s="72">
        <v>9</v>
      </c>
      <c r="BL85" s="74">
        <v>185.31</v>
      </c>
      <c r="BM85" s="72"/>
      <c r="BN85" s="72">
        <v>16</v>
      </c>
      <c r="BO85" s="71">
        <v>19.5</v>
      </c>
      <c r="BP85" s="72" t="s">
        <v>421</v>
      </c>
      <c r="DP85" t="s">
        <v>457</v>
      </c>
      <c r="DQ85" t="s">
        <v>458</v>
      </c>
    </row>
    <row r="86" spans="23:121" ht="13.8">
      <c r="W86" s="65"/>
      <c r="X86" s="65"/>
      <c r="Y86" s="68"/>
      <c r="Z86" s="68"/>
      <c r="AA86" s="68"/>
      <c r="AB86" s="68"/>
      <c r="AC86" s="68"/>
      <c r="AD86" s="68"/>
      <c r="AE86" s="68"/>
      <c r="AF86" s="68"/>
      <c r="AG86" s="69"/>
      <c r="AH86" s="69"/>
      <c r="AZ86" s="70" t="s">
        <v>263</v>
      </c>
      <c r="BA86" s="72" t="s">
        <v>415</v>
      </c>
      <c r="BB86" s="72" t="s">
        <v>421</v>
      </c>
      <c r="BC86" s="72" t="s">
        <v>411</v>
      </c>
      <c r="BD86" s="72" t="s">
        <v>411</v>
      </c>
      <c r="BE86" s="73" t="s">
        <v>411</v>
      </c>
      <c r="BF86" s="73">
        <v>4.3600000000000003</v>
      </c>
      <c r="BG86" s="72">
        <v>70</v>
      </c>
      <c r="BH86" s="73">
        <f t="shared" si="33"/>
        <v>305.20000000000005</v>
      </c>
      <c r="BI86" s="72">
        <v>11</v>
      </c>
      <c r="BJ86" s="72">
        <v>8</v>
      </c>
      <c r="BK86" s="72">
        <v>14</v>
      </c>
      <c r="BL86" s="74">
        <v>221.29</v>
      </c>
      <c r="BM86" s="72"/>
      <c r="BN86" s="72">
        <v>13</v>
      </c>
      <c r="BO86" s="71">
        <v>22.5</v>
      </c>
      <c r="BP86" s="72" t="s">
        <v>409</v>
      </c>
      <c r="DP86" t="s">
        <v>460</v>
      </c>
      <c r="DQ86" t="s">
        <v>461</v>
      </c>
    </row>
    <row r="87" spans="23:121" ht="13.8">
      <c r="W87" s="65"/>
      <c r="X87" s="65"/>
      <c r="Y87" s="68"/>
      <c r="Z87" s="68"/>
      <c r="AA87" s="68"/>
      <c r="AB87" s="68"/>
      <c r="AC87" s="68"/>
      <c r="AD87" s="68"/>
      <c r="AE87" s="68"/>
      <c r="AF87" s="68"/>
      <c r="AG87" s="69"/>
      <c r="AH87" s="69"/>
      <c r="AZ87" s="70" t="s">
        <v>270</v>
      </c>
      <c r="BA87" s="72" t="s">
        <v>415</v>
      </c>
      <c r="BB87" s="72" t="s">
        <v>421</v>
      </c>
      <c r="BC87" s="72" t="s">
        <v>430</v>
      </c>
      <c r="BD87" s="72" t="s">
        <v>445</v>
      </c>
      <c r="BE87" s="73" t="s">
        <v>412</v>
      </c>
      <c r="BF87" s="73">
        <v>3.02</v>
      </c>
      <c r="BG87" s="72">
        <v>79</v>
      </c>
      <c r="BH87" s="73">
        <f t="shared" si="33"/>
        <v>238.58</v>
      </c>
      <c r="BI87" s="72">
        <v>8</v>
      </c>
      <c r="BJ87" s="72">
        <v>6</v>
      </c>
      <c r="BK87" s="72">
        <v>7</v>
      </c>
      <c r="BL87" s="74">
        <v>183.36</v>
      </c>
      <c r="BM87" s="72"/>
      <c r="BN87" s="72">
        <v>14</v>
      </c>
      <c r="BO87" s="71">
        <v>16.5</v>
      </c>
      <c r="BP87" s="72" t="s">
        <v>409</v>
      </c>
      <c r="DP87" t="s">
        <v>462</v>
      </c>
      <c r="DQ87" t="s">
        <v>463</v>
      </c>
    </row>
    <row r="88" spans="23:121" ht="13.8">
      <c r="W88" s="65"/>
      <c r="X88" s="65"/>
      <c r="Y88" s="68"/>
      <c r="Z88" s="68"/>
      <c r="AA88" s="68"/>
      <c r="AB88" s="68"/>
      <c r="AC88" s="68"/>
      <c r="AD88" s="68"/>
      <c r="AE88" s="68"/>
      <c r="AF88" s="68"/>
      <c r="AG88" s="69"/>
      <c r="AH88" s="69"/>
      <c r="AZ88" s="70" t="s">
        <v>274</v>
      </c>
      <c r="BA88" s="71" t="s">
        <v>409</v>
      </c>
      <c r="BB88" s="72" t="s">
        <v>410</v>
      </c>
      <c r="BC88" s="72" t="s">
        <v>411</v>
      </c>
      <c r="BD88" s="72" t="s">
        <v>411</v>
      </c>
      <c r="BE88" s="73" t="s">
        <v>411</v>
      </c>
      <c r="BF88" s="73">
        <v>4.5579999999999998</v>
      </c>
      <c r="BG88" s="72">
        <v>67</v>
      </c>
      <c r="BH88" s="73">
        <f t="shared" si="33"/>
        <v>305.38599999999997</v>
      </c>
      <c r="BI88" s="72">
        <v>13</v>
      </c>
      <c r="BJ88" s="72">
        <v>11</v>
      </c>
      <c r="BK88" s="72">
        <v>8</v>
      </c>
      <c r="BL88" s="74">
        <v>191.99</v>
      </c>
      <c r="BM88" s="72"/>
      <c r="BN88" s="72">
        <v>16</v>
      </c>
      <c r="BO88" s="71">
        <v>18.5</v>
      </c>
      <c r="BP88" s="72" t="s">
        <v>421</v>
      </c>
      <c r="DP88" t="s">
        <v>464</v>
      </c>
      <c r="DQ88" t="s">
        <v>465</v>
      </c>
    </row>
    <row r="89" spans="23:121" ht="13.8">
      <c r="W89" s="65"/>
      <c r="X89" s="65"/>
      <c r="Y89" s="68"/>
      <c r="Z89" s="68"/>
      <c r="AA89" s="68"/>
      <c r="AB89" s="68"/>
      <c r="AC89" s="68"/>
      <c r="AD89" s="68"/>
      <c r="AE89" s="68"/>
      <c r="AF89" s="68"/>
      <c r="AG89" s="69"/>
      <c r="AH89" s="69"/>
      <c r="AZ89" s="70" t="s">
        <v>281</v>
      </c>
      <c r="BA89" s="72" t="s">
        <v>415</v>
      </c>
      <c r="BB89" s="72" t="s">
        <v>421</v>
      </c>
      <c r="BC89" s="72" t="s">
        <v>422</v>
      </c>
      <c r="BD89" s="72" t="s">
        <v>412</v>
      </c>
      <c r="BE89" s="73" t="s">
        <v>411</v>
      </c>
      <c r="BF89" s="73">
        <v>4.5730000000000004</v>
      </c>
      <c r="BG89" s="72">
        <v>67</v>
      </c>
      <c r="BH89" s="73">
        <f t="shared" si="33"/>
        <v>306.39100000000002</v>
      </c>
      <c r="BI89" s="72">
        <v>12</v>
      </c>
      <c r="BJ89" s="72">
        <v>9</v>
      </c>
      <c r="BK89" s="72">
        <v>11</v>
      </c>
      <c r="BL89" s="74">
        <v>238.22</v>
      </c>
      <c r="BM89" s="72"/>
      <c r="BN89" s="72">
        <v>12</v>
      </c>
      <c r="BO89" s="71">
        <v>16.5</v>
      </c>
      <c r="BP89" s="72" t="s">
        <v>431</v>
      </c>
      <c r="DP89" t="s">
        <v>467</v>
      </c>
      <c r="DQ89" t="s">
        <v>468</v>
      </c>
    </row>
    <row r="90" spans="23:121" ht="13.8">
      <c r="W90" s="65"/>
      <c r="X90" s="65"/>
      <c r="Y90" s="68"/>
      <c r="Z90" s="68"/>
      <c r="AA90" s="68"/>
      <c r="AB90" s="68"/>
      <c r="AC90" s="68"/>
      <c r="AD90" s="68"/>
      <c r="AE90" s="68"/>
      <c r="AF90" s="68"/>
      <c r="AG90" s="69"/>
      <c r="AH90" s="69"/>
      <c r="AZ90" s="70" t="s">
        <v>290</v>
      </c>
      <c r="BA90" s="72" t="s">
        <v>420</v>
      </c>
      <c r="BB90" s="72" t="s">
        <v>425</v>
      </c>
      <c r="BC90" s="72" t="s">
        <v>411</v>
      </c>
      <c r="BD90" s="72" t="s">
        <v>448</v>
      </c>
      <c r="BE90" s="73" t="s">
        <v>448</v>
      </c>
      <c r="BF90" s="73">
        <v>3.968</v>
      </c>
      <c r="BG90" s="72">
        <v>77</v>
      </c>
      <c r="BH90" s="73">
        <f t="shared" si="33"/>
        <v>305.536</v>
      </c>
      <c r="BI90" s="72">
        <v>7</v>
      </c>
      <c r="BJ90" s="72">
        <v>10</v>
      </c>
      <c r="BK90" s="72">
        <v>13</v>
      </c>
      <c r="BL90" s="74">
        <v>190.61</v>
      </c>
      <c r="BM90" s="72"/>
      <c r="BN90" s="72">
        <v>14</v>
      </c>
      <c r="BO90" s="71">
        <v>16.5</v>
      </c>
      <c r="BP90" s="72" t="s">
        <v>459</v>
      </c>
      <c r="DP90" t="s">
        <v>469</v>
      </c>
      <c r="DQ90" t="s">
        <v>470</v>
      </c>
    </row>
    <row r="91" spans="23:121" ht="13.8">
      <c r="W91" s="65"/>
      <c r="X91" s="65"/>
      <c r="Y91" s="68"/>
      <c r="Z91" s="68"/>
      <c r="AA91" s="68"/>
      <c r="AB91" s="68"/>
      <c r="AC91" s="68"/>
      <c r="AD91" s="68"/>
      <c r="AE91" s="68"/>
      <c r="AF91" s="68"/>
      <c r="AG91" s="69"/>
      <c r="AH91" s="69"/>
      <c r="AZ91" s="70" t="s">
        <v>298</v>
      </c>
      <c r="BA91" s="72" t="s">
        <v>415</v>
      </c>
      <c r="BB91" s="71" t="s">
        <v>416</v>
      </c>
      <c r="BC91" s="71" t="s">
        <v>411</v>
      </c>
      <c r="BD91" s="71" t="s">
        <v>411</v>
      </c>
      <c r="BE91" s="73" t="s">
        <v>411</v>
      </c>
      <c r="BF91" s="73">
        <v>4.9290000000000003</v>
      </c>
      <c r="BG91" s="72">
        <v>62</v>
      </c>
      <c r="BH91" s="73">
        <f t="shared" si="33"/>
        <v>305.59800000000001</v>
      </c>
      <c r="BI91" s="72">
        <v>12</v>
      </c>
      <c r="BJ91" s="72">
        <v>13</v>
      </c>
      <c r="BK91" s="72">
        <v>9</v>
      </c>
      <c r="BL91" s="74">
        <v>215.41</v>
      </c>
      <c r="BM91" s="72"/>
      <c r="BN91" s="72">
        <v>16</v>
      </c>
      <c r="BO91" s="71">
        <v>12</v>
      </c>
      <c r="BP91" s="72" t="s">
        <v>409</v>
      </c>
      <c r="DP91" t="s">
        <v>471</v>
      </c>
      <c r="DQ91" t="s">
        <v>472</v>
      </c>
    </row>
    <row r="92" spans="23:121" ht="13.8">
      <c r="W92" s="65"/>
      <c r="X92" s="65"/>
      <c r="Y92" s="68"/>
      <c r="Z92" s="68"/>
      <c r="AA92" s="68"/>
      <c r="AB92" s="68"/>
      <c r="AC92" s="68"/>
      <c r="AD92" s="68"/>
      <c r="AE92" s="68"/>
      <c r="AF92" s="68"/>
      <c r="AG92" s="69"/>
      <c r="AH92" s="69"/>
      <c r="AZ92" s="70" t="s">
        <v>301</v>
      </c>
      <c r="BA92" s="71" t="s">
        <v>409</v>
      </c>
      <c r="BB92" s="71" t="s">
        <v>410</v>
      </c>
      <c r="BC92" s="71" t="s">
        <v>411</v>
      </c>
      <c r="BD92" s="71" t="s">
        <v>412</v>
      </c>
      <c r="BE92" s="73" t="s">
        <v>411</v>
      </c>
      <c r="BF92" s="73">
        <v>4.2</v>
      </c>
      <c r="BG92" s="72">
        <v>73</v>
      </c>
      <c r="BH92" s="73">
        <f t="shared" si="33"/>
        <v>306.60000000000002</v>
      </c>
      <c r="BI92" s="72">
        <v>10</v>
      </c>
      <c r="BJ92" s="72">
        <v>9</v>
      </c>
      <c r="BK92" s="72">
        <v>11</v>
      </c>
      <c r="BL92" s="74">
        <v>208.47</v>
      </c>
      <c r="BM92" s="72"/>
      <c r="BN92" s="72">
        <v>13</v>
      </c>
      <c r="BO92" s="71">
        <v>25.5</v>
      </c>
      <c r="BP92" s="72" t="s">
        <v>431</v>
      </c>
      <c r="DP92" t="s">
        <v>473</v>
      </c>
      <c r="DQ92" t="s">
        <v>474</v>
      </c>
    </row>
    <row r="93" spans="23:121" ht="13.8">
      <c r="W93" s="65"/>
      <c r="X93" s="65"/>
      <c r="Y93" s="68"/>
      <c r="Z93" s="68"/>
      <c r="AA93" s="68"/>
      <c r="AB93" s="68"/>
      <c r="AC93" s="68"/>
      <c r="AD93" s="68"/>
      <c r="AE93" s="68"/>
      <c r="AF93" s="68"/>
      <c r="AG93" s="69"/>
      <c r="AH93" s="69"/>
      <c r="AZ93" s="70" t="s">
        <v>304</v>
      </c>
      <c r="BA93" s="71" t="s">
        <v>409</v>
      </c>
      <c r="BB93" s="71" t="s">
        <v>466</v>
      </c>
      <c r="BC93" s="71" t="s">
        <v>422</v>
      </c>
      <c r="BD93" s="71" t="s">
        <v>445</v>
      </c>
      <c r="BE93" s="73" t="s">
        <v>417</v>
      </c>
      <c r="BF93" s="73">
        <v>4.0220000000000002</v>
      </c>
      <c r="BG93" s="72">
        <v>80</v>
      </c>
      <c r="BH93" s="73">
        <f t="shared" si="33"/>
        <v>321.76</v>
      </c>
      <c r="BI93" s="72">
        <v>17</v>
      </c>
      <c r="BJ93" s="72">
        <v>9</v>
      </c>
      <c r="BK93" s="72">
        <v>2</v>
      </c>
      <c r="BL93" s="74">
        <v>408.42</v>
      </c>
      <c r="BM93" s="72"/>
      <c r="BN93" s="72">
        <v>4</v>
      </c>
      <c r="BO93" s="71">
        <v>45</v>
      </c>
      <c r="BP93" s="72" t="s">
        <v>409</v>
      </c>
      <c r="DP93" t="s">
        <v>475</v>
      </c>
      <c r="DQ93" t="s">
        <v>476</v>
      </c>
    </row>
    <row r="94" spans="23:121" ht="13.8">
      <c r="W94" s="65"/>
      <c r="X94" s="65"/>
      <c r="Y94" s="68"/>
      <c r="Z94" s="68"/>
      <c r="AA94" s="68"/>
      <c r="AB94" s="68"/>
      <c r="AC94" s="68"/>
      <c r="AD94" s="68"/>
      <c r="AE94" s="68"/>
      <c r="AF94" s="68"/>
      <c r="AG94" s="69"/>
      <c r="AH94" s="69"/>
      <c r="AZ94" s="70" t="s">
        <v>35</v>
      </c>
      <c r="BA94" s="72" t="s">
        <v>415</v>
      </c>
      <c r="BB94" s="71" t="s">
        <v>421</v>
      </c>
      <c r="BC94" s="71" t="s">
        <v>422</v>
      </c>
      <c r="BD94" s="71" t="s">
        <v>411</v>
      </c>
      <c r="BE94" s="73" t="s">
        <v>411</v>
      </c>
      <c r="BF94" s="73">
        <v>4.3079999999999998</v>
      </c>
      <c r="BG94" s="72">
        <v>71</v>
      </c>
      <c r="BH94" s="73">
        <f t="shared" si="33"/>
        <v>305.86799999999999</v>
      </c>
      <c r="BI94" s="72">
        <v>12</v>
      </c>
      <c r="BJ94" s="72">
        <v>9</v>
      </c>
      <c r="BK94" s="72">
        <v>10</v>
      </c>
      <c r="BL94" s="74">
        <v>217.49</v>
      </c>
      <c r="BM94" s="72"/>
      <c r="BN94" s="72">
        <v>14</v>
      </c>
      <c r="BO94" s="71">
        <v>18</v>
      </c>
      <c r="BP94" s="72" t="s">
        <v>431</v>
      </c>
      <c r="DP94" t="s">
        <v>477</v>
      </c>
      <c r="DQ94" t="s">
        <v>478</v>
      </c>
    </row>
    <row r="95" spans="23:121" ht="13.8">
      <c r="W95" s="65"/>
      <c r="X95" s="65"/>
      <c r="Y95" s="68"/>
      <c r="Z95" s="68"/>
      <c r="AA95" s="68"/>
      <c r="AB95" s="68"/>
      <c r="AC95" s="68"/>
      <c r="AD95" s="68"/>
      <c r="AE95" s="68"/>
      <c r="AF95" s="68"/>
      <c r="AG95" s="69"/>
      <c r="AH95" s="69"/>
      <c r="AZ95" s="70" t="s">
        <v>308</v>
      </c>
      <c r="BA95" s="72" t="s">
        <v>415</v>
      </c>
      <c r="BB95" s="71" t="s">
        <v>410</v>
      </c>
      <c r="BC95" s="71" t="s">
        <v>411</v>
      </c>
      <c r="BD95" s="71" t="s">
        <v>411</v>
      </c>
      <c r="BE95" s="73" t="s">
        <v>412</v>
      </c>
      <c r="BF95" s="73">
        <v>3.7160000000000002</v>
      </c>
      <c r="BG95" s="72">
        <v>79</v>
      </c>
      <c r="BH95" s="73">
        <f t="shared" si="33"/>
        <v>293.56400000000002</v>
      </c>
      <c r="BI95" s="72">
        <v>8</v>
      </c>
      <c r="BJ95" s="72">
        <v>12</v>
      </c>
      <c r="BK95" s="72">
        <v>7</v>
      </c>
      <c r="BL95" s="74">
        <v>168.61</v>
      </c>
      <c r="BM95" s="72"/>
      <c r="BN95" s="72">
        <v>12</v>
      </c>
      <c r="BO95" s="71">
        <v>14</v>
      </c>
      <c r="BP95" s="72" t="s">
        <v>431</v>
      </c>
      <c r="DP95" t="s">
        <v>480</v>
      </c>
      <c r="DQ95" t="s">
        <v>481</v>
      </c>
    </row>
    <row r="96" spans="23:121" ht="13.8">
      <c r="W96" s="65"/>
      <c r="X96" s="65"/>
      <c r="Y96" s="68"/>
      <c r="Z96" s="68"/>
      <c r="AA96" s="68"/>
      <c r="AB96" s="68"/>
      <c r="AC96" s="68"/>
      <c r="AD96" s="68"/>
      <c r="AE96" s="68"/>
      <c r="AF96" s="68"/>
      <c r="AG96" s="69"/>
      <c r="AH96" s="69"/>
      <c r="AZ96" s="70" t="s">
        <v>33</v>
      </c>
      <c r="BA96" s="72" t="s">
        <v>415</v>
      </c>
      <c r="BB96" s="71" t="s">
        <v>421</v>
      </c>
      <c r="BC96" s="71" t="s">
        <v>411</v>
      </c>
      <c r="BD96" s="71" t="s">
        <v>411</v>
      </c>
      <c r="BE96" s="73" t="s">
        <v>411</v>
      </c>
      <c r="BF96" s="73">
        <v>5.3339999999999996</v>
      </c>
      <c r="BG96" s="72">
        <v>58</v>
      </c>
      <c r="BH96" s="73">
        <f t="shared" si="33"/>
        <v>309.37199999999996</v>
      </c>
      <c r="BI96" s="72">
        <v>13</v>
      </c>
      <c r="BJ96" s="72">
        <v>10</v>
      </c>
      <c r="BK96" s="72">
        <v>14</v>
      </c>
      <c r="BL96" s="74">
        <v>227.29</v>
      </c>
      <c r="BM96" s="72"/>
      <c r="BN96" s="72">
        <v>14</v>
      </c>
      <c r="BO96" s="71">
        <v>16</v>
      </c>
      <c r="BP96" s="72" t="s">
        <v>431</v>
      </c>
      <c r="DP96" t="s">
        <v>482</v>
      </c>
      <c r="DQ96" t="s">
        <v>483</v>
      </c>
    </row>
    <row r="97" spans="7:121" ht="13.8">
      <c r="W97" s="65"/>
      <c r="X97" s="65"/>
      <c r="Y97" s="68"/>
      <c r="Z97" s="68"/>
      <c r="AA97" s="68"/>
      <c r="AB97" s="68"/>
      <c r="AC97" s="68"/>
      <c r="AD97" s="68"/>
      <c r="AE97" s="68"/>
      <c r="AF97" s="68"/>
      <c r="AG97" s="69"/>
      <c r="AH97" s="69"/>
      <c r="AZ97" s="70" t="s">
        <v>32</v>
      </c>
      <c r="BA97" s="72" t="s">
        <v>415</v>
      </c>
      <c r="BB97" s="71" t="s">
        <v>416</v>
      </c>
      <c r="BC97" s="71" t="s">
        <v>422</v>
      </c>
      <c r="BD97" s="71" t="s">
        <v>412</v>
      </c>
      <c r="BE97" s="73" t="s">
        <v>445</v>
      </c>
      <c r="BF97" s="73">
        <v>4.4409999999999998</v>
      </c>
      <c r="BG97" s="72">
        <v>69</v>
      </c>
      <c r="BH97" s="73">
        <f t="shared" si="33"/>
        <v>306.42899999999997</v>
      </c>
      <c r="BI97" s="72">
        <v>8</v>
      </c>
      <c r="BJ97" s="72">
        <v>16</v>
      </c>
      <c r="BK97" s="72">
        <v>8</v>
      </c>
      <c r="BL97" s="74">
        <v>199.89</v>
      </c>
      <c r="BM97" s="72"/>
      <c r="BN97" s="72">
        <v>14</v>
      </c>
      <c r="BO97" s="71">
        <v>18</v>
      </c>
      <c r="BP97" s="72" t="s">
        <v>409</v>
      </c>
      <c r="DP97" t="s">
        <v>484</v>
      </c>
      <c r="DQ97" t="s">
        <v>485</v>
      </c>
    </row>
    <row r="98" spans="7:121" ht="13.8">
      <c r="W98" s="65"/>
      <c r="X98" s="65"/>
      <c r="Y98" s="68"/>
      <c r="Z98" s="68"/>
      <c r="AA98" s="68"/>
      <c r="AB98" s="68"/>
      <c r="AC98" s="68"/>
      <c r="AD98" s="68"/>
      <c r="AE98" s="68"/>
      <c r="AF98" s="68"/>
      <c r="AG98" s="69"/>
      <c r="AH98" s="69"/>
      <c r="AZ98" s="70" t="s">
        <v>315</v>
      </c>
      <c r="BA98" s="72" t="s">
        <v>420</v>
      </c>
      <c r="BB98" s="71" t="s">
        <v>421</v>
      </c>
      <c r="BC98" s="71" t="s">
        <v>411</v>
      </c>
      <c r="BD98" s="71" t="s">
        <v>417</v>
      </c>
      <c r="BE98" s="73" t="s">
        <v>412</v>
      </c>
      <c r="BF98" s="73">
        <v>2.2999999999999998</v>
      </c>
      <c r="BG98" s="72">
        <v>80</v>
      </c>
      <c r="BH98" s="73">
        <v>184</v>
      </c>
      <c r="BI98" s="72">
        <v>5</v>
      </c>
      <c r="BJ98" s="72">
        <v>9</v>
      </c>
      <c r="BK98" s="72">
        <v>4</v>
      </c>
      <c r="BL98" s="74"/>
      <c r="BM98" s="72"/>
      <c r="BN98" s="72">
        <v>10</v>
      </c>
      <c r="BO98" s="71">
        <v>11</v>
      </c>
      <c r="BP98" s="72" t="s">
        <v>409</v>
      </c>
      <c r="DP98" t="s">
        <v>486</v>
      </c>
      <c r="DQ98" t="s">
        <v>487</v>
      </c>
    </row>
    <row r="99" spans="7:121" ht="13.8">
      <c r="W99" s="65"/>
      <c r="X99" s="65"/>
      <c r="Y99" s="68"/>
      <c r="Z99" s="68"/>
      <c r="AA99" s="68"/>
      <c r="AB99" s="68"/>
      <c r="AC99" s="68"/>
      <c r="AD99" s="68"/>
      <c r="AE99" s="68"/>
      <c r="AF99" s="68"/>
      <c r="AG99" s="69"/>
      <c r="AH99" s="69"/>
      <c r="AZ99" s="70" t="s">
        <v>318</v>
      </c>
      <c r="BA99" s="72" t="s">
        <v>415</v>
      </c>
      <c r="BB99" s="71" t="s">
        <v>421</v>
      </c>
      <c r="BC99" s="71" t="s">
        <v>411</v>
      </c>
      <c r="BD99" s="71" t="s">
        <v>411</v>
      </c>
      <c r="BE99" s="73" t="s">
        <v>412</v>
      </c>
      <c r="BF99" s="73">
        <v>3.3010000000000002</v>
      </c>
      <c r="BG99" s="72">
        <v>80</v>
      </c>
      <c r="BH99" s="73">
        <f t="shared" ref="BH99:BH105" si="34">BG99*BF99</f>
        <v>264.08000000000004</v>
      </c>
      <c r="BI99" s="72">
        <v>9</v>
      </c>
      <c r="BJ99" s="72">
        <v>10</v>
      </c>
      <c r="BK99" s="72">
        <v>5</v>
      </c>
      <c r="BL99" s="74">
        <v>158.80000000000001</v>
      </c>
      <c r="BM99" s="72"/>
      <c r="BN99" s="72">
        <v>14</v>
      </c>
      <c r="BO99" s="71">
        <v>15</v>
      </c>
      <c r="BP99" s="72" t="s">
        <v>479</v>
      </c>
      <c r="DP99" t="s">
        <v>488</v>
      </c>
      <c r="DQ99" t="s">
        <v>489</v>
      </c>
    </row>
    <row r="100" spans="7:121" ht="13.8">
      <c r="W100" s="65"/>
      <c r="X100" s="65"/>
      <c r="Y100" s="68"/>
      <c r="Z100" s="68"/>
      <c r="AA100" s="68"/>
      <c r="AB100" s="68"/>
      <c r="AC100" s="68"/>
      <c r="AD100" s="68"/>
      <c r="AE100" s="68"/>
      <c r="AF100" s="68"/>
      <c r="AG100" s="69"/>
      <c r="AH100" s="69"/>
      <c r="AZ100" s="70" t="s">
        <v>321</v>
      </c>
      <c r="BA100" s="72" t="s">
        <v>420</v>
      </c>
      <c r="BB100" s="71" t="s">
        <v>416</v>
      </c>
      <c r="BC100" s="71" t="s">
        <v>430</v>
      </c>
      <c r="BD100" s="71" t="s">
        <v>448</v>
      </c>
      <c r="BE100" s="73" t="s">
        <v>411</v>
      </c>
      <c r="BF100" s="73">
        <v>4.2610000000000001</v>
      </c>
      <c r="BG100" s="72">
        <v>72</v>
      </c>
      <c r="BH100" s="73">
        <f t="shared" si="34"/>
        <v>306.79200000000003</v>
      </c>
      <c r="BI100" s="72">
        <v>9</v>
      </c>
      <c r="BJ100" s="72">
        <v>12</v>
      </c>
      <c r="BK100" s="72">
        <v>9</v>
      </c>
      <c r="BL100" s="74">
        <v>230.27</v>
      </c>
      <c r="BM100" s="72"/>
      <c r="BN100" s="72">
        <v>11</v>
      </c>
      <c r="BO100" s="71">
        <v>16.7</v>
      </c>
      <c r="BP100" s="72" t="s">
        <v>479</v>
      </c>
      <c r="DP100" t="s">
        <v>490</v>
      </c>
      <c r="DQ100" t="s">
        <v>491</v>
      </c>
    </row>
    <row r="101" spans="7:121" ht="13.8">
      <c r="W101" s="65"/>
      <c r="X101" s="65"/>
      <c r="Y101" s="68"/>
      <c r="Z101" s="68"/>
      <c r="AA101" s="68"/>
      <c r="AB101" s="68"/>
      <c r="AC101" s="68"/>
      <c r="AD101" s="68"/>
      <c r="AE101" s="68"/>
      <c r="AF101" s="68"/>
      <c r="AG101" s="69"/>
      <c r="AH101" s="69"/>
      <c r="AZ101" s="70" t="s">
        <v>324</v>
      </c>
      <c r="BA101" s="72" t="s">
        <v>415</v>
      </c>
      <c r="BB101" s="71" t="s">
        <v>410</v>
      </c>
      <c r="BC101" s="71" t="s">
        <v>422</v>
      </c>
      <c r="BD101" s="71" t="s">
        <v>445</v>
      </c>
      <c r="BE101" s="73" t="s">
        <v>412</v>
      </c>
      <c r="BF101" s="73">
        <v>3.601</v>
      </c>
      <c r="BG101" s="72">
        <v>79</v>
      </c>
      <c r="BH101" s="73">
        <f t="shared" si="34"/>
        <v>284.47899999999998</v>
      </c>
      <c r="BI101" s="72">
        <v>11</v>
      </c>
      <c r="BJ101" s="72">
        <v>8</v>
      </c>
      <c r="BK101" s="72">
        <v>7</v>
      </c>
      <c r="BL101" s="74">
        <v>180.7</v>
      </c>
      <c r="BM101" s="72"/>
      <c r="BN101" s="72">
        <v>14</v>
      </c>
      <c r="BO101" s="71">
        <v>18</v>
      </c>
      <c r="BP101" s="72" t="s">
        <v>431</v>
      </c>
      <c r="DP101" t="s">
        <v>492</v>
      </c>
      <c r="DQ101" t="s">
        <v>493</v>
      </c>
    </row>
    <row r="102" spans="7:121" ht="13.8">
      <c r="W102" s="65"/>
      <c r="X102" s="65"/>
      <c r="Y102" s="68"/>
      <c r="Z102" s="68"/>
      <c r="AA102" s="68"/>
      <c r="AB102" s="68"/>
      <c r="AC102" s="68"/>
      <c r="AD102" s="68"/>
      <c r="AE102" s="68"/>
      <c r="AF102" s="68"/>
      <c r="AG102" s="69"/>
      <c r="AH102" s="69"/>
      <c r="AZ102" s="70" t="s">
        <v>327</v>
      </c>
      <c r="BA102" s="72" t="s">
        <v>415</v>
      </c>
      <c r="BB102" s="71" t="s">
        <v>416</v>
      </c>
      <c r="BC102" s="71" t="s">
        <v>411</v>
      </c>
      <c r="BD102" s="71" t="s">
        <v>411</v>
      </c>
      <c r="BE102" s="73" t="s">
        <v>411</v>
      </c>
      <c r="BF102" s="73">
        <v>4.2469999999999999</v>
      </c>
      <c r="BG102" s="72">
        <v>72</v>
      </c>
      <c r="BH102" s="73">
        <f t="shared" si="34"/>
        <v>305.78399999999999</v>
      </c>
      <c r="BI102" s="72">
        <v>12</v>
      </c>
      <c r="BJ102" s="72">
        <v>8</v>
      </c>
      <c r="BK102" s="72">
        <v>11</v>
      </c>
      <c r="BL102" s="74">
        <v>208.84</v>
      </c>
      <c r="BM102" s="72"/>
      <c r="BN102" s="72">
        <v>17</v>
      </c>
      <c r="BO102" s="71">
        <v>16.5</v>
      </c>
      <c r="BP102" s="72" t="s">
        <v>409</v>
      </c>
      <c r="DP102" t="s">
        <v>494</v>
      </c>
      <c r="DQ102" t="s">
        <v>495</v>
      </c>
    </row>
    <row r="103" spans="7:121" ht="13.8">
      <c r="W103" s="65"/>
      <c r="X103" s="65"/>
      <c r="Y103" s="68"/>
      <c r="Z103" s="68"/>
      <c r="AA103" s="68"/>
      <c r="AB103" s="68"/>
      <c r="AC103" s="68"/>
      <c r="AD103" s="68"/>
      <c r="AE103" s="68"/>
      <c r="AF103" s="68"/>
      <c r="AG103" s="69"/>
      <c r="AH103" s="69"/>
      <c r="AZ103" s="70" t="s">
        <v>330</v>
      </c>
      <c r="BA103" s="72" t="s">
        <v>415</v>
      </c>
      <c r="BB103" s="71" t="s">
        <v>416</v>
      </c>
      <c r="BC103" s="71" t="s">
        <v>422</v>
      </c>
      <c r="BD103" s="71" t="s">
        <v>411</v>
      </c>
      <c r="BE103" s="73" t="s">
        <v>411</v>
      </c>
      <c r="BF103" s="73">
        <v>5.3029999999999999</v>
      </c>
      <c r="BG103" s="72">
        <v>58</v>
      </c>
      <c r="BH103" s="73">
        <f t="shared" si="34"/>
        <v>307.57400000000001</v>
      </c>
      <c r="BI103" s="72">
        <v>12</v>
      </c>
      <c r="BJ103" s="72">
        <v>15</v>
      </c>
      <c r="BK103" s="72">
        <v>10</v>
      </c>
      <c r="BL103" s="74">
        <v>220.25</v>
      </c>
      <c r="BM103" s="72"/>
      <c r="BN103" s="72">
        <v>9</v>
      </c>
      <c r="BO103" s="71">
        <v>24</v>
      </c>
      <c r="BP103" s="72" t="s">
        <v>421</v>
      </c>
      <c r="DP103" t="s">
        <v>496</v>
      </c>
      <c r="DQ103" t="s">
        <v>497</v>
      </c>
    </row>
    <row r="104" spans="7:121" ht="13.8">
      <c r="W104" s="65"/>
      <c r="X104" s="65"/>
      <c r="Y104" s="68"/>
      <c r="Z104" s="68"/>
      <c r="AA104" s="68"/>
      <c r="AB104" s="68"/>
      <c r="AC104" s="68"/>
      <c r="AD104" s="68"/>
      <c r="AE104" s="68"/>
      <c r="AF104" s="68"/>
      <c r="AG104" s="69"/>
      <c r="AH104" s="69"/>
      <c r="AZ104" s="70" t="s">
        <v>31</v>
      </c>
      <c r="BA104" s="72" t="s">
        <v>415</v>
      </c>
      <c r="BB104" s="71" t="s">
        <v>416</v>
      </c>
      <c r="BC104" s="71" t="s">
        <v>422</v>
      </c>
      <c r="BD104" s="71" t="s">
        <v>417</v>
      </c>
      <c r="BE104" s="73" t="s">
        <v>411</v>
      </c>
      <c r="BF104" s="73">
        <v>4.42</v>
      </c>
      <c r="BG104" s="72">
        <v>69</v>
      </c>
      <c r="BH104" s="73">
        <f t="shared" si="34"/>
        <v>304.98</v>
      </c>
      <c r="BI104" s="72">
        <v>13</v>
      </c>
      <c r="BJ104" s="72">
        <v>12</v>
      </c>
      <c r="BK104" s="72">
        <v>7</v>
      </c>
      <c r="BL104" s="74">
        <v>224.8</v>
      </c>
      <c r="BM104" s="72"/>
      <c r="BN104" s="72">
        <v>19</v>
      </c>
      <c r="BO104" s="71">
        <v>18</v>
      </c>
      <c r="BP104" s="72" t="s">
        <v>421</v>
      </c>
      <c r="DP104" t="s">
        <v>498</v>
      </c>
      <c r="DQ104" t="s">
        <v>499</v>
      </c>
    </row>
    <row r="105" spans="7:121" ht="13.8">
      <c r="W105" s="65"/>
      <c r="X105" s="65"/>
      <c r="Y105" s="68"/>
      <c r="Z105" s="68"/>
      <c r="AA105" s="68"/>
      <c r="AB105" s="68"/>
      <c r="AC105" s="68"/>
      <c r="AD105" s="68"/>
      <c r="AE105" s="68"/>
      <c r="AF105" s="68"/>
      <c r="AG105" s="69"/>
      <c r="AH105" s="69"/>
      <c r="AZ105" s="70" t="s">
        <v>998</v>
      </c>
      <c r="BA105" s="72" t="s">
        <v>415</v>
      </c>
      <c r="BB105" s="71" t="s">
        <v>421</v>
      </c>
      <c r="BC105" s="71" t="s">
        <v>430</v>
      </c>
      <c r="BD105" s="71" t="s">
        <v>417</v>
      </c>
      <c r="BE105" s="73" t="s">
        <v>417</v>
      </c>
      <c r="BF105" s="73">
        <v>5.4109999999999996</v>
      </c>
      <c r="BG105" s="72">
        <v>57</v>
      </c>
      <c r="BH105" s="73">
        <f t="shared" si="34"/>
        <v>308.42699999999996</v>
      </c>
      <c r="BI105" s="72">
        <v>14</v>
      </c>
      <c r="BJ105" s="72">
        <v>13</v>
      </c>
      <c r="BK105" s="72">
        <v>11</v>
      </c>
      <c r="BN105" s="72">
        <v>10</v>
      </c>
      <c r="BO105" s="71">
        <v>11.5</v>
      </c>
      <c r="BP105" s="72" t="s">
        <v>421</v>
      </c>
      <c r="DP105" t="s">
        <v>500</v>
      </c>
      <c r="DQ105" t="s">
        <v>501</v>
      </c>
    </row>
    <row r="106" spans="7:121" ht="13.8">
      <c r="W106" s="65"/>
      <c r="X106" s="65"/>
      <c r="Y106" s="68"/>
      <c r="Z106" s="68"/>
      <c r="AA106" s="68"/>
      <c r="AB106" s="68"/>
      <c r="AC106" s="68"/>
      <c r="AD106" s="68"/>
      <c r="AE106" s="68"/>
      <c r="AF106" s="68"/>
      <c r="AG106" s="69"/>
      <c r="AH106" s="69"/>
      <c r="AZ106" s="70" t="s">
        <v>34</v>
      </c>
      <c r="BA106" s="72" t="s">
        <v>420</v>
      </c>
      <c r="BB106" s="71" t="s">
        <v>425</v>
      </c>
      <c r="BC106" s="71" t="s">
        <v>411</v>
      </c>
      <c r="BD106" s="71" t="s">
        <v>417</v>
      </c>
      <c r="BE106" s="73" t="s">
        <v>411</v>
      </c>
      <c r="BF106" s="73">
        <v>3.3689999999999998</v>
      </c>
      <c r="BG106" s="72">
        <v>78</v>
      </c>
      <c r="BH106" s="73">
        <f t="shared" ref="BH106:BH124" si="35">BG106*BF106</f>
        <v>262.78199999999998</v>
      </c>
      <c r="BI106" s="72">
        <v>7</v>
      </c>
      <c r="BJ106" s="72">
        <v>7</v>
      </c>
      <c r="BK106" s="72">
        <v>12</v>
      </c>
      <c r="BL106" s="74">
        <v>154.5</v>
      </c>
      <c r="BM106" s="72"/>
      <c r="BN106" s="72">
        <v>12</v>
      </c>
      <c r="BO106" s="71">
        <v>16.5</v>
      </c>
      <c r="BP106" s="72" t="s">
        <v>479</v>
      </c>
      <c r="DP106" t="s">
        <v>502</v>
      </c>
      <c r="DQ106" t="s">
        <v>503</v>
      </c>
    </row>
    <row r="107" spans="7:121" ht="13.8">
      <c r="W107" s="65"/>
      <c r="X107" s="65"/>
      <c r="Y107" s="68"/>
      <c r="Z107" s="68"/>
      <c r="AA107" s="68"/>
      <c r="AB107" s="68"/>
      <c r="AC107" s="68"/>
      <c r="AD107" s="68"/>
      <c r="AE107" s="68"/>
      <c r="AF107" s="68"/>
      <c r="AG107" s="69"/>
      <c r="AH107" s="69"/>
      <c r="AZ107" s="70" t="s">
        <v>30</v>
      </c>
      <c r="BA107" s="72" t="s">
        <v>415</v>
      </c>
      <c r="BB107" s="71" t="s">
        <v>421</v>
      </c>
      <c r="BC107" s="71" t="s">
        <v>422</v>
      </c>
      <c r="BD107" s="71" t="s">
        <v>411</v>
      </c>
      <c r="BE107" s="73" t="s">
        <v>411</v>
      </c>
      <c r="BF107" s="73">
        <v>4.42</v>
      </c>
      <c r="BG107" s="72">
        <v>69</v>
      </c>
      <c r="BH107" s="73">
        <f t="shared" si="35"/>
        <v>304.98</v>
      </c>
      <c r="BI107" s="72">
        <v>12</v>
      </c>
      <c r="BJ107" s="72">
        <v>7</v>
      </c>
      <c r="BK107" s="72">
        <v>13</v>
      </c>
      <c r="BL107" s="74">
        <v>208.55</v>
      </c>
      <c r="BM107" s="72"/>
      <c r="BN107" s="72">
        <v>13</v>
      </c>
      <c r="BO107" s="71">
        <v>25.5</v>
      </c>
      <c r="BP107" s="72" t="s">
        <v>479</v>
      </c>
      <c r="DP107" t="s">
        <v>504</v>
      </c>
      <c r="DQ107" t="s">
        <v>505</v>
      </c>
    </row>
    <row r="108" spans="7:121" ht="13.8">
      <c r="W108" s="65"/>
      <c r="X108" s="65"/>
      <c r="Y108" s="75"/>
      <c r="Z108" s="75"/>
      <c r="AA108" s="75"/>
      <c r="AB108" s="75"/>
      <c r="AC108" s="75"/>
      <c r="AD108" s="75"/>
      <c r="AE108" s="75"/>
      <c r="AF108" s="75"/>
      <c r="AG108" s="76"/>
      <c r="AH108" s="76"/>
      <c r="AZ108" s="70" t="s">
        <v>339</v>
      </c>
      <c r="BA108" s="71" t="s">
        <v>409</v>
      </c>
      <c r="BB108" s="71" t="s">
        <v>410</v>
      </c>
      <c r="BC108" s="71" t="s">
        <v>411</v>
      </c>
      <c r="BD108" s="71" t="s">
        <v>445</v>
      </c>
      <c r="BE108" s="73" t="s">
        <v>411</v>
      </c>
      <c r="BF108" s="73">
        <v>5.7869999999999999</v>
      </c>
      <c r="BG108" s="72">
        <v>53</v>
      </c>
      <c r="BH108" s="73">
        <f t="shared" si="35"/>
        <v>306.71100000000001</v>
      </c>
      <c r="BI108" s="72">
        <v>17</v>
      </c>
      <c r="BJ108" s="72">
        <v>12</v>
      </c>
      <c r="BK108" s="72">
        <v>9</v>
      </c>
      <c r="BL108" s="74">
        <v>258.83</v>
      </c>
      <c r="BM108" s="72"/>
      <c r="BN108" s="72">
        <v>14</v>
      </c>
      <c r="BO108" s="71">
        <v>13.5</v>
      </c>
      <c r="BP108" s="72" t="s">
        <v>431</v>
      </c>
      <c r="DP108" t="s">
        <v>506</v>
      </c>
      <c r="DQ108" t="s">
        <v>507</v>
      </c>
    </row>
    <row r="109" spans="7:121" ht="13.8">
      <c r="G109" t="s">
        <v>1</v>
      </c>
      <c r="I109" t="s">
        <v>1</v>
      </c>
      <c r="K109" t="s">
        <v>1</v>
      </c>
      <c r="M109" t="s">
        <v>1</v>
      </c>
      <c r="W109" s="65"/>
      <c r="X109" s="65"/>
      <c r="AZ109" s="70" t="s">
        <v>26</v>
      </c>
      <c r="BA109" s="72" t="s">
        <v>415</v>
      </c>
      <c r="BB109" s="71" t="s">
        <v>416</v>
      </c>
      <c r="BC109" s="71" t="s">
        <v>411</v>
      </c>
      <c r="BD109" s="71" t="s">
        <v>411</v>
      </c>
      <c r="BE109" s="73" t="s">
        <v>411</v>
      </c>
      <c r="BF109" s="73">
        <v>5.2469999999999999</v>
      </c>
      <c r="BG109" s="72">
        <v>58</v>
      </c>
      <c r="BH109" s="73">
        <f t="shared" si="35"/>
        <v>304.32600000000002</v>
      </c>
      <c r="BI109" s="72">
        <v>11</v>
      </c>
      <c r="BJ109" s="72">
        <v>13</v>
      </c>
      <c r="BK109" s="72">
        <v>12</v>
      </c>
      <c r="BL109" s="74">
        <v>246.56</v>
      </c>
      <c r="BM109" s="72"/>
      <c r="BN109" s="72">
        <v>16</v>
      </c>
      <c r="BO109" s="71">
        <v>19</v>
      </c>
      <c r="BP109" s="72" t="s">
        <v>479</v>
      </c>
      <c r="DP109" t="s">
        <v>509</v>
      </c>
      <c r="DQ109" t="s">
        <v>510</v>
      </c>
    </row>
    <row r="110" spans="7:121" ht="13.8">
      <c r="W110" s="65"/>
      <c r="X110" s="65"/>
      <c r="AZ110" s="70" t="s">
        <v>344</v>
      </c>
      <c r="BA110" s="72" t="s">
        <v>415</v>
      </c>
      <c r="BB110" s="71" t="s">
        <v>421</v>
      </c>
      <c r="BC110" s="71" t="s">
        <v>422</v>
      </c>
      <c r="BD110" s="71" t="s">
        <v>411</v>
      </c>
      <c r="BE110" s="73" t="s">
        <v>445</v>
      </c>
      <c r="BF110" s="73">
        <v>5.1370000000000005</v>
      </c>
      <c r="BG110" s="72">
        <v>60</v>
      </c>
      <c r="BH110" s="73">
        <f t="shared" si="35"/>
        <v>308.22000000000003</v>
      </c>
      <c r="BI110" s="72">
        <v>11</v>
      </c>
      <c r="BJ110" s="72">
        <v>15</v>
      </c>
      <c r="BK110" s="72">
        <v>10</v>
      </c>
      <c r="BL110" s="74">
        <v>227.27</v>
      </c>
      <c r="BM110" s="72"/>
      <c r="BN110" s="72">
        <v>16</v>
      </c>
      <c r="BO110" s="71">
        <v>15</v>
      </c>
      <c r="BP110" s="72" t="s">
        <v>421</v>
      </c>
      <c r="DP110" t="s">
        <v>511</v>
      </c>
      <c r="DQ110" t="s">
        <v>512</v>
      </c>
    </row>
    <row r="111" spans="7:121" ht="13.8">
      <c r="W111" s="65"/>
      <c r="X111" s="65"/>
      <c r="AZ111" s="70" t="s">
        <v>347</v>
      </c>
      <c r="BA111" s="72" t="s">
        <v>415</v>
      </c>
      <c r="BB111" s="71" t="s">
        <v>421</v>
      </c>
      <c r="BC111" s="71" t="s">
        <v>422</v>
      </c>
      <c r="BD111" s="71" t="s">
        <v>448</v>
      </c>
      <c r="BE111" s="73" t="s">
        <v>417</v>
      </c>
      <c r="BF111" s="73">
        <v>5.1449999999999996</v>
      </c>
      <c r="BG111" s="72">
        <v>60</v>
      </c>
      <c r="BH111" s="73">
        <f t="shared" si="35"/>
        <v>308.7</v>
      </c>
      <c r="BI111" s="72">
        <v>12</v>
      </c>
      <c r="BJ111" s="72">
        <v>12</v>
      </c>
      <c r="BK111" s="72">
        <v>13</v>
      </c>
      <c r="BL111" s="74">
        <v>224.22</v>
      </c>
      <c r="BM111" s="72"/>
      <c r="BN111" s="72">
        <v>11</v>
      </c>
      <c r="BO111" s="71">
        <v>21</v>
      </c>
      <c r="BP111" s="72" t="s">
        <v>409</v>
      </c>
    </row>
    <row r="112" spans="7:121" ht="13.8">
      <c r="W112" s="65"/>
      <c r="X112" s="65"/>
      <c r="AZ112" s="70" t="s">
        <v>350</v>
      </c>
      <c r="BA112" s="72" t="s">
        <v>415</v>
      </c>
      <c r="BB112" s="71" t="s">
        <v>410</v>
      </c>
      <c r="BC112" s="71" t="s">
        <v>411</v>
      </c>
      <c r="BD112" s="71" t="s">
        <v>412</v>
      </c>
      <c r="BE112" s="73" t="s">
        <v>411</v>
      </c>
      <c r="BF112" s="73">
        <v>5.94</v>
      </c>
      <c r="BG112" s="72">
        <v>52</v>
      </c>
      <c r="BH112" s="73">
        <f t="shared" si="35"/>
        <v>308.88</v>
      </c>
      <c r="BI112" s="72">
        <v>19</v>
      </c>
      <c r="BJ112" s="72">
        <v>14</v>
      </c>
      <c r="BK112" s="72">
        <v>9</v>
      </c>
      <c r="BL112" s="74">
        <v>269.24</v>
      </c>
      <c r="BM112" s="72"/>
      <c r="BN112" s="72">
        <v>11</v>
      </c>
      <c r="BO112" s="71">
        <v>19.5</v>
      </c>
      <c r="BP112" s="72" t="s">
        <v>459</v>
      </c>
    </row>
    <row r="113" spans="4:68" ht="13.8">
      <c r="W113" s="65"/>
      <c r="X113" s="65"/>
      <c r="AZ113" s="70" t="s">
        <v>353</v>
      </c>
      <c r="BA113" s="72" t="s">
        <v>415</v>
      </c>
      <c r="BB113" s="71" t="s">
        <v>410</v>
      </c>
      <c r="BC113" s="71" t="s">
        <v>411</v>
      </c>
      <c r="BD113" s="71" t="s">
        <v>412</v>
      </c>
      <c r="BE113" s="73" t="s">
        <v>445</v>
      </c>
      <c r="BF113" s="73">
        <v>3.8609999999999998</v>
      </c>
      <c r="BG113" s="72">
        <v>79</v>
      </c>
      <c r="BH113" s="73">
        <f t="shared" si="35"/>
        <v>305.01900000000001</v>
      </c>
      <c r="BI113" s="72">
        <v>9</v>
      </c>
      <c r="BJ113" s="72">
        <v>11</v>
      </c>
      <c r="BK113" s="72">
        <v>8</v>
      </c>
      <c r="BL113" s="74">
        <v>225.75</v>
      </c>
      <c r="BM113" s="72"/>
      <c r="BN113" s="72">
        <v>18</v>
      </c>
      <c r="BO113" s="71">
        <v>15.5</v>
      </c>
      <c r="BP113" s="72" t="s">
        <v>409</v>
      </c>
    </row>
    <row r="114" spans="4:68" ht="13.8">
      <c r="W114" s="65"/>
      <c r="X114" s="65"/>
      <c r="AZ114" s="70" t="s">
        <v>28</v>
      </c>
      <c r="BA114" s="72" t="s">
        <v>420</v>
      </c>
      <c r="BB114" s="71" t="s">
        <v>410</v>
      </c>
      <c r="BC114" s="71" t="s">
        <v>422</v>
      </c>
      <c r="BD114" s="71" t="s">
        <v>508</v>
      </c>
      <c r="BE114" s="73" t="s">
        <v>412</v>
      </c>
      <c r="BF114" s="73">
        <v>4.6920000000000002</v>
      </c>
      <c r="BG114" s="72">
        <v>66</v>
      </c>
      <c r="BH114" s="73">
        <f t="shared" si="35"/>
        <v>309.67200000000003</v>
      </c>
      <c r="BI114" s="72">
        <v>9</v>
      </c>
      <c r="BJ114" s="72">
        <v>14</v>
      </c>
      <c r="BK114" s="72">
        <v>11</v>
      </c>
      <c r="BL114" s="74">
        <v>198.24</v>
      </c>
      <c r="BM114" s="72"/>
      <c r="BN114" s="72">
        <v>14</v>
      </c>
      <c r="BO114" s="71">
        <v>14</v>
      </c>
      <c r="BP114" s="72" t="s">
        <v>421</v>
      </c>
    </row>
    <row r="115" spans="4:68" ht="13.8">
      <c r="W115" s="65"/>
      <c r="X115" s="65"/>
      <c r="AZ115" s="70" t="s">
        <v>358</v>
      </c>
      <c r="BA115" s="72" t="s">
        <v>415</v>
      </c>
      <c r="BB115" s="71" t="s">
        <v>416</v>
      </c>
      <c r="BC115" s="71" t="s">
        <v>411</v>
      </c>
      <c r="BD115" s="71" t="s">
        <v>417</v>
      </c>
      <c r="BE115" s="73" t="s">
        <v>411</v>
      </c>
      <c r="BF115" s="73">
        <v>4.0830000000000002</v>
      </c>
      <c r="BG115" s="72">
        <v>75</v>
      </c>
      <c r="BH115" s="73">
        <f t="shared" si="35"/>
        <v>306.22500000000002</v>
      </c>
      <c r="BI115" s="72">
        <v>7</v>
      </c>
      <c r="BJ115" s="72">
        <v>14</v>
      </c>
      <c r="BK115" s="72">
        <v>8</v>
      </c>
      <c r="BL115" s="74">
        <v>214.42</v>
      </c>
      <c r="BM115" s="72"/>
      <c r="BN115" s="72">
        <v>8</v>
      </c>
      <c r="BO115" s="71">
        <v>10</v>
      </c>
      <c r="BP115" s="72" t="s">
        <v>421</v>
      </c>
    </row>
    <row r="116" spans="4:68" ht="13.8">
      <c r="W116" s="65"/>
      <c r="X116" s="65"/>
      <c r="AZ116" s="70" t="s">
        <v>360</v>
      </c>
      <c r="BA116" s="71" t="s">
        <v>409</v>
      </c>
      <c r="BB116" s="71" t="s">
        <v>466</v>
      </c>
      <c r="BC116" s="71" t="s">
        <v>411</v>
      </c>
      <c r="BD116" s="71" t="s">
        <v>445</v>
      </c>
      <c r="BE116" s="73" t="s">
        <v>412</v>
      </c>
      <c r="BF116" s="73">
        <v>4.7359999999999998</v>
      </c>
      <c r="BG116" s="72">
        <v>67</v>
      </c>
      <c r="BH116" s="73">
        <f t="shared" si="35"/>
        <v>317.31200000000001</v>
      </c>
      <c r="BI116" s="72">
        <v>18</v>
      </c>
      <c r="BJ116" s="72">
        <v>10</v>
      </c>
      <c r="BK116" s="72">
        <v>6</v>
      </c>
      <c r="BL116" s="74">
        <v>377</v>
      </c>
      <c r="BM116" s="72"/>
      <c r="BN116" s="72">
        <v>14</v>
      </c>
      <c r="BO116" s="71">
        <v>25.5</v>
      </c>
      <c r="BP116" s="72" t="s">
        <v>459</v>
      </c>
    </row>
    <row r="117" spans="4:68" ht="13.8">
      <c r="W117" s="65"/>
      <c r="X117" s="65"/>
      <c r="AZ117" s="70" t="s">
        <v>24</v>
      </c>
      <c r="BA117" s="71" t="s">
        <v>409</v>
      </c>
      <c r="BB117" s="71" t="s">
        <v>421</v>
      </c>
      <c r="BC117" s="71" t="s">
        <v>422</v>
      </c>
      <c r="BD117" s="71" t="s">
        <v>445</v>
      </c>
      <c r="BE117" s="73" t="s">
        <v>411</v>
      </c>
      <c r="BF117" s="73">
        <v>5.4119999999999999</v>
      </c>
      <c r="BG117" s="72">
        <v>57</v>
      </c>
      <c r="BH117" s="73">
        <f t="shared" si="35"/>
        <v>308.48399999999998</v>
      </c>
      <c r="BI117" s="72">
        <v>16</v>
      </c>
      <c r="BJ117" s="72">
        <v>11</v>
      </c>
      <c r="BK117" s="72">
        <v>9</v>
      </c>
      <c r="BL117" s="74">
        <v>237.09</v>
      </c>
      <c r="BM117" s="72"/>
      <c r="BN117" s="72">
        <v>17</v>
      </c>
      <c r="BO117" s="71">
        <v>24</v>
      </c>
      <c r="BP117" s="72" t="s">
        <v>459</v>
      </c>
    </row>
    <row r="118" spans="4:68" ht="13.8">
      <c r="W118" s="65"/>
      <c r="X118" s="65"/>
      <c r="AZ118" s="70" t="s">
        <v>23</v>
      </c>
      <c r="BA118" s="72" t="s">
        <v>415</v>
      </c>
      <c r="BB118" s="71" t="s">
        <v>421</v>
      </c>
      <c r="BC118" s="71" t="s">
        <v>411</v>
      </c>
      <c r="BD118" s="71" t="s">
        <v>411</v>
      </c>
      <c r="BE118" s="73" t="s">
        <v>411</v>
      </c>
      <c r="BF118" s="73">
        <v>5.6440000000000001</v>
      </c>
      <c r="BG118" s="72">
        <v>55</v>
      </c>
      <c r="BH118" s="73">
        <f t="shared" si="35"/>
        <v>310.42</v>
      </c>
      <c r="BI118" s="72">
        <v>14</v>
      </c>
      <c r="BJ118" s="72">
        <v>11</v>
      </c>
      <c r="BK118" s="72">
        <v>14</v>
      </c>
      <c r="BL118" s="74">
        <v>217.17</v>
      </c>
      <c r="BM118" s="72"/>
      <c r="BN118" s="72">
        <v>16</v>
      </c>
      <c r="BO118" s="71">
        <v>12</v>
      </c>
      <c r="BP118" s="72" t="s">
        <v>421</v>
      </c>
    </row>
    <row r="119" spans="4:68" ht="13.8">
      <c r="W119" s="65"/>
      <c r="X119" s="65"/>
      <c r="AZ119" s="70" t="s">
        <v>367</v>
      </c>
      <c r="BA119" s="72" t="s">
        <v>420</v>
      </c>
      <c r="BB119" s="71" t="s">
        <v>416</v>
      </c>
      <c r="BC119" s="71" t="s">
        <v>411</v>
      </c>
      <c r="BD119" s="71" t="s">
        <v>411</v>
      </c>
      <c r="BE119" s="73" t="s">
        <v>411</v>
      </c>
      <c r="BF119" s="73">
        <v>3.1859999999999999</v>
      </c>
      <c r="BG119" s="72">
        <v>80</v>
      </c>
      <c r="BH119" s="73">
        <f t="shared" si="35"/>
        <v>254.88</v>
      </c>
      <c r="BI119" s="72">
        <v>5</v>
      </c>
      <c r="BJ119" s="72">
        <v>10</v>
      </c>
      <c r="BK119" s="72">
        <v>9</v>
      </c>
      <c r="BL119" s="74"/>
      <c r="BM119" s="72"/>
      <c r="BN119" s="72">
        <v>10</v>
      </c>
      <c r="BO119" s="71">
        <v>24</v>
      </c>
      <c r="BP119" s="72" t="s">
        <v>431</v>
      </c>
    </row>
    <row r="120" spans="4:68" ht="13.8">
      <c r="W120" s="65"/>
      <c r="X120" s="65"/>
      <c r="AZ120" s="70" t="s">
        <v>370</v>
      </c>
      <c r="BA120" s="72" t="s">
        <v>415</v>
      </c>
      <c r="BB120" s="71" t="s">
        <v>421</v>
      </c>
      <c r="BC120" s="71" t="s">
        <v>422</v>
      </c>
      <c r="BD120" s="71" t="s">
        <v>445</v>
      </c>
      <c r="BE120" s="73" t="s">
        <v>411</v>
      </c>
      <c r="BF120" s="73">
        <v>5.45</v>
      </c>
      <c r="BG120" s="72">
        <v>56</v>
      </c>
      <c r="BH120" s="73">
        <f t="shared" si="35"/>
        <v>305.2</v>
      </c>
      <c r="BI120" s="72">
        <v>9</v>
      </c>
      <c r="BJ120" s="72">
        <v>16</v>
      </c>
      <c r="BK120" s="72">
        <v>15</v>
      </c>
      <c r="BL120" s="74">
        <v>217.18</v>
      </c>
      <c r="BM120" s="72"/>
      <c r="BN120" s="72">
        <v>14</v>
      </c>
      <c r="BO120" s="71">
        <v>22.5</v>
      </c>
      <c r="BP120" s="72" t="s">
        <v>421</v>
      </c>
    </row>
    <row r="121" spans="4:68" ht="13.8">
      <c r="W121" s="65"/>
      <c r="X121" s="65"/>
      <c r="AZ121" s="70" t="s">
        <v>373</v>
      </c>
      <c r="BA121" s="71" t="s">
        <v>409</v>
      </c>
      <c r="BB121" s="71" t="s">
        <v>421</v>
      </c>
      <c r="BC121" s="71" t="s">
        <v>411</v>
      </c>
      <c r="BD121" s="71" t="s">
        <v>412</v>
      </c>
      <c r="BE121" s="73" t="s">
        <v>417</v>
      </c>
      <c r="BF121" s="73">
        <v>5.1379999999999999</v>
      </c>
      <c r="BG121" s="72">
        <v>60</v>
      </c>
      <c r="BH121" s="73">
        <f t="shared" si="35"/>
        <v>308.27999999999997</v>
      </c>
      <c r="BI121" s="72">
        <v>11</v>
      </c>
      <c r="BJ121" s="72">
        <v>11</v>
      </c>
      <c r="BK121" s="72">
        <v>16</v>
      </c>
      <c r="BL121" s="74">
        <v>225.46</v>
      </c>
      <c r="BM121" s="72"/>
      <c r="BN121" s="72">
        <v>23</v>
      </c>
      <c r="BO121" s="71">
        <v>17</v>
      </c>
      <c r="BP121" s="72" t="s">
        <v>409</v>
      </c>
    </row>
    <row r="122" spans="4:68" ht="13.8">
      <c r="W122" s="65"/>
      <c r="X122" s="65"/>
      <c r="AZ122" s="70" t="s">
        <v>376</v>
      </c>
      <c r="BA122" s="72" t="s">
        <v>420</v>
      </c>
      <c r="BB122" s="71" t="s">
        <v>416</v>
      </c>
      <c r="BC122" s="71" t="s">
        <v>430</v>
      </c>
      <c r="BD122" s="71" t="s">
        <v>411</v>
      </c>
      <c r="BE122" s="73" t="s">
        <v>412</v>
      </c>
      <c r="BF122" s="73">
        <v>5.0670000000000002</v>
      </c>
      <c r="BG122" s="72">
        <v>61</v>
      </c>
      <c r="BH122" s="73">
        <f t="shared" si="35"/>
        <v>309.08699999999999</v>
      </c>
      <c r="BI122" s="72">
        <v>7</v>
      </c>
      <c r="BJ122" s="72">
        <v>11</v>
      </c>
      <c r="BK122" s="72">
        <v>17</v>
      </c>
      <c r="BL122" s="74">
        <v>214.05</v>
      </c>
      <c r="BM122" s="72"/>
      <c r="BN122" s="72">
        <v>14</v>
      </c>
      <c r="BO122" s="71">
        <v>19.5</v>
      </c>
      <c r="BP122" s="72" t="s">
        <v>431</v>
      </c>
    </row>
    <row r="123" spans="4:68" ht="13.8">
      <c r="W123" s="65"/>
      <c r="X123" s="65"/>
      <c r="AZ123" s="70" t="s">
        <v>379</v>
      </c>
      <c r="BA123" s="72" t="s">
        <v>415</v>
      </c>
      <c r="BB123" s="71" t="s">
        <v>416</v>
      </c>
      <c r="BC123" s="71" t="s">
        <v>411</v>
      </c>
      <c r="BD123" s="71" t="s">
        <v>412</v>
      </c>
      <c r="BE123" s="73" t="s">
        <v>412</v>
      </c>
      <c r="BF123" s="73">
        <v>5.923</v>
      </c>
      <c r="BG123" s="72">
        <v>53</v>
      </c>
      <c r="BH123" s="73">
        <f t="shared" si="35"/>
        <v>313.91899999999998</v>
      </c>
      <c r="BI123" s="72">
        <v>17</v>
      </c>
      <c r="BJ123" s="72">
        <v>10</v>
      </c>
      <c r="BK123" s="72">
        <v>15</v>
      </c>
      <c r="BL123" s="74">
        <v>219.95</v>
      </c>
      <c r="BM123" s="72"/>
      <c r="BN123" s="72"/>
      <c r="BO123" s="71"/>
      <c r="BP123" s="72"/>
    </row>
    <row r="124" spans="4:68" ht="13.8">
      <c r="W124" s="65"/>
      <c r="X124" s="65"/>
      <c r="AZ124" s="70" t="s">
        <v>38</v>
      </c>
      <c r="BA124" s="72"/>
      <c r="BB124" s="71"/>
      <c r="BC124" s="71"/>
      <c r="BD124" s="71"/>
      <c r="BE124" s="73" t="s">
        <v>412</v>
      </c>
      <c r="BF124" s="73">
        <v>5.851</v>
      </c>
      <c r="BG124" s="72">
        <v>53</v>
      </c>
      <c r="BH124" s="73">
        <f t="shared" si="35"/>
        <v>310.10300000000001</v>
      </c>
      <c r="BI124" s="72">
        <v>8</v>
      </c>
      <c r="BJ124" s="72">
        <v>15</v>
      </c>
      <c r="BK124" s="72">
        <v>18</v>
      </c>
      <c r="BL124" s="74"/>
      <c r="BM124" s="72"/>
      <c r="BN124" s="72">
        <v>22</v>
      </c>
      <c r="BO124" s="71">
        <v>13.5</v>
      </c>
      <c r="BP124" s="72" t="s">
        <v>421</v>
      </c>
    </row>
    <row r="125" spans="4:68">
      <c r="AZ125" s="70" t="s">
        <v>384</v>
      </c>
      <c r="BA125" s="72" t="s">
        <v>415</v>
      </c>
      <c r="BB125" s="71" t="s">
        <v>421</v>
      </c>
      <c r="BC125" s="71" t="s">
        <v>411</v>
      </c>
      <c r="BD125" s="71" t="s">
        <v>412</v>
      </c>
      <c r="BE125" s="73" t="s">
        <v>411</v>
      </c>
      <c r="BF125" s="73">
        <v>6.968</v>
      </c>
      <c r="BG125" s="72">
        <v>44</v>
      </c>
      <c r="BH125" s="73">
        <f t="shared" ref="BH125:BH131" si="36">BG125*BF125</f>
        <v>306.59199999999998</v>
      </c>
      <c r="BI125" s="72">
        <v>18</v>
      </c>
      <c r="BJ125" s="72">
        <v>16</v>
      </c>
      <c r="BK125" s="72">
        <v>13</v>
      </c>
      <c r="BL125" s="74">
        <v>239</v>
      </c>
      <c r="BM125" s="72"/>
      <c r="BN125" s="72">
        <v>14</v>
      </c>
      <c r="BO125" s="71">
        <v>15</v>
      </c>
      <c r="BP125" s="72" t="s">
        <v>459</v>
      </c>
    </row>
    <row r="126" spans="4:68">
      <c r="AZ126" s="70" t="s">
        <v>25</v>
      </c>
      <c r="BA126" s="72" t="s">
        <v>415</v>
      </c>
      <c r="BB126" s="71" t="s">
        <v>416</v>
      </c>
      <c r="BC126" s="71" t="s">
        <v>411</v>
      </c>
      <c r="BD126" s="71" t="s">
        <v>411</v>
      </c>
      <c r="BE126" s="73" t="s">
        <v>411</v>
      </c>
      <c r="BF126" s="73">
        <v>5.86</v>
      </c>
      <c r="BG126" s="72">
        <v>53</v>
      </c>
      <c r="BH126" s="73">
        <f t="shared" si="36"/>
        <v>310.58000000000004</v>
      </c>
      <c r="BI126" s="72">
        <v>11</v>
      </c>
      <c r="BJ126" s="72">
        <v>18</v>
      </c>
      <c r="BK126" s="72">
        <v>13</v>
      </c>
      <c r="BL126" s="74">
        <v>233.28</v>
      </c>
      <c r="BM126" s="72"/>
      <c r="BN126" s="72">
        <v>25</v>
      </c>
      <c r="BO126" s="71">
        <v>14.5</v>
      </c>
      <c r="BP126" s="72" t="s">
        <v>409</v>
      </c>
    </row>
    <row r="127" spans="4:68">
      <c r="D127" t="s">
        <v>1</v>
      </c>
      <c r="AZ127" s="70" t="s">
        <v>391</v>
      </c>
      <c r="BA127" s="72" t="s">
        <v>420</v>
      </c>
      <c r="BB127" s="71" t="s">
        <v>416</v>
      </c>
      <c r="BC127" s="71" t="s">
        <v>411</v>
      </c>
      <c r="BD127" s="71" t="s">
        <v>411</v>
      </c>
      <c r="BE127" s="73" t="s">
        <v>411</v>
      </c>
      <c r="BF127" s="73">
        <v>5.44</v>
      </c>
      <c r="BG127" s="72">
        <v>57</v>
      </c>
      <c r="BH127" s="73">
        <f t="shared" si="36"/>
        <v>310.08000000000004</v>
      </c>
      <c r="BI127" s="72">
        <v>11</v>
      </c>
      <c r="BJ127" s="72">
        <v>12</v>
      </c>
      <c r="BK127" s="72">
        <v>16</v>
      </c>
      <c r="BL127" s="74">
        <v>214.41</v>
      </c>
      <c r="BM127" s="72"/>
      <c r="BN127" s="72">
        <v>21</v>
      </c>
      <c r="BO127" s="71">
        <v>18.5</v>
      </c>
      <c r="BP127" s="72" t="s">
        <v>431</v>
      </c>
    </row>
    <row r="128" spans="4:68">
      <c r="AZ128" s="70" t="s">
        <v>39</v>
      </c>
      <c r="BA128" s="72" t="s">
        <v>415</v>
      </c>
      <c r="BB128" s="71" t="s">
        <v>416</v>
      </c>
      <c r="BC128" s="71" t="s">
        <v>411</v>
      </c>
      <c r="BD128" s="71" t="s">
        <v>417</v>
      </c>
      <c r="BE128" s="73" t="s">
        <v>411</v>
      </c>
      <c r="BF128" s="73">
        <v>5.5549999999999997</v>
      </c>
      <c r="BG128" s="72">
        <v>55</v>
      </c>
      <c r="BH128" s="73">
        <f t="shared" si="36"/>
        <v>305.52499999999998</v>
      </c>
      <c r="BI128" s="72">
        <v>12</v>
      </c>
      <c r="BJ128" s="72">
        <v>10</v>
      </c>
      <c r="BK128" s="72">
        <v>17</v>
      </c>
      <c r="BL128" s="74">
        <v>214.71</v>
      </c>
      <c r="BM128" s="72"/>
      <c r="BN128" s="72">
        <v>18</v>
      </c>
      <c r="BO128" s="71">
        <v>23.5</v>
      </c>
      <c r="BP128" s="72" t="s">
        <v>421</v>
      </c>
    </row>
    <row r="129" spans="31:68">
      <c r="AZ129" s="70" t="s">
        <v>37</v>
      </c>
      <c r="BA129" s="72" t="s">
        <v>420</v>
      </c>
      <c r="BB129" s="71" t="s">
        <v>421</v>
      </c>
      <c r="BC129" s="71" t="s">
        <v>411</v>
      </c>
      <c r="BD129" s="71" t="s">
        <v>411</v>
      </c>
      <c r="BE129" s="73" t="s">
        <v>412</v>
      </c>
      <c r="BF129" s="73">
        <v>5.6219999999999999</v>
      </c>
      <c r="BG129" s="72">
        <v>55</v>
      </c>
      <c r="BH129" s="73">
        <f t="shared" si="36"/>
        <v>309.20999999999998</v>
      </c>
      <c r="BI129" s="72">
        <v>11</v>
      </c>
      <c r="BJ129" s="72">
        <v>15</v>
      </c>
      <c r="BK129" s="72">
        <v>13</v>
      </c>
      <c r="BL129" s="74">
        <v>213.67</v>
      </c>
      <c r="BM129" s="72"/>
      <c r="BN129" s="72">
        <v>14</v>
      </c>
      <c r="BO129" s="71">
        <v>22.5</v>
      </c>
      <c r="BP129" s="72" t="s">
        <v>431</v>
      </c>
    </row>
    <row r="130" spans="31:68">
      <c r="AZ130" s="70" t="s">
        <v>398</v>
      </c>
      <c r="BA130" s="72" t="s">
        <v>415</v>
      </c>
      <c r="BB130" s="71" t="s">
        <v>421</v>
      </c>
      <c r="BC130" s="71" t="s">
        <v>430</v>
      </c>
      <c r="BD130" s="71" t="s">
        <v>417</v>
      </c>
      <c r="BE130" s="73" t="s">
        <v>411</v>
      </c>
      <c r="BF130" s="73">
        <v>4.2510000000000003</v>
      </c>
      <c r="BG130" s="72">
        <v>71</v>
      </c>
      <c r="BH130" s="73">
        <f t="shared" si="36"/>
        <v>301.82100000000003</v>
      </c>
      <c r="BI130" s="72">
        <v>9</v>
      </c>
      <c r="BJ130" s="72">
        <v>13</v>
      </c>
      <c r="BK130" s="72">
        <v>9</v>
      </c>
      <c r="BL130" s="74">
        <v>230.5</v>
      </c>
      <c r="BM130" s="72"/>
      <c r="BN130" s="72">
        <v>17</v>
      </c>
      <c r="BO130" s="71">
        <v>19.5</v>
      </c>
      <c r="BP130" s="72" t="s">
        <v>409</v>
      </c>
    </row>
    <row r="131" spans="31:68">
      <c r="AZ131" s="70" t="s">
        <v>43</v>
      </c>
      <c r="BA131" s="72" t="s">
        <v>415</v>
      </c>
      <c r="BB131" s="71" t="s">
        <v>416</v>
      </c>
      <c r="BC131" s="71" t="s">
        <v>411</v>
      </c>
      <c r="BD131" s="71" t="s">
        <v>417</v>
      </c>
      <c r="BE131" s="73" t="s">
        <v>411</v>
      </c>
      <c r="BF131" s="73">
        <v>4.2610000000000001</v>
      </c>
      <c r="BG131" s="72">
        <v>70</v>
      </c>
      <c r="BH131" s="73">
        <f t="shared" si="36"/>
        <v>298.27</v>
      </c>
      <c r="BI131" s="72">
        <v>11</v>
      </c>
      <c r="BJ131" s="72">
        <v>9</v>
      </c>
      <c r="BK131" s="72">
        <v>10</v>
      </c>
      <c r="BL131" s="74">
        <v>223.26</v>
      </c>
    </row>
    <row r="143" spans="31:68">
      <c r="AE143" t="s">
        <v>1</v>
      </c>
    </row>
    <row r="145" spans="25:31">
      <c r="AE145" t="s">
        <v>1</v>
      </c>
    </row>
    <row r="146" spans="25:31">
      <c r="AE146" t="s">
        <v>1</v>
      </c>
    </row>
    <row r="149" spans="25:31">
      <c r="Y149" t="s">
        <v>1</v>
      </c>
    </row>
  </sheetData>
  <sheetProtection selectLockedCells="1" selectUnlockedCells="1"/>
  <mergeCells count="12">
    <mergeCell ref="B50:C50"/>
    <mergeCell ref="B51:C51"/>
    <mergeCell ref="B45:C45"/>
    <mergeCell ref="B46:C46"/>
    <mergeCell ref="B47:C47"/>
    <mergeCell ref="B48:C48"/>
    <mergeCell ref="B49:C49"/>
    <mergeCell ref="BA1:BK1"/>
    <mergeCell ref="AO12:AO20"/>
    <mergeCell ref="B42:C42"/>
    <mergeCell ref="B43:C43"/>
    <mergeCell ref="B44:C44"/>
  </mergeCells>
  <phoneticPr fontId="3" type="noConversion"/>
  <hyperlinks>
    <hyperlink ref="DV16" r:id="rId1" display="https://gpro.net/fr/TrackOtStats.asp?id=54" xr:uid="{D94F59BB-1179-4D89-8092-C33A8693CC48}"/>
    <hyperlink ref="DV17" r:id="rId2" display="https://gpro.net/fr/TrackOtStats.asp?id=46" xr:uid="{C562DFCD-0DC9-44E9-926C-95740927C927}"/>
    <hyperlink ref="DV18" r:id="rId3" display="https://gpro.net/fr/TrackOtStats.asp?id=56" xr:uid="{A5120E33-044D-482E-B0BE-B6CF89A30953}"/>
    <hyperlink ref="DV19" r:id="rId4" display="https://gpro.net/fr/TrackOtStats.asp?id=41" xr:uid="{95C3325C-619B-4FEC-AFB6-EA3DF838C4F6}"/>
    <hyperlink ref="DV20" r:id="rId5" display="https://gpro.net/fr/TrackOtStats.asp?id=24" xr:uid="{1E5AA7AA-47E9-49FE-886C-EA6A5CE95BC4}"/>
    <hyperlink ref="DV21" r:id="rId6" display="https://gpro.net/fr/TrackOtStats.asp?id=11" xr:uid="{8CE2AD02-B1C5-4FB4-BDEE-BCCC8061119B}"/>
    <hyperlink ref="DV22" r:id="rId7" display="https://gpro.net/fr/TrackOtStats.asp?id=58" xr:uid="{44A61897-03F9-4DB9-85B8-5BA5E208368C}"/>
    <hyperlink ref="DV23" r:id="rId8" display="https://gpro.net/fr/TrackOtStats.asp?id=51" xr:uid="{9CCC1BAF-8438-49D2-8443-9EB438CF0F58}"/>
    <hyperlink ref="DV24" r:id="rId9" display="https://gpro.net/fr/TrackOtStats.asp?id=37" xr:uid="{70D7E705-6E42-4C0D-8566-918D8425E7F5}"/>
    <hyperlink ref="DV25" r:id="rId10" display="https://gpro.net/fr/TrackOtStats.asp?id=49" xr:uid="{718E3B95-2C0B-4417-A830-FBF278E33597}"/>
    <hyperlink ref="DV26" r:id="rId11" display="https://gpro.net/fr/TrackOtStats.asp?id=16" xr:uid="{CFB45F4D-0553-4638-923E-B797E997DEAF}"/>
    <hyperlink ref="DV27" r:id="rId12" display="https://gpro.net/fr/TrackOtStats.asp?id=45" xr:uid="{07369466-B864-4A08-9CD7-644F1E264E67}"/>
    <hyperlink ref="DV28" r:id="rId13" display="https://gpro.net/fr/TrackOtStats.asp?id=25" xr:uid="{BF84E588-32ED-424C-BA68-ABD9ED40D22D}"/>
    <hyperlink ref="DV29" r:id="rId14" display="https://gpro.net/fr/TrackOtStats.asp?id=33" xr:uid="{5EFF0447-1BB3-4AE7-AA05-C5CC71ACC326}"/>
    <hyperlink ref="DV30" r:id="rId15" display="https://gpro.net/fr/TrackOtStats.asp?id=43" xr:uid="{630DC794-C82B-4CD8-8626-0412E199A07F}"/>
    <hyperlink ref="DV31" r:id="rId16" display="https://gpro.net/fr/TrackOtStats.asp?id=12" xr:uid="{98874637-8ADD-4EB3-A251-D3C335F5FCB9}"/>
    <hyperlink ref="DV32" r:id="rId17" display="https://gpro.net/fr/TrackOtStats.asp?id=57" xr:uid="{036975FE-C46D-419B-AF9A-C5D57993C2DE}"/>
    <hyperlink ref="DV33" r:id="rId18" display="https://gpro.net/fr/TrackOtStats.asp?id=48" xr:uid="{906AFDE9-A51B-4D45-8BDC-7E708D41CD71}"/>
    <hyperlink ref="DV34" r:id="rId19" display="https://gpro.net/fr/TrackOtStats.asp?id=35" xr:uid="{3455D99A-75E2-4E20-859B-7D2441FCA11E}"/>
    <hyperlink ref="DV35" r:id="rId20" display="https://gpro.net/fr/TrackOtStats.asp?id=10" xr:uid="{DF27A05E-9400-4F1F-AD95-4F1685D183A1}"/>
    <hyperlink ref="DV36" r:id="rId21" display="https://gpro.net/fr/TrackOtStats.asp?id=44" xr:uid="{028EE8B9-42A8-4B54-BC0F-0BBC83AAE20B}"/>
    <hyperlink ref="DV37" r:id="rId22" display="https://gpro.net/fr/TrackOtStats.asp?id=15" xr:uid="{863A1A0B-62EC-4CFF-A9FE-1F48BAEC414A}"/>
    <hyperlink ref="DV38" r:id="rId23" display="https://gpro.net/fr/TrackOtStats.asp?id=8" xr:uid="{E16D8EC0-5102-4BF4-BD08-B3131C59C3F9}"/>
    <hyperlink ref="DV39" r:id="rId24" display="https://gpro.net/fr/TrackOtStats.asp?id=29" xr:uid="{83C6EF4C-80CA-4E2A-AD97-EA5590D9EC8F}"/>
    <hyperlink ref="DV40" r:id="rId25" display="https://gpro.net/fr/TrackOtStats.asp?id=36" xr:uid="{F8AEE552-D5FD-435E-854A-5A0A25658656}"/>
    <hyperlink ref="DV41" r:id="rId26" display="https://gpro.net/fr/TrackOtStats.asp?id=18" xr:uid="{2F4D0734-1999-4ABA-AF3A-7AB7F82418AB}"/>
    <hyperlink ref="DV42" r:id="rId27" display="https://gpro.net/fr/TrackOtStats.asp?id=6" xr:uid="{6BE17CD0-6E2E-4A04-B2E0-F94085CECB88}"/>
    <hyperlink ref="DV43" r:id="rId28" display="https://gpro.net/fr/TrackOtStats.asp?id=27" xr:uid="{B16E49AB-69EF-42D1-BECD-BE5EECA66DCD}"/>
    <hyperlink ref="DV44" r:id="rId29" display="https://gpro.net/fr/TrackOtStats.asp?id=1" xr:uid="{4F976859-E0D8-4C7A-9A45-A3081206A3FE}"/>
    <hyperlink ref="DV45" r:id="rId30" display="https://gpro.net/fr/TrackOtStats.asp?id=21" xr:uid="{ED9644F6-AEE7-42E3-8223-BDBA2FB44B63}"/>
    <hyperlink ref="DV46" r:id="rId31" display="https://gpro.net/fr/TrackOtStats.asp?id=52" xr:uid="{78020E6F-CA6D-4203-81D9-B09364E05040}"/>
    <hyperlink ref="DV47" r:id="rId32" display="https://gpro.net/fr/TrackOtStats.asp?id=17" xr:uid="{ACDF462A-5F68-42AF-8F46-858099E02D05}"/>
    <hyperlink ref="DV48" r:id="rId33" display="https://gpro.net/fr/TrackOtStats.asp?id=23" xr:uid="{1E4E4065-5F33-4D4A-AA3F-58EB3EFCEDA2}"/>
    <hyperlink ref="DV49" r:id="rId34" display="https://gpro.net/fr/TrackOtStats.asp?id=40" xr:uid="{8A718415-B594-4239-81F7-C00D61DD5EA0}"/>
    <hyperlink ref="DV50" r:id="rId35" display="https://gpro.net/fr/TrackOtStats.asp?id=31" xr:uid="{6D33FE78-33EE-436F-88F2-E0BFBCD58189}"/>
    <hyperlink ref="DV51" r:id="rId36" display="https://gpro.net/fr/TrackOtStats.asp?id=55" xr:uid="{7234230E-8452-4F8D-9D39-7ACB415682ED}"/>
    <hyperlink ref="DV52" r:id="rId37" display="https://gpro.net/fr/TrackOtStats.asp?id=38" xr:uid="{175C9F77-421E-439A-9BEA-06CA97044545}"/>
    <hyperlink ref="DV53" r:id="rId38" display="https://gpro.net/fr/TrackOtStats.asp?id=14" xr:uid="{9818AAB2-7184-4C81-BB0A-81E7518E7126}"/>
    <hyperlink ref="DV54" r:id="rId39" display="https://gpro.net/fr/TrackOtStats.asp?id=19" xr:uid="{9B0CF276-74D7-48A9-BA58-B415A7D957A3}"/>
    <hyperlink ref="DV55" r:id="rId40" display="https://gpro.net/fr/TrackOtStats.asp?id=26" xr:uid="{9FD55BCB-57CF-42D8-B65B-5E72BBE3A37F}"/>
    <hyperlink ref="DV56" r:id="rId41" display="https://gpro.net/fr/TrackOtStats.asp?id=50" xr:uid="{75A8B6D5-5333-49C0-A32B-39B7AF02C9E6}"/>
    <hyperlink ref="DV57" r:id="rId42" display="https://gpro.net/fr/TrackOtStats.asp?id=32" xr:uid="{75E5340F-240F-498F-93D9-B051299416C3}"/>
    <hyperlink ref="DV58" r:id="rId43" display="https://gpro.net/fr/TrackOtStats.asp?id=47" xr:uid="{7F8BBD8E-7A6E-4995-8087-F5735FB4BB08}"/>
    <hyperlink ref="DV59" r:id="rId44" display="https://gpro.net/fr/TrackOtStats.asp?id=28" xr:uid="{988860F7-D470-4715-8568-E348F22E08D9}"/>
    <hyperlink ref="DV60" r:id="rId45" display="https://gpro.net/fr/TrackOtStats.asp?id=34" xr:uid="{475CBAFC-5832-4342-BAC5-25A42EA889FD}"/>
    <hyperlink ref="DV61" r:id="rId46" display="https://gpro.net/fr/TrackOtStats.asp?id=22" xr:uid="{761E7550-39D3-43E7-9BAB-F6389831A9C3}"/>
    <hyperlink ref="DV62" r:id="rId47" display="https://gpro.net/fr/TrackOtStats.asp?id=3" xr:uid="{7F607E18-9AEC-4BD1-B0B3-B211899A30D9}"/>
    <hyperlink ref="DV63" r:id="rId48" display="https://gpro.net/fr/TrackOtStats.asp?id=59" xr:uid="{CA2A6CE1-EC02-4430-A179-947D5AE0B36B}"/>
    <hyperlink ref="DV64" r:id="rId49" display="https://gpro.net/fr/TrackOtStats.asp?id=13" xr:uid="{02DBBA4D-0B76-4615-8AE8-7EAEF913B192}"/>
    <hyperlink ref="DV65" r:id="rId50" display="https://gpro.net/fr/TrackOtStats.asp?id=39" xr:uid="{44166A18-C12C-4754-8710-9DFF75784177}"/>
    <hyperlink ref="DV66" r:id="rId51" display="https://gpro.net/fr/TrackOtStats.asp?id=5" xr:uid="{BD4A69F6-C178-493F-A8BE-9AEAB3F91C3F}"/>
    <hyperlink ref="DV67" r:id="rId52" display="https://gpro.net/fr/TrackOtStats.asp?id=42" xr:uid="{475B0784-1479-49CF-BB49-29184A893AF5}"/>
    <hyperlink ref="DV68" r:id="rId53" display="https://gpro.net/fr/TrackOtStats.asp?id=7" xr:uid="{3247E46C-DD91-42CE-A333-9AB28563B4AD}"/>
    <hyperlink ref="DV69" r:id="rId54" display="https://gpro.net/fr/TrackOtStats.asp?id=20" xr:uid="{CAFE08A3-9C30-419A-8517-67CB1F77D528}"/>
    <hyperlink ref="DV70" r:id="rId55" display="https://gpro.net/fr/TrackOtStats.asp?id=2" xr:uid="{07E91DDA-BC3C-4CAE-9F11-57F46BF5661E}"/>
    <hyperlink ref="DV71" r:id="rId56" display="https://gpro.net/fr/TrackOtStats.asp?id=60" xr:uid="{937925BA-E93C-498B-9ECE-6EE7972C518D}"/>
    <hyperlink ref="DV72" r:id="rId57" display="https://gpro.net/fr/TrackOtStats.asp?id=9" xr:uid="{12F9D203-AA8F-4EFD-BFC6-BAB6C337349C}"/>
    <hyperlink ref="DV73" r:id="rId58" display="https://gpro.net/fr/TrackOtStats.asp?id=30" xr:uid="{E1A61CA1-A8F2-44B9-8FE3-28E6757D70E6}"/>
    <hyperlink ref="DV74" r:id="rId59" display="https://gpro.net/fr/TrackOtStats.asp?id=53" xr:uid="{486419AB-9A9A-48CA-A829-7D2F5329E26A}"/>
    <hyperlink ref="DV75" r:id="rId60" display="https://gpro.net/fr/TrackOtStats.asp?id=4" xr:uid="{9DE9A3AB-E86D-4C7E-A75B-D8CD019165CC}"/>
    <hyperlink ref="DV77" r:id="rId61" display="https://gpro.net/fr/TrackOtStats.asp?id=46" xr:uid="{AD480DE2-E94D-4171-8017-07989C845D1E}"/>
  </hyperlinks>
  <pageMargins left="0.78749999999999998" right="0.78749999999999998" top="1.0527777777777778" bottom="1.0527777777777778" header="0.78749999999999998" footer="0.78749999999999998"/>
  <pageSetup paperSize="9" firstPageNumber="0" orientation="portrait" horizontalDpi="300" verticalDpi="300" r:id="rId62"/>
  <headerFooter alignWithMargins="0">
    <oddHeader>&amp;C&amp;"Times New Roman,Normal"&amp;12&amp;A</oddHeader>
    <oddFooter>&amp;C&amp;"Times New Roman,Normal"&amp;12Page &amp;P</oddFooter>
  </headerFooter>
  <tableParts count="1">
    <tablePart r:id="rId6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76"/>
  <sheetViews>
    <sheetView topLeftCell="A16" workbookViewId="0">
      <selection activeCell="C45" sqref="C45"/>
    </sheetView>
  </sheetViews>
  <sheetFormatPr baseColWidth="10" defaultRowHeight="13.2"/>
  <sheetData>
    <row r="1" spans="1:49">
      <c r="G1" t="s">
        <v>191</v>
      </c>
      <c r="H1" t="s">
        <v>192</v>
      </c>
    </row>
    <row r="2" spans="1:49">
      <c r="F2" t="s">
        <v>200</v>
      </c>
      <c r="G2">
        <v>1</v>
      </c>
      <c r="H2">
        <v>1.0193267935988299</v>
      </c>
      <c r="J2" t="s">
        <v>1</v>
      </c>
      <c r="K2" t="s">
        <v>1</v>
      </c>
      <c r="L2" t="s">
        <v>21</v>
      </c>
    </row>
    <row r="3" spans="1:49">
      <c r="G3">
        <v>2</v>
      </c>
      <c r="H3">
        <v>1.00995581572653</v>
      </c>
      <c r="J3" t="s">
        <v>1</v>
      </c>
      <c r="K3" t="s">
        <v>1</v>
      </c>
      <c r="L3" t="s">
        <v>1</v>
      </c>
    </row>
    <row r="4" spans="1:49">
      <c r="G4">
        <v>3</v>
      </c>
      <c r="H4">
        <v>1.0073261618496101</v>
      </c>
      <c r="J4" t="s">
        <v>1</v>
      </c>
      <c r="K4" t="s">
        <v>1</v>
      </c>
      <c r="L4" t="s">
        <v>1</v>
      </c>
    </row>
    <row r="5" spans="1:49">
      <c r="G5">
        <v>4</v>
      </c>
      <c r="H5">
        <v>1.0053141448054901</v>
      </c>
      <c r="J5" t="s">
        <v>1</v>
      </c>
      <c r="K5" t="s">
        <v>1</v>
      </c>
      <c r="L5" t="s">
        <v>1</v>
      </c>
      <c r="AR5">
        <f>VLOOKUP('tableau financier'!D4,'constantes gp'!AT13:AW76,2)</f>
        <v>5.3668947126956397</v>
      </c>
    </row>
    <row r="6" spans="1:49">
      <c r="G6">
        <v>5</v>
      </c>
      <c r="H6">
        <v>1.0043268635857201</v>
      </c>
      <c r="J6" t="s">
        <v>1</v>
      </c>
      <c r="K6" t="s">
        <v>1</v>
      </c>
      <c r="L6" t="s">
        <v>1</v>
      </c>
    </row>
    <row r="7" spans="1:49">
      <c r="G7">
        <v>6</v>
      </c>
      <c r="H7">
        <v>1.0036669136885199</v>
      </c>
      <c r="J7" t="s">
        <v>1</v>
      </c>
      <c r="K7" t="s">
        <v>1</v>
      </c>
      <c r="L7" t="s">
        <v>1</v>
      </c>
    </row>
    <row r="8" spans="1:49">
      <c r="A8" t="s">
        <v>1</v>
      </c>
      <c r="G8">
        <v>7</v>
      </c>
      <c r="H8">
        <v>1.00430482472465</v>
      </c>
      <c r="J8" t="s">
        <v>1</v>
      </c>
      <c r="K8" t="s">
        <v>1</v>
      </c>
      <c r="L8" t="s">
        <v>1</v>
      </c>
    </row>
    <row r="9" spans="1:49">
      <c r="C9" t="s">
        <v>835</v>
      </c>
      <c r="D9" t="s">
        <v>843</v>
      </c>
      <c r="E9" t="s">
        <v>98</v>
      </c>
      <c r="G9">
        <v>8</v>
      </c>
      <c r="H9">
        <v>1.0096900118273699</v>
      </c>
      <c r="J9" t="s">
        <v>1</v>
      </c>
      <c r="K9" t="s">
        <v>1</v>
      </c>
      <c r="L9" t="s">
        <v>1</v>
      </c>
    </row>
    <row r="10" spans="1:49">
      <c r="C10">
        <v>0.99878913800000002</v>
      </c>
      <c r="D10">
        <v>0.99875183899999997</v>
      </c>
      <c r="E10">
        <v>0.99870767699999996</v>
      </c>
      <c r="G10">
        <v>9</v>
      </c>
      <c r="H10">
        <v>1.0051519553917501</v>
      </c>
      <c r="J10" t="s">
        <v>1</v>
      </c>
      <c r="K10" t="s">
        <v>1</v>
      </c>
      <c r="L10" t="s">
        <v>1</v>
      </c>
    </row>
    <row r="11" spans="1:49">
      <c r="AU11" s="213" t="s">
        <v>896</v>
      </c>
      <c r="AV11" s="214"/>
      <c r="AW11" s="215"/>
    </row>
    <row r="12" spans="1:49">
      <c r="B12" s="98" t="s">
        <v>41</v>
      </c>
      <c r="C12" s="99" t="s">
        <v>144</v>
      </c>
      <c r="D12" s="99" t="s">
        <v>145</v>
      </c>
      <c r="E12" s="99" t="s">
        <v>146</v>
      </c>
      <c r="F12" s="99" t="s">
        <v>147</v>
      </c>
      <c r="G12" s="100" t="s">
        <v>148</v>
      </c>
      <c r="H12" s="100" t="s">
        <v>149</v>
      </c>
      <c r="I12" s="100" t="s">
        <v>150</v>
      </c>
      <c r="J12" s="100" t="s">
        <v>151</v>
      </c>
      <c r="K12" s="100" t="s">
        <v>152</v>
      </c>
      <c r="L12" s="100" t="s">
        <v>153</v>
      </c>
      <c r="M12" s="100" t="s">
        <v>154</v>
      </c>
      <c r="N12" s="102"/>
      <c r="O12" t="s">
        <v>840</v>
      </c>
      <c r="P12" t="s">
        <v>836</v>
      </c>
      <c r="Q12" t="s">
        <v>256</v>
      </c>
      <c r="S12" s="98" t="s">
        <v>41</v>
      </c>
      <c r="T12" s="99" t="s">
        <v>144</v>
      </c>
      <c r="U12" s="99" t="s">
        <v>145</v>
      </c>
      <c r="V12" s="99" t="s">
        <v>146</v>
      </c>
      <c r="W12" s="99" t="s">
        <v>147</v>
      </c>
      <c r="X12" s="100" t="s">
        <v>148</v>
      </c>
      <c r="Y12" s="100" t="s">
        <v>149</v>
      </c>
      <c r="Z12" s="100" t="s">
        <v>150</v>
      </c>
      <c r="AA12" s="100" t="s">
        <v>151</v>
      </c>
      <c r="AB12" s="100" t="s">
        <v>152</v>
      </c>
      <c r="AC12" s="100" t="s">
        <v>153</v>
      </c>
      <c r="AD12" s="100" t="s">
        <v>154</v>
      </c>
      <c r="AG12" s="110" t="s">
        <v>41</v>
      </c>
      <c r="AH12" s="111" t="s">
        <v>144</v>
      </c>
      <c r="AI12" s="111" t="s">
        <v>145</v>
      </c>
      <c r="AJ12" s="111" t="s">
        <v>146</v>
      </c>
      <c r="AK12" s="111" t="s">
        <v>147</v>
      </c>
      <c r="AL12" s="103" t="s">
        <v>148</v>
      </c>
      <c r="AM12" s="103" t="s">
        <v>149</v>
      </c>
      <c r="AN12" s="103" t="s">
        <v>150</v>
      </c>
      <c r="AO12" s="103" t="s">
        <v>151</v>
      </c>
      <c r="AP12" s="103" t="s">
        <v>152</v>
      </c>
      <c r="AQ12" s="103" t="s">
        <v>153</v>
      </c>
      <c r="AR12" s="103" t="s">
        <v>154</v>
      </c>
      <c r="AT12" s="136" t="s">
        <v>895</v>
      </c>
      <c r="AU12" s="131" t="s">
        <v>897</v>
      </c>
      <c r="AV12" s="137" t="s">
        <v>898</v>
      </c>
      <c r="AW12" s="137" t="s">
        <v>192</v>
      </c>
    </row>
    <row r="13" spans="1:49">
      <c r="B13" s="101" t="s">
        <v>169</v>
      </c>
      <c r="C13" s="56">
        <v>28.120999999999999</v>
      </c>
      <c r="D13" s="56">
        <v>51.284999999999997</v>
      </c>
      <c r="E13" s="56">
        <v>19.515999999999998</v>
      </c>
      <c r="F13" s="56">
        <v>20.606000000000002</v>
      </c>
      <c r="G13" s="56">
        <v>20.02</v>
      </c>
      <c r="H13" s="56">
        <v>23.585000000000001</v>
      </c>
      <c r="I13" s="56">
        <v>17.574999999999999</v>
      </c>
      <c r="J13" s="56">
        <v>35.973999999999997</v>
      </c>
      <c r="K13" s="56">
        <v>42.186999999999998</v>
      </c>
      <c r="L13" s="56">
        <v>26.704000000000001</v>
      </c>
      <c r="M13" s="56">
        <v>20.585999999999999</v>
      </c>
      <c r="N13" t="s">
        <v>169</v>
      </c>
      <c r="O13">
        <v>4.3250000000000002</v>
      </c>
      <c r="P13">
        <v>307.10000000000002</v>
      </c>
      <c r="Q13">
        <v>71</v>
      </c>
      <c r="S13" s="101" t="s">
        <v>169</v>
      </c>
      <c r="T13" s="56">
        <v>28.364000000000001</v>
      </c>
      <c r="U13" s="56">
        <v>50.048999999999999</v>
      </c>
      <c r="V13" s="56">
        <v>20.163</v>
      </c>
      <c r="W13" s="56">
        <v>21.196000000000002</v>
      </c>
      <c r="X13" s="56">
        <v>20.946999999999999</v>
      </c>
      <c r="Y13" s="56">
        <v>24.105</v>
      </c>
      <c r="Z13" s="56">
        <v>18.277999999999999</v>
      </c>
      <c r="AA13" s="56">
        <v>35.533000000000001</v>
      </c>
      <c r="AB13" s="56">
        <v>41.421999999999997</v>
      </c>
      <c r="AC13" s="56">
        <v>26.859000000000002</v>
      </c>
      <c r="AD13" s="56">
        <v>21.234000000000002</v>
      </c>
      <c r="AE13" s="101" t="s">
        <v>169</v>
      </c>
      <c r="AG13" s="112" t="s">
        <v>169</v>
      </c>
      <c r="AH13" s="56">
        <v>28.485932300000002</v>
      </c>
      <c r="AI13" s="56">
        <v>54.4018011</v>
      </c>
      <c r="AJ13" s="56">
        <v>18.113814999999999</v>
      </c>
      <c r="AK13" s="56">
        <v>19.507185400000001</v>
      </c>
      <c r="AL13" s="56">
        <v>18.822836899999999</v>
      </c>
      <c r="AM13" s="56">
        <v>22.878095699999999</v>
      </c>
      <c r="AN13" s="56">
        <v>16.152153599999998</v>
      </c>
      <c r="AO13" s="56">
        <v>37.124533499999998</v>
      </c>
      <c r="AP13" s="56">
        <v>43.9258758</v>
      </c>
      <c r="AQ13" s="56">
        <v>25.8787576</v>
      </c>
      <c r="AR13" s="56">
        <v>19.477680100000001</v>
      </c>
      <c r="AT13" s="101" t="s">
        <v>169</v>
      </c>
      <c r="AU13" s="138">
        <v>6.2168920113260935</v>
      </c>
      <c r="AV13" s="138">
        <v>0.87804910172378481</v>
      </c>
      <c r="AW13" s="138">
        <v>-8.2853930000000006E-2</v>
      </c>
    </row>
    <row r="14" spans="1:49">
      <c r="B14" s="101" t="s">
        <v>36</v>
      </c>
      <c r="C14" s="56">
        <v>38.31</v>
      </c>
      <c r="D14" s="56">
        <v>20.050999999999998</v>
      </c>
      <c r="E14" s="56">
        <v>40.415999999999997</v>
      </c>
      <c r="F14" s="56">
        <v>47.482999999999997</v>
      </c>
      <c r="G14" s="56">
        <v>43.31</v>
      </c>
      <c r="H14" s="56">
        <v>26.41</v>
      </c>
      <c r="I14" s="56">
        <v>30.728000000000002</v>
      </c>
      <c r="J14" s="56">
        <v>29.934999999999999</v>
      </c>
      <c r="K14" s="56">
        <v>24.483000000000001</v>
      </c>
      <c r="L14" s="56">
        <v>15.788</v>
      </c>
      <c r="M14" s="56">
        <v>22.181000000000001</v>
      </c>
      <c r="N14" t="s">
        <v>36</v>
      </c>
      <c r="O14">
        <v>3.78</v>
      </c>
      <c r="P14">
        <v>298.60000000000002</v>
      </c>
      <c r="Q14">
        <v>79</v>
      </c>
      <c r="S14" s="101" t="s">
        <v>36</v>
      </c>
      <c r="T14" s="56">
        <v>37.701000000000001</v>
      </c>
      <c r="U14" s="56">
        <v>19.199000000000002</v>
      </c>
      <c r="V14" s="56">
        <v>39.871000000000002</v>
      </c>
      <c r="W14" s="56">
        <v>46.941000000000003</v>
      </c>
      <c r="X14" s="56">
        <v>42.558</v>
      </c>
      <c r="Y14" s="56">
        <v>25.695</v>
      </c>
      <c r="Z14" s="56">
        <v>29.995999999999999</v>
      </c>
      <c r="AA14" s="56">
        <v>29.09</v>
      </c>
      <c r="AB14" s="56">
        <v>23.684000000000001</v>
      </c>
      <c r="AC14" s="56">
        <v>14.93</v>
      </c>
      <c r="AD14" s="56">
        <v>21.454000000000001</v>
      </c>
      <c r="AE14" s="101" t="s">
        <v>36</v>
      </c>
      <c r="AG14" s="112" t="s">
        <v>36</v>
      </c>
      <c r="AH14" s="56">
        <v>37.92</v>
      </c>
      <c r="AI14" s="56">
        <v>18.96</v>
      </c>
      <c r="AJ14" s="56">
        <v>40.950000000000003</v>
      </c>
      <c r="AK14" s="56">
        <v>48.03</v>
      </c>
      <c r="AL14" s="56">
        <v>43.19</v>
      </c>
      <c r="AM14" s="56">
        <v>25.64</v>
      </c>
      <c r="AN14" s="56">
        <v>30.33</v>
      </c>
      <c r="AO14" s="56">
        <v>29.69</v>
      </c>
      <c r="AP14" s="56">
        <v>23.41</v>
      </c>
      <c r="AQ14" s="56">
        <v>14.85</v>
      </c>
      <c r="AR14" s="56">
        <v>21.6</v>
      </c>
      <c r="AT14" s="101" t="s">
        <v>36</v>
      </c>
      <c r="AU14" s="138">
        <v>5.1583797665011808</v>
      </c>
      <c r="AV14" s="138">
        <v>1</v>
      </c>
      <c r="AW14" s="138">
        <v>-0.22807195</v>
      </c>
    </row>
    <row r="15" spans="1:49">
      <c r="B15" s="101" t="s">
        <v>181</v>
      </c>
      <c r="C15" s="56">
        <v>19.073</v>
      </c>
      <c r="D15" s="56">
        <v>25.831</v>
      </c>
      <c r="E15" s="56">
        <v>26.172000000000001</v>
      </c>
      <c r="F15" s="56">
        <v>25.46</v>
      </c>
      <c r="G15" s="56">
        <v>21.797999999999998</v>
      </c>
      <c r="H15" s="56">
        <v>19.148</v>
      </c>
      <c r="I15" s="56">
        <v>15.28</v>
      </c>
      <c r="J15" s="56">
        <v>23.788</v>
      </c>
      <c r="K15" s="56">
        <v>30.454999999999998</v>
      </c>
      <c r="L15" s="56">
        <v>22.206</v>
      </c>
      <c r="M15" s="56">
        <v>11.454000000000001</v>
      </c>
      <c r="N15" t="s">
        <v>181</v>
      </c>
      <c r="O15">
        <v>3.04</v>
      </c>
      <c r="P15">
        <v>243.2</v>
      </c>
      <c r="Q15">
        <v>80</v>
      </c>
      <c r="S15" s="101" t="s">
        <v>181</v>
      </c>
      <c r="T15" s="56">
        <v>19.004999999999999</v>
      </c>
      <c r="U15" s="56">
        <v>24.242000000000001</v>
      </c>
      <c r="V15" s="56">
        <v>26.228000000000002</v>
      </c>
      <c r="W15" s="56">
        <v>25.398</v>
      </c>
      <c r="X15" s="56">
        <v>21.434000000000001</v>
      </c>
      <c r="Y15" s="56">
        <v>19.065999999999999</v>
      </c>
      <c r="Z15" s="56">
        <v>15.144</v>
      </c>
      <c r="AA15" s="56">
        <v>23.54</v>
      </c>
      <c r="AB15" s="56">
        <v>30.803999999999998</v>
      </c>
      <c r="AC15" s="56">
        <v>21.994</v>
      </c>
      <c r="AD15" s="56">
        <v>11.295</v>
      </c>
      <c r="AE15" s="101" t="s">
        <v>181</v>
      </c>
      <c r="AG15" s="112" t="s">
        <v>181</v>
      </c>
      <c r="AH15" s="56">
        <v>18.53</v>
      </c>
      <c r="AI15" s="56">
        <v>23.92</v>
      </c>
      <c r="AJ15" s="56">
        <v>25.81</v>
      </c>
      <c r="AK15" s="56">
        <v>24.76</v>
      </c>
      <c r="AL15" s="56">
        <v>21.63</v>
      </c>
      <c r="AM15" s="56">
        <v>19.7</v>
      </c>
      <c r="AN15" s="56">
        <v>14.41</v>
      </c>
      <c r="AO15" s="56">
        <v>23.1</v>
      </c>
      <c r="AP15" s="56">
        <v>29.8</v>
      </c>
      <c r="AQ15" s="56">
        <v>22.59</v>
      </c>
      <c r="AR15" s="56">
        <v>15</v>
      </c>
      <c r="AT15" s="101" t="s">
        <v>181</v>
      </c>
      <c r="AU15" s="138">
        <v>6.9757777160891674</v>
      </c>
      <c r="AV15" s="138">
        <v>0.89556314821188354</v>
      </c>
      <c r="AW15" s="138">
        <v>1.33804605</v>
      </c>
    </row>
    <row r="16" spans="1:49">
      <c r="B16" s="101" t="s">
        <v>187</v>
      </c>
      <c r="C16" s="56">
        <v>24.39</v>
      </c>
      <c r="D16" s="56">
        <v>51.426000000000002</v>
      </c>
      <c r="E16" s="56">
        <v>19.501999999999999</v>
      </c>
      <c r="F16" s="56">
        <v>18.306000000000001</v>
      </c>
      <c r="G16" s="56">
        <v>41.683999999999997</v>
      </c>
      <c r="H16" s="56">
        <v>27.13</v>
      </c>
      <c r="I16" s="56">
        <v>15.321999999999999</v>
      </c>
      <c r="J16" s="56">
        <v>40.256999999999998</v>
      </c>
      <c r="K16" s="56">
        <v>51.488999999999997</v>
      </c>
      <c r="L16" s="56">
        <v>21.306000000000001</v>
      </c>
      <c r="M16" s="56">
        <v>12.99</v>
      </c>
      <c r="N16" t="s">
        <v>187</v>
      </c>
      <c r="O16">
        <v>4.0259999999999998</v>
      </c>
      <c r="P16">
        <v>281.8</v>
      </c>
      <c r="Q16">
        <v>70</v>
      </c>
      <c r="S16" s="101" t="s">
        <v>187</v>
      </c>
      <c r="T16" s="56">
        <v>24.056999999999999</v>
      </c>
      <c r="U16" s="56">
        <v>49.52</v>
      </c>
      <c r="V16" s="56">
        <v>19.009</v>
      </c>
      <c r="W16" s="56">
        <v>17.681999999999999</v>
      </c>
      <c r="X16" s="56">
        <v>41.683</v>
      </c>
      <c r="Y16" s="56">
        <v>26.54</v>
      </c>
      <c r="Z16" s="56">
        <v>14.497</v>
      </c>
      <c r="AA16" s="56">
        <v>40.326000000000001</v>
      </c>
      <c r="AB16" s="56">
        <v>51.838999999999999</v>
      </c>
      <c r="AC16" s="56">
        <v>20.751999999999999</v>
      </c>
      <c r="AD16" s="56">
        <v>12.061999999999999</v>
      </c>
      <c r="AE16" s="101" t="s">
        <v>187</v>
      </c>
      <c r="AG16" s="112" t="s">
        <v>187</v>
      </c>
      <c r="AH16" s="56">
        <v>24.73</v>
      </c>
      <c r="AI16" s="56">
        <v>50.99</v>
      </c>
      <c r="AJ16" s="56">
        <v>19.27</v>
      </c>
      <c r="AK16" s="56">
        <v>17.739999999999998</v>
      </c>
      <c r="AL16" s="56">
        <v>42.59</v>
      </c>
      <c r="AM16" s="56">
        <v>26.26</v>
      </c>
      <c r="AN16" s="56">
        <v>14.3</v>
      </c>
      <c r="AO16" s="56">
        <v>41.37</v>
      </c>
      <c r="AP16" s="56">
        <v>63.62</v>
      </c>
      <c r="AQ16" s="56">
        <v>20.96</v>
      </c>
      <c r="AR16" s="56">
        <v>11.9</v>
      </c>
      <c r="AT16" s="101" t="s">
        <v>187</v>
      </c>
      <c r="AU16" s="138">
        <v>8.8423566652048589</v>
      </c>
      <c r="AV16" s="138">
        <v>0.57610120312543933</v>
      </c>
      <c r="AW16" s="138">
        <v>-0.35231314000000002</v>
      </c>
    </row>
    <row r="17" spans="2:49">
      <c r="B17" s="101" t="s">
        <v>29</v>
      </c>
      <c r="C17" s="56">
        <v>17.800999999999998</v>
      </c>
      <c r="D17" s="56">
        <v>38.165999999999997</v>
      </c>
      <c r="E17" s="56">
        <v>28.62</v>
      </c>
      <c r="F17" s="56">
        <v>28.661999999999999</v>
      </c>
      <c r="G17" s="56">
        <v>20.04</v>
      </c>
      <c r="H17" s="56">
        <v>18.968</v>
      </c>
      <c r="I17" s="56">
        <v>19.497</v>
      </c>
      <c r="J17" s="56">
        <v>30.111999999999998</v>
      </c>
      <c r="K17" s="56">
        <v>35.848999999999997</v>
      </c>
      <c r="L17" s="56">
        <v>15.468</v>
      </c>
      <c r="M17" s="56">
        <v>15.521000000000001</v>
      </c>
      <c r="N17" t="s">
        <v>29</v>
      </c>
      <c r="O17">
        <v>5.516</v>
      </c>
      <c r="P17">
        <v>308.89999999999998</v>
      </c>
      <c r="Q17">
        <v>56</v>
      </c>
      <c r="S17" s="101" t="s">
        <v>29</v>
      </c>
      <c r="T17" s="56">
        <v>17.437000000000001</v>
      </c>
      <c r="U17" s="56">
        <v>36.613</v>
      </c>
      <c r="V17" s="56">
        <v>28.306000000000001</v>
      </c>
      <c r="W17" s="56">
        <v>28.364999999999998</v>
      </c>
      <c r="X17" s="56">
        <v>19.710999999999999</v>
      </c>
      <c r="Y17" s="56">
        <v>18.619</v>
      </c>
      <c r="Z17" s="56">
        <v>19.175999999999998</v>
      </c>
      <c r="AA17" s="56">
        <v>29.87</v>
      </c>
      <c r="AB17" s="56">
        <v>35.686999999999998</v>
      </c>
      <c r="AC17" s="56">
        <v>15.265000000000001</v>
      </c>
      <c r="AD17" s="56">
        <v>15.166</v>
      </c>
      <c r="AE17" s="101" t="s">
        <v>29</v>
      </c>
      <c r="AG17" s="112" t="s">
        <v>29</v>
      </c>
      <c r="AH17" s="56">
        <v>17.329999999999998</v>
      </c>
      <c r="AI17" s="56">
        <v>37.11</v>
      </c>
      <c r="AJ17" s="56">
        <v>29.46</v>
      </c>
      <c r="AK17" s="56">
        <v>29.46</v>
      </c>
      <c r="AL17" s="56">
        <v>19.440000000000001</v>
      </c>
      <c r="AM17" s="56">
        <v>17.91</v>
      </c>
      <c r="AN17" s="56">
        <v>19.059999999999999</v>
      </c>
      <c r="AO17" s="56">
        <v>30.04</v>
      </c>
      <c r="AP17" s="56">
        <v>35.81</v>
      </c>
      <c r="AQ17" s="56">
        <v>14.33</v>
      </c>
      <c r="AR17" s="56">
        <v>14.33</v>
      </c>
      <c r="AT17" s="101" t="s">
        <v>29</v>
      </c>
      <c r="AU17" s="138">
        <v>6.0183397594574028</v>
      </c>
      <c r="AV17" s="138">
        <v>0.58590748862331832</v>
      </c>
      <c r="AW17" s="138">
        <v>9.3611010000000008E-2</v>
      </c>
    </row>
    <row r="18" spans="2:49">
      <c r="B18" s="101" t="s">
        <v>27</v>
      </c>
      <c r="C18" s="56">
        <v>29.776</v>
      </c>
      <c r="D18" s="56">
        <v>85.668000000000006</v>
      </c>
      <c r="E18" s="56">
        <v>16.91</v>
      </c>
      <c r="F18" s="56">
        <v>18.579000000000001</v>
      </c>
      <c r="G18" s="56">
        <v>35.994</v>
      </c>
      <c r="H18" s="56">
        <v>17.959</v>
      </c>
      <c r="I18" s="56">
        <v>19.393000000000001</v>
      </c>
      <c r="J18" s="56">
        <v>26.65</v>
      </c>
      <c r="K18" s="56">
        <v>23.611999999999998</v>
      </c>
      <c r="L18" s="56">
        <v>59.039000000000001</v>
      </c>
      <c r="M18" s="56">
        <v>21.64</v>
      </c>
      <c r="N18" t="s">
        <v>27</v>
      </c>
      <c r="O18">
        <v>4.88</v>
      </c>
      <c r="P18">
        <v>312.3</v>
      </c>
      <c r="Q18">
        <v>64</v>
      </c>
      <c r="S18" s="101" t="s">
        <v>27</v>
      </c>
      <c r="T18" s="56">
        <v>29.640999999999998</v>
      </c>
      <c r="U18" s="56">
        <v>82.947999999999993</v>
      </c>
      <c r="V18" s="56">
        <v>16.89</v>
      </c>
      <c r="W18" s="56">
        <v>18.291</v>
      </c>
      <c r="X18" s="56">
        <v>35.856999999999999</v>
      </c>
      <c r="Y18" s="56">
        <v>17.695</v>
      </c>
      <c r="Z18" s="56">
        <v>19.192</v>
      </c>
      <c r="AA18" s="56">
        <v>26.277000000000001</v>
      </c>
      <c r="AB18" s="56">
        <v>23.155000000000001</v>
      </c>
      <c r="AC18" s="56">
        <v>58.773000000000003</v>
      </c>
      <c r="AD18" s="56">
        <v>21.23</v>
      </c>
      <c r="AE18" s="101" t="s">
        <v>27</v>
      </c>
      <c r="AG18" s="112" t="s">
        <v>27</v>
      </c>
      <c r="AH18" s="56">
        <v>37</v>
      </c>
      <c r="AI18" s="56">
        <v>112</v>
      </c>
      <c r="AJ18" s="56">
        <v>18</v>
      </c>
      <c r="AK18" s="56">
        <v>22</v>
      </c>
      <c r="AL18" s="56">
        <v>45</v>
      </c>
      <c r="AM18" s="56">
        <v>21</v>
      </c>
      <c r="AN18" s="56">
        <v>22</v>
      </c>
      <c r="AO18" s="56">
        <v>33</v>
      </c>
      <c r="AP18" s="56">
        <v>30</v>
      </c>
      <c r="AQ18" s="56">
        <v>77</v>
      </c>
      <c r="AR18" s="56">
        <v>25</v>
      </c>
      <c r="AT18" s="101" t="s">
        <v>27</v>
      </c>
      <c r="AU18" s="138">
        <v>4.5739958012593638</v>
      </c>
      <c r="AV18" s="138">
        <v>1</v>
      </c>
      <c r="AW18" s="138">
        <v>-1.5851565299999999</v>
      </c>
    </row>
    <row r="19" spans="2:49">
      <c r="B19" s="101" t="s">
        <v>208</v>
      </c>
      <c r="C19" s="56">
        <v>21.596</v>
      </c>
      <c r="D19" s="56">
        <v>61.171999999999997</v>
      </c>
      <c r="E19" s="56">
        <v>20.585000000000001</v>
      </c>
      <c r="F19" s="56">
        <v>22.553000000000001</v>
      </c>
      <c r="G19" s="56">
        <v>19.315000000000001</v>
      </c>
      <c r="H19" s="56">
        <v>24.716000000000001</v>
      </c>
      <c r="I19" s="56">
        <v>18.367999999999999</v>
      </c>
      <c r="J19" s="56">
        <v>28.114000000000001</v>
      </c>
      <c r="K19" s="56">
        <v>47.58</v>
      </c>
      <c r="L19" s="56">
        <v>19.856999999999999</v>
      </c>
      <c r="M19" s="56">
        <v>15.068</v>
      </c>
      <c r="N19" t="s">
        <v>208</v>
      </c>
      <c r="O19">
        <v>6.0060000000000002</v>
      </c>
      <c r="P19">
        <v>306.3</v>
      </c>
      <c r="Q19">
        <v>51</v>
      </c>
      <c r="S19" s="101" t="s">
        <v>208</v>
      </c>
      <c r="T19" s="56">
        <v>20.6</v>
      </c>
      <c r="U19" s="56">
        <v>57.51</v>
      </c>
      <c r="V19" s="56">
        <v>19.98</v>
      </c>
      <c r="W19" s="56">
        <v>21.81</v>
      </c>
      <c r="X19" s="56">
        <v>18.45</v>
      </c>
      <c r="Y19" s="56">
        <v>23.86</v>
      </c>
      <c r="Z19" s="56">
        <v>17.28</v>
      </c>
      <c r="AA19" s="56">
        <v>26.63</v>
      </c>
      <c r="AB19" s="56">
        <v>46.2</v>
      </c>
      <c r="AC19" s="56">
        <v>18.920000000000002</v>
      </c>
      <c r="AD19" s="56">
        <v>14.28</v>
      </c>
      <c r="AE19" s="101" t="s">
        <v>208</v>
      </c>
      <c r="AG19" s="112" t="s">
        <v>208</v>
      </c>
      <c r="AH19" s="56">
        <v>20.5</v>
      </c>
      <c r="AI19" s="56">
        <v>56.5</v>
      </c>
      <c r="AJ19" s="56">
        <v>20.5</v>
      </c>
      <c r="AK19" s="56">
        <v>22</v>
      </c>
      <c r="AL19" s="56">
        <v>19</v>
      </c>
      <c r="AM19" s="56">
        <v>24.3</v>
      </c>
      <c r="AN19" s="56">
        <v>18.3</v>
      </c>
      <c r="AO19" s="56">
        <v>27</v>
      </c>
      <c r="AP19" s="56">
        <v>47.7</v>
      </c>
      <c r="AQ19" s="56">
        <v>19</v>
      </c>
      <c r="AR19" s="56">
        <v>13.8</v>
      </c>
      <c r="AT19" s="101" t="s">
        <v>208</v>
      </c>
      <c r="AU19" s="138">
        <v>6.1969722518588979</v>
      </c>
      <c r="AV19" s="138">
        <v>0.93409264740282172</v>
      </c>
      <c r="AW19" s="138">
        <v>0.79370002000000006</v>
      </c>
    </row>
    <row r="20" spans="2:49">
      <c r="B20" s="101" t="s">
        <v>219</v>
      </c>
      <c r="C20" s="56">
        <v>26.925000000000001</v>
      </c>
      <c r="D20" s="56">
        <v>63.021999999999998</v>
      </c>
      <c r="E20" s="56">
        <v>44.738999999999997</v>
      </c>
      <c r="F20" s="56">
        <v>52.795999999999999</v>
      </c>
      <c r="G20" s="56">
        <v>33.56</v>
      </c>
      <c r="H20" s="56">
        <v>23.393000000000001</v>
      </c>
      <c r="I20" s="56">
        <v>22.858000000000001</v>
      </c>
      <c r="J20" s="56">
        <v>35.996000000000002</v>
      </c>
      <c r="K20" s="56">
        <v>53.186999999999998</v>
      </c>
      <c r="L20" s="56">
        <v>42.040999999999997</v>
      </c>
      <c r="M20" s="56">
        <v>20.053000000000001</v>
      </c>
      <c r="N20" t="s">
        <v>219</v>
      </c>
      <c r="O20">
        <v>4.7279999999999998</v>
      </c>
      <c r="P20">
        <v>307.3</v>
      </c>
      <c r="Q20">
        <v>65</v>
      </c>
      <c r="S20" s="101" t="s">
        <v>219</v>
      </c>
      <c r="T20" s="56">
        <v>26.337</v>
      </c>
      <c r="U20" s="56">
        <v>56.326000000000001</v>
      </c>
      <c r="V20" s="56">
        <v>42.814999999999998</v>
      </c>
      <c r="W20" s="56">
        <v>50.241999999999997</v>
      </c>
      <c r="X20" s="56">
        <v>32.36</v>
      </c>
      <c r="Y20" s="56">
        <v>23.23</v>
      </c>
      <c r="Z20" s="56">
        <v>22.654</v>
      </c>
      <c r="AA20" s="56">
        <v>34.648000000000003</v>
      </c>
      <c r="AB20" s="56">
        <v>51.347000000000001</v>
      </c>
      <c r="AC20" s="56">
        <v>40.249000000000002</v>
      </c>
      <c r="AD20" s="56">
        <v>19.984000000000002</v>
      </c>
      <c r="AE20" s="101" t="s">
        <v>219</v>
      </c>
      <c r="AG20" s="112" t="s">
        <v>219</v>
      </c>
      <c r="AH20" s="56">
        <v>25.81</v>
      </c>
      <c r="AI20" s="56">
        <v>60.23</v>
      </c>
      <c r="AJ20" s="56">
        <v>44.74</v>
      </c>
      <c r="AK20" s="56">
        <v>53.35</v>
      </c>
      <c r="AL20" s="56">
        <v>33.979999999999997</v>
      </c>
      <c r="AM20" s="56">
        <v>27.79</v>
      </c>
      <c r="AN20" s="56">
        <v>22.09</v>
      </c>
      <c r="AO20" s="56">
        <v>35.68</v>
      </c>
      <c r="AP20" s="56">
        <v>54.37</v>
      </c>
      <c r="AQ20" s="56">
        <v>43.02</v>
      </c>
      <c r="AR20" s="56">
        <v>18.93</v>
      </c>
      <c r="AT20" s="101" t="s">
        <v>219</v>
      </c>
      <c r="AU20" s="138">
        <v>5.7319581792793235</v>
      </c>
      <c r="AV20" s="138">
        <v>0.90276331159406387</v>
      </c>
      <c r="AW20" s="138">
        <v>-0.34190637000000001</v>
      </c>
    </row>
    <row r="21" spans="2:49">
      <c r="B21" s="101" t="s">
        <v>228</v>
      </c>
      <c r="C21" s="56">
        <v>11.776999999999999</v>
      </c>
      <c r="D21" s="56">
        <v>32.563000000000002</v>
      </c>
      <c r="E21" s="56">
        <v>20.314</v>
      </c>
      <c r="F21" s="56">
        <v>25.081</v>
      </c>
      <c r="G21" s="56">
        <v>28.315999999999999</v>
      </c>
      <c r="H21" s="56">
        <v>15.891999999999999</v>
      </c>
      <c r="I21" s="56">
        <v>13.167</v>
      </c>
      <c r="J21" s="56">
        <v>21.672999999999998</v>
      </c>
      <c r="K21" s="56">
        <v>38.524999999999999</v>
      </c>
      <c r="L21" s="56">
        <v>38.531999999999996</v>
      </c>
      <c r="M21" s="56">
        <v>19.829999999999998</v>
      </c>
      <c r="N21" t="s">
        <v>228</v>
      </c>
      <c r="O21">
        <v>4.2069999999999999</v>
      </c>
      <c r="P21">
        <v>315.5</v>
      </c>
      <c r="Q21">
        <v>75</v>
      </c>
      <c r="S21" s="101" t="s">
        <v>228</v>
      </c>
      <c r="T21" s="56">
        <v>11.226000000000001</v>
      </c>
      <c r="U21" s="56">
        <v>31.312000000000001</v>
      </c>
      <c r="V21" s="56">
        <v>19.867000000000001</v>
      </c>
      <c r="W21" s="56">
        <v>24.585999999999999</v>
      </c>
      <c r="X21" s="56">
        <v>27.84</v>
      </c>
      <c r="Y21" s="56">
        <v>15.257999999999999</v>
      </c>
      <c r="Z21" s="56">
        <v>12.634</v>
      </c>
      <c r="AA21" s="56">
        <v>21.206</v>
      </c>
      <c r="AB21" s="56">
        <v>38.031999999999996</v>
      </c>
      <c r="AC21" s="56">
        <v>38.167000000000002</v>
      </c>
      <c r="AD21" s="56">
        <v>19.266999999999999</v>
      </c>
      <c r="AE21" s="101" t="s">
        <v>228</v>
      </c>
      <c r="AG21" s="112" t="s">
        <v>228</v>
      </c>
      <c r="AH21" s="56">
        <v>10.62</v>
      </c>
      <c r="AI21" s="56">
        <v>31.6890737358124</v>
      </c>
      <c r="AJ21" s="56">
        <v>20.0939392570466</v>
      </c>
      <c r="AK21" s="56">
        <v>24.8523134792012</v>
      </c>
      <c r="AL21" s="56">
        <v>27.812260073824799</v>
      </c>
      <c r="AM21" s="56">
        <v>15.596959690977201</v>
      </c>
      <c r="AN21" s="56">
        <v>12.1010562583447</v>
      </c>
      <c r="AO21" s="56">
        <v>21.253183534672502</v>
      </c>
      <c r="AP21" s="56">
        <v>38.538664124981103</v>
      </c>
      <c r="AQ21" s="56">
        <v>37.952202668722599</v>
      </c>
      <c r="AR21" s="56">
        <v>19.7541793907262</v>
      </c>
      <c r="AT21" s="101" t="s">
        <v>228</v>
      </c>
      <c r="AU21" s="138">
        <v>5.6355736117380193</v>
      </c>
      <c r="AV21" s="138">
        <v>1</v>
      </c>
      <c r="AW21" s="138">
        <v>0.31460402999999998</v>
      </c>
    </row>
    <row r="22" spans="2:49">
      <c r="B22" s="101" t="s">
        <v>236</v>
      </c>
      <c r="C22" s="56">
        <v>19.638999999999999</v>
      </c>
      <c r="D22" s="56">
        <v>40.265000000000001</v>
      </c>
      <c r="E22" s="56">
        <v>25.262</v>
      </c>
      <c r="F22" s="56">
        <v>30.725000000000001</v>
      </c>
      <c r="G22" s="56">
        <v>20.643000000000001</v>
      </c>
      <c r="H22" s="56">
        <v>19.015999999999998</v>
      </c>
      <c r="I22" s="56">
        <v>21.69</v>
      </c>
      <c r="J22" s="56">
        <v>32.161000000000001</v>
      </c>
      <c r="K22" s="56">
        <v>43.531999999999996</v>
      </c>
      <c r="L22" s="56">
        <v>20.707999999999998</v>
      </c>
      <c r="M22" s="56">
        <v>17.437999999999999</v>
      </c>
      <c r="N22" t="s">
        <v>236</v>
      </c>
      <c r="O22">
        <v>5.4749999999999996</v>
      </c>
      <c r="P22">
        <v>301.10000000000002</v>
      </c>
      <c r="Q22">
        <v>55</v>
      </c>
      <c r="S22" s="101" t="s">
        <v>236</v>
      </c>
      <c r="T22" s="56">
        <v>19.535</v>
      </c>
      <c r="U22" s="56">
        <v>38.857999999999997</v>
      </c>
      <c r="V22" s="56">
        <v>25.23</v>
      </c>
      <c r="W22" s="56">
        <v>30.878</v>
      </c>
      <c r="X22" s="56">
        <v>20.553000000000001</v>
      </c>
      <c r="Y22" s="56">
        <v>18.98</v>
      </c>
      <c r="Z22" s="56">
        <v>21.956</v>
      </c>
      <c r="AA22" s="56">
        <v>32.389000000000003</v>
      </c>
      <c r="AB22" s="56">
        <v>44.362000000000002</v>
      </c>
      <c r="AC22" s="56">
        <v>20.66</v>
      </c>
      <c r="AD22" s="56">
        <v>17.341999999999999</v>
      </c>
      <c r="AE22" s="101" t="s">
        <v>236</v>
      </c>
      <c r="AG22" s="112" t="s">
        <v>236</v>
      </c>
      <c r="AH22" s="56">
        <v>19.611695574345301</v>
      </c>
      <c r="AI22" s="56">
        <v>39.603203831739201</v>
      </c>
      <c r="AJ22" s="56">
        <v>24.7635617837648</v>
      </c>
      <c r="AK22" s="56">
        <v>31.925661491259</v>
      </c>
      <c r="AL22" s="56">
        <v>20.410960735081201</v>
      </c>
      <c r="AM22" s="56">
        <v>18.8264650525741</v>
      </c>
      <c r="AN22" s="56">
        <v>21.554813251697698</v>
      </c>
      <c r="AO22" s="56">
        <v>32.748342920320702</v>
      </c>
      <c r="AP22" s="56">
        <v>46.714902190352099</v>
      </c>
      <c r="AQ22" s="56">
        <v>20.317933416499301</v>
      </c>
      <c r="AR22" s="56">
        <v>16.8766286479668</v>
      </c>
      <c r="AT22" s="101" t="s">
        <v>236</v>
      </c>
      <c r="AU22" s="138">
        <v>7.1430731267031193</v>
      </c>
      <c r="AV22" s="138">
        <v>0.9460697269523386</v>
      </c>
      <c r="AW22" s="138">
        <v>1.2922969</v>
      </c>
    </row>
    <row r="23" spans="2:49">
      <c r="B23" s="101" t="s">
        <v>243</v>
      </c>
      <c r="C23" s="56">
        <v>38.197000000000003</v>
      </c>
      <c r="D23" s="56">
        <v>23.829000000000001</v>
      </c>
      <c r="E23" s="56">
        <v>19.707000000000001</v>
      </c>
      <c r="F23" s="56">
        <v>18.824000000000002</v>
      </c>
      <c r="G23" s="56">
        <v>41.555999999999997</v>
      </c>
      <c r="H23" s="56">
        <v>31.227</v>
      </c>
      <c r="I23" s="56">
        <v>13.946</v>
      </c>
      <c r="J23" s="56">
        <v>35.212000000000003</v>
      </c>
      <c r="K23" s="56">
        <v>30.06</v>
      </c>
      <c r="L23" s="56">
        <v>42.177</v>
      </c>
      <c r="M23" s="56">
        <v>12.497</v>
      </c>
      <c r="N23" t="s">
        <v>243</v>
      </c>
      <c r="O23">
        <v>7.2809999999999997</v>
      </c>
      <c r="P23">
        <v>305.8</v>
      </c>
      <c r="Q23">
        <v>42</v>
      </c>
      <c r="S23" s="101" t="s">
        <v>243</v>
      </c>
      <c r="T23" s="56">
        <v>38.557000000000002</v>
      </c>
      <c r="U23" s="56">
        <v>21.318999999999999</v>
      </c>
      <c r="V23" s="56">
        <v>19.579000000000001</v>
      </c>
      <c r="W23" s="56">
        <v>18.667000000000002</v>
      </c>
      <c r="X23" s="56">
        <v>43.387999999999998</v>
      </c>
      <c r="Y23" s="56">
        <v>31.768999999999998</v>
      </c>
      <c r="Z23" s="56">
        <v>13.817</v>
      </c>
      <c r="AA23" s="56">
        <v>35.362000000000002</v>
      </c>
      <c r="AB23" s="56">
        <v>30.61</v>
      </c>
      <c r="AC23" s="56">
        <v>42.353000000000002</v>
      </c>
      <c r="AD23" s="56">
        <v>11.939</v>
      </c>
      <c r="AE23" s="101" t="s">
        <v>243</v>
      </c>
      <c r="AG23" s="112" t="s">
        <v>243</v>
      </c>
      <c r="AH23" s="56">
        <v>40</v>
      </c>
      <c r="AI23" s="56">
        <v>22</v>
      </c>
      <c r="AJ23" s="56">
        <v>20</v>
      </c>
      <c r="AK23" s="56">
        <v>21</v>
      </c>
      <c r="AL23" s="56">
        <v>45</v>
      </c>
      <c r="AM23" s="56">
        <v>38</v>
      </c>
      <c r="AN23" s="56">
        <v>15</v>
      </c>
      <c r="AO23" s="56">
        <v>35</v>
      </c>
      <c r="AP23" s="56">
        <v>30</v>
      </c>
      <c r="AQ23" s="56">
        <v>45</v>
      </c>
      <c r="AR23" s="56">
        <v>10</v>
      </c>
      <c r="AT23" s="101" t="s">
        <v>243</v>
      </c>
      <c r="AU23" s="138">
        <v>6.0611470794218851</v>
      </c>
      <c r="AV23" s="138">
        <v>1</v>
      </c>
      <c r="AW23" s="138">
        <v>0.49451054999999999</v>
      </c>
    </row>
    <row r="24" spans="2:49">
      <c r="B24" s="101" t="s">
        <v>250</v>
      </c>
      <c r="C24" s="56">
        <v>26.468</v>
      </c>
      <c r="D24" s="56">
        <v>45.65</v>
      </c>
      <c r="E24" s="56">
        <v>28.797000000000001</v>
      </c>
      <c r="F24" s="56">
        <v>23.844000000000001</v>
      </c>
      <c r="G24" s="56">
        <v>28.620999999999999</v>
      </c>
      <c r="H24" s="56">
        <v>27.15</v>
      </c>
      <c r="I24" s="56">
        <v>25.587</v>
      </c>
      <c r="J24" s="56">
        <v>31.379000000000001</v>
      </c>
      <c r="K24" s="56">
        <v>35.610999999999997</v>
      </c>
      <c r="L24" s="56">
        <v>28.43</v>
      </c>
      <c r="M24" s="56">
        <v>20.489000000000001</v>
      </c>
      <c r="N24" t="s">
        <v>250</v>
      </c>
      <c r="O24">
        <v>5.4039999999999999</v>
      </c>
      <c r="P24">
        <v>308</v>
      </c>
      <c r="Q24">
        <v>57</v>
      </c>
      <c r="S24" s="101" t="s">
        <v>250</v>
      </c>
      <c r="T24" s="56">
        <v>26.353999999999999</v>
      </c>
      <c r="U24" s="56">
        <v>44.572000000000003</v>
      </c>
      <c r="V24" s="56">
        <v>28.760999999999999</v>
      </c>
      <c r="W24" s="56">
        <v>23.715</v>
      </c>
      <c r="X24" s="56">
        <v>28.541</v>
      </c>
      <c r="Y24" s="56">
        <v>27.064</v>
      </c>
      <c r="Z24" s="56">
        <v>25.518999999999998</v>
      </c>
      <c r="AA24" s="56">
        <v>31.263000000000002</v>
      </c>
      <c r="AB24" s="56">
        <v>35.515000000000001</v>
      </c>
      <c r="AC24" s="56">
        <v>28.315999999999999</v>
      </c>
      <c r="AD24" s="56">
        <v>20.385999999999999</v>
      </c>
      <c r="AE24" s="101" t="s">
        <v>250</v>
      </c>
      <c r="AG24" s="112" t="s">
        <v>250</v>
      </c>
      <c r="AH24" s="56">
        <v>26.054636488451699</v>
      </c>
      <c r="AI24" s="56">
        <v>44.460154271528801</v>
      </c>
      <c r="AJ24" s="56">
        <v>28.619293634783599</v>
      </c>
      <c r="AK24" s="56">
        <v>23.264519326194701</v>
      </c>
      <c r="AL24" s="56">
        <v>27.821972244177701</v>
      </c>
      <c r="AM24" s="56">
        <v>26.220975638163601</v>
      </c>
      <c r="AN24" s="56">
        <v>24.804775036181599</v>
      </c>
      <c r="AO24" s="56">
        <v>30.574747183473399</v>
      </c>
      <c r="AP24" s="56">
        <v>34.735189224045001</v>
      </c>
      <c r="AQ24" s="56">
        <v>27.708166134561399</v>
      </c>
      <c r="AR24" s="56">
        <v>19.871484784518</v>
      </c>
      <c r="AT24" s="101" t="s">
        <v>250</v>
      </c>
      <c r="AU24" s="138">
        <v>6.3424995666418074</v>
      </c>
      <c r="AV24" s="138">
        <v>1</v>
      </c>
      <c r="AW24" s="138">
        <v>0.71781008000000002</v>
      </c>
    </row>
    <row r="25" spans="2:49">
      <c r="B25" s="101" t="s">
        <v>255</v>
      </c>
      <c r="C25" s="56">
        <v>29.542000000000002</v>
      </c>
      <c r="D25" s="56">
        <v>67.611999999999995</v>
      </c>
      <c r="E25" s="56">
        <v>29.521000000000001</v>
      </c>
      <c r="F25" s="56">
        <v>31.902000000000001</v>
      </c>
      <c r="G25" s="56">
        <v>39.290999999999997</v>
      </c>
      <c r="H25" s="56">
        <v>27.59</v>
      </c>
      <c r="I25" s="56">
        <v>22.664999999999999</v>
      </c>
      <c r="J25" s="56">
        <v>46.101999999999997</v>
      </c>
      <c r="K25" s="56">
        <v>57.908000000000001</v>
      </c>
      <c r="L25" s="56">
        <v>33.945</v>
      </c>
      <c r="M25" s="56">
        <v>27.332000000000001</v>
      </c>
      <c r="N25" t="s">
        <v>255</v>
      </c>
      <c r="O25">
        <v>3.0710000000000002</v>
      </c>
      <c r="P25">
        <v>245.7</v>
      </c>
      <c r="Q25">
        <v>80</v>
      </c>
      <c r="S25" s="101" t="s">
        <v>255</v>
      </c>
      <c r="T25" s="56">
        <v>27.736000000000001</v>
      </c>
      <c r="U25" s="56">
        <v>60.353000000000002</v>
      </c>
      <c r="V25" s="56">
        <v>27.626000000000001</v>
      </c>
      <c r="W25" s="56">
        <v>30.114000000000001</v>
      </c>
      <c r="X25" s="56">
        <v>36.688000000000002</v>
      </c>
      <c r="Y25" s="56">
        <v>25.61</v>
      </c>
      <c r="Z25" s="56">
        <v>21.076000000000001</v>
      </c>
      <c r="AA25" s="56">
        <v>43.326000000000001</v>
      </c>
      <c r="AB25" s="56">
        <v>54.417999999999999</v>
      </c>
      <c r="AC25" s="56">
        <v>31.361999999999998</v>
      </c>
      <c r="AD25" s="56">
        <v>25.187999999999999</v>
      </c>
      <c r="AE25" s="101" t="s">
        <v>255</v>
      </c>
      <c r="AG25" s="112" t="s">
        <v>255</v>
      </c>
      <c r="AH25" s="56">
        <v>29.47</v>
      </c>
      <c r="AI25" s="56">
        <v>65.599999999999994</v>
      </c>
      <c r="AJ25" s="56">
        <v>29.47</v>
      </c>
      <c r="AK25" s="56">
        <v>31.11</v>
      </c>
      <c r="AL25" s="56">
        <v>37.659999999999997</v>
      </c>
      <c r="AM25" s="56">
        <v>27.2</v>
      </c>
      <c r="AN25" s="56">
        <v>20.8</v>
      </c>
      <c r="AO25" s="56">
        <v>46.4</v>
      </c>
      <c r="AP25" s="56">
        <v>59.2</v>
      </c>
      <c r="AQ25" s="56">
        <v>32.75</v>
      </c>
      <c r="AR25" s="56">
        <v>26.2</v>
      </c>
      <c r="AT25" s="101" t="s">
        <v>255</v>
      </c>
      <c r="AU25" s="138">
        <v>5.0897018442282072</v>
      </c>
      <c r="AV25" s="138">
        <v>0.99999697982438662</v>
      </c>
      <c r="AW25" s="138">
        <v>-0.1000929</v>
      </c>
    </row>
    <row r="26" spans="2:49">
      <c r="B26" s="101" t="s">
        <v>260</v>
      </c>
      <c r="C26" s="56">
        <v>30.545000000000002</v>
      </c>
      <c r="D26" s="56">
        <v>56.491</v>
      </c>
      <c r="E26" s="56">
        <v>23.562000000000001</v>
      </c>
      <c r="F26" s="56">
        <v>29.911999999999999</v>
      </c>
      <c r="G26" s="56">
        <v>21.901</v>
      </c>
      <c r="H26" s="56">
        <v>18.667999999999999</v>
      </c>
      <c r="I26" s="56">
        <v>25.663</v>
      </c>
      <c r="J26" s="56">
        <v>56.546999999999997</v>
      </c>
      <c r="K26" s="56">
        <v>71.361999999999995</v>
      </c>
      <c r="L26" s="56">
        <v>50.427999999999997</v>
      </c>
      <c r="M26" s="56">
        <v>20.370999999999999</v>
      </c>
      <c r="N26" t="s">
        <v>260</v>
      </c>
      <c r="O26">
        <v>4.258</v>
      </c>
      <c r="P26">
        <v>306.60000000000002</v>
      </c>
      <c r="Q26">
        <v>72</v>
      </c>
      <c r="S26" s="101" t="s">
        <v>260</v>
      </c>
      <c r="T26" s="56">
        <v>30.501000000000001</v>
      </c>
      <c r="U26" s="56">
        <v>53.566000000000003</v>
      </c>
      <c r="V26" s="56">
        <v>23.704000000000001</v>
      </c>
      <c r="W26" s="56">
        <v>29.800999999999998</v>
      </c>
      <c r="X26" s="56">
        <v>21.513999999999999</v>
      </c>
      <c r="Y26" s="56">
        <v>18.41</v>
      </c>
      <c r="Z26" s="56">
        <v>25.457999999999998</v>
      </c>
      <c r="AA26" s="56">
        <v>56.631</v>
      </c>
      <c r="AB26" s="56">
        <v>71.400000000000006</v>
      </c>
      <c r="AC26" s="56">
        <v>50.261000000000003</v>
      </c>
      <c r="AD26" s="56">
        <v>20.256</v>
      </c>
      <c r="AE26" s="101" t="s">
        <v>260</v>
      </c>
      <c r="AG26" s="112" t="s">
        <v>260</v>
      </c>
      <c r="AH26" s="56">
        <v>30.171183103492499</v>
      </c>
      <c r="AI26" s="56">
        <v>54.027647871417699</v>
      </c>
      <c r="AJ26" s="56">
        <v>23.375989041512199</v>
      </c>
      <c r="AK26" s="56">
        <v>29.789154170952798</v>
      </c>
      <c r="AL26" s="56">
        <v>21.375810992703801</v>
      </c>
      <c r="AM26" s="56">
        <v>17.759369909278998</v>
      </c>
      <c r="AN26" s="56">
        <v>25.1319857923048</v>
      </c>
      <c r="AO26" s="56">
        <v>57.3083131495451</v>
      </c>
      <c r="AP26" s="56">
        <v>72.586632339757301</v>
      </c>
      <c r="AQ26" s="56">
        <v>50.247935109700499</v>
      </c>
      <c r="AR26" s="56">
        <v>19.900103455594898</v>
      </c>
      <c r="AT26" s="101" t="s">
        <v>260</v>
      </c>
      <c r="AU26" s="138">
        <v>6.2838743710161111</v>
      </c>
      <c r="AV26" s="138">
        <v>0.90016638143868233</v>
      </c>
      <c r="AW26" s="138">
        <v>0.10676999000000001</v>
      </c>
    </row>
    <row r="27" spans="2:49">
      <c r="B27" s="101" t="s">
        <v>263</v>
      </c>
      <c r="C27" s="56">
        <v>22.175999999999998</v>
      </c>
      <c r="D27" s="56">
        <v>50.823999999999998</v>
      </c>
      <c r="E27" s="56">
        <v>29.567</v>
      </c>
      <c r="F27" s="56">
        <v>24.937999999999999</v>
      </c>
      <c r="G27" s="56">
        <v>28.032</v>
      </c>
      <c r="H27" s="56">
        <v>19.577000000000002</v>
      </c>
      <c r="I27" s="56">
        <v>14.875</v>
      </c>
      <c r="J27" s="56">
        <v>37.582000000000001</v>
      </c>
      <c r="K27" s="56">
        <v>43.713000000000001</v>
      </c>
      <c r="L27" s="56">
        <v>33.954999999999998</v>
      </c>
      <c r="M27" s="56">
        <v>13.843999999999999</v>
      </c>
      <c r="N27" t="s">
        <v>263</v>
      </c>
      <c r="O27">
        <v>4.3600000000000003</v>
      </c>
      <c r="P27">
        <v>305.2</v>
      </c>
      <c r="Q27">
        <v>70</v>
      </c>
      <c r="S27" s="101" t="s">
        <v>263</v>
      </c>
      <c r="T27" s="56">
        <v>22.175999999999998</v>
      </c>
      <c r="U27" s="56">
        <v>50.823999999999998</v>
      </c>
      <c r="V27" s="56">
        <v>29.567</v>
      </c>
      <c r="W27" s="56">
        <v>24.937999999999999</v>
      </c>
      <c r="X27" s="56">
        <v>28.032</v>
      </c>
      <c r="Y27" s="56">
        <v>19.577000000000002</v>
      </c>
      <c r="Z27" s="56">
        <v>14.875</v>
      </c>
      <c r="AA27" s="56">
        <v>37.582000000000001</v>
      </c>
      <c r="AB27" s="56">
        <v>43.713000000000001</v>
      </c>
      <c r="AC27" s="56">
        <v>33.954999999999998</v>
      </c>
      <c r="AD27" s="56">
        <v>13.843999999999999</v>
      </c>
      <c r="AE27" s="101" t="s">
        <v>263</v>
      </c>
      <c r="AG27" s="112" t="s">
        <v>263</v>
      </c>
      <c r="AH27" s="56">
        <v>21.3</v>
      </c>
      <c r="AI27" s="56">
        <v>50.723999999999997</v>
      </c>
      <c r="AJ27" s="56">
        <v>29.44</v>
      </c>
      <c r="AK27" s="56">
        <v>25.79</v>
      </c>
      <c r="AL27" s="56">
        <v>26.98</v>
      </c>
      <c r="AM27" s="56">
        <v>17.88</v>
      </c>
      <c r="AN27" s="56">
        <v>14.23</v>
      </c>
      <c r="AO27" s="56">
        <v>38.389000000000003</v>
      </c>
      <c r="AP27" s="56">
        <v>44.11</v>
      </c>
      <c r="AQ27" s="56">
        <v>33.274000000000001</v>
      </c>
      <c r="AR27" s="56">
        <v>13.962</v>
      </c>
      <c r="AT27" s="101" t="s">
        <v>263</v>
      </c>
      <c r="AU27" s="138">
        <v>5.4080718626585478</v>
      </c>
      <c r="AV27" s="138">
        <v>0.89737403082087852</v>
      </c>
      <c r="AW27" s="138">
        <v>-0.43864284000000003</v>
      </c>
    </row>
    <row r="28" spans="2:49">
      <c r="B28" s="101" t="s">
        <v>270</v>
      </c>
      <c r="C28" s="56">
        <v>28.042000000000002</v>
      </c>
      <c r="D28" s="56">
        <v>44.723999999999997</v>
      </c>
      <c r="E28" s="56">
        <v>28.027999999999999</v>
      </c>
      <c r="F28" s="56">
        <v>31.004999999999999</v>
      </c>
      <c r="G28" s="56">
        <v>23.742000000000001</v>
      </c>
      <c r="H28" s="56">
        <v>19.573</v>
      </c>
      <c r="I28" s="56">
        <v>22.702999999999999</v>
      </c>
      <c r="J28" s="56">
        <v>36.521000000000001</v>
      </c>
      <c r="K28" s="56">
        <v>46.853000000000002</v>
      </c>
      <c r="L28" s="56">
        <v>32.295000000000002</v>
      </c>
      <c r="M28" s="56">
        <v>22.805</v>
      </c>
      <c r="N28" t="s">
        <v>270</v>
      </c>
      <c r="O28">
        <v>3.02</v>
      </c>
      <c r="P28">
        <v>238.6</v>
      </c>
      <c r="Q28">
        <v>79</v>
      </c>
      <c r="S28" s="101" t="s">
        <v>270</v>
      </c>
      <c r="T28" s="56">
        <v>28.042000000000002</v>
      </c>
      <c r="U28" s="56">
        <v>44.723999999999997</v>
      </c>
      <c r="V28" s="56">
        <v>28.027999999999999</v>
      </c>
      <c r="W28" s="56">
        <v>31.004999999999999</v>
      </c>
      <c r="X28" s="56">
        <v>23.742000000000001</v>
      </c>
      <c r="Y28" s="56">
        <v>19.573</v>
      </c>
      <c r="Z28" s="56">
        <v>22.702999999999999</v>
      </c>
      <c r="AA28" s="56">
        <v>36.521000000000001</v>
      </c>
      <c r="AB28" s="56">
        <v>46.853000000000002</v>
      </c>
      <c r="AC28" s="56">
        <v>32.295000000000002</v>
      </c>
      <c r="AD28" s="56">
        <v>22.805</v>
      </c>
      <c r="AE28" s="101" t="s">
        <v>270</v>
      </c>
      <c r="AG28" s="112" t="s">
        <v>270</v>
      </c>
      <c r="AH28" s="56">
        <v>26.63</v>
      </c>
      <c r="AI28" s="56">
        <v>48.034999999999997</v>
      </c>
      <c r="AJ28" s="56">
        <v>28.24</v>
      </c>
      <c r="AK28" s="56">
        <v>30.87</v>
      </c>
      <c r="AL28" s="56">
        <v>22.54</v>
      </c>
      <c r="AM28" s="56">
        <v>18.850000000000001</v>
      </c>
      <c r="AN28" s="56">
        <v>23.32</v>
      </c>
      <c r="AO28" s="56">
        <v>39.85</v>
      </c>
      <c r="AP28" s="56">
        <v>50.45</v>
      </c>
      <c r="AQ28" s="56">
        <v>37.65</v>
      </c>
      <c r="AR28" s="56">
        <v>26.31</v>
      </c>
      <c r="AT28" s="101" t="s">
        <v>270</v>
      </c>
      <c r="AU28" s="138">
        <v>5.902000720735626</v>
      </c>
      <c r="AV28" s="138">
        <v>0.8979474647899075</v>
      </c>
      <c r="AW28" s="138">
        <v>0.34434913</v>
      </c>
    </row>
    <row r="29" spans="2:49">
      <c r="B29" s="101" t="s">
        <v>274</v>
      </c>
      <c r="C29" s="56">
        <v>31.614999999999998</v>
      </c>
      <c r="D29" s="56">
        <v>36.673999999999999</v>
      </c>
      <c r="E29" s="56">
        <v>20.213000000000001</v>
      </c>
      <c r="F29" s="56">
        <v>23.61</v>
      </c>
      <c r="G29" s="56">
        <v>23.731000000000002</v>
      </c>
      <c r="H29" s="56">
        <v>22.876000000000001</v>
      </c>
      <c r="I29" s="56">
        <v>31.198</v>
      </c>
      <c r="J29" s="56">
        <v>27.716999999999999</v>
      </c>
      <c r="K29" s="56">
        <v>52.084000000000003</v>
      </c>
      <c r="L29" s="56">
        <v>21.954000000000001</v>
      </c>
      <c r="M29" s="56">
        <v>20.201000000000001</v>
      </c>
      <c r="N29" t="s">
        <v>274</v>
      </c>
      <c r="O29">
        <v>4.5579999999999998</v>
      </c>
      <c r="P29">
        <v>305.39999999999998</v>
      </c>
      <c r="Q29">
        <v>67</v>
      </c>
      <c r="S29" s="101" t="s">
        <v>274</v>
      </c>
      <c r="T29" s="56">
        <v>31.614999999999998</v>
      </c>
      <c r="U29" s="56">
        <v>36.673999999999999</v>
      </c>
      <c r="V29" s="56">
        <v>20.213000000000001</v>
      </c>
      <c r="W29" s="56">
        <v>23.61</v>
      </c>
      <c r="X29" s="56">
        <v>23.731000000000002</v>
      </c>
      <c r="Y29" s="56">
        <v>22.876000000000001</v>
      </c>
      <c r="Z29" s="56">
        <v>31.198</v>
      </c>
      <c r="AA29" s="56">
        <v>27.716999999999999</v>
      </c>
      <c r="AB29" s="56">
        <v>52.084000000000003</v>
      </c>
      <c r="AC29" s="56">
        <v>21.954000000000001</v>
      </c>
      <c r="AD29" s="56">
        <v>20.201000000000001</v>
      </c>
      <c r="AE29" s="101" t="s">
        <v>274</v>
      </c>
      <c r="AG29" s="112" t="s">
        <v>274</v>
      </c>
      <c r="AH29" s="56">
        <v>31.95</v>
      </c>
      <c r="AI29" s="56">
        <v>36.47</v>
      </c>
      <c r="AJ29" s="56">
        <v>19.3</v>
      </c>
      <c r="AK29" s="56">
        <v>23.23</v>
      </c>
      <c r="AL29" s="56">
        <v>24.79</v>
      </c>
      <c r="AM29" s="56">
        <v>23.61</v>
      </c>
      <c r="AN29" s="56">
        <v>32.119999999999997</v>
      </c>
      <c r="AO29" s="56">
        <v>27.82</v>
      </c>
      <c r="AP29" s="56">
        <v>52.78</v>
      </c>
      <c r="AQ29" s="56">
        <v>22.55</v>
      </c>
      <c r="AR29" s="56">
        <v>19.97</v>
      </c>
      <c r="AT29" s="101" t="s">
        <v>274</v>
      </c>
      <c r="AU29" s="138">
        <v>6.2599615921292511</v>
      </c>
      <c r="AV29" s="138">
        <v>0</v>
      </c>
      <c r="AW29" s="138">
        <v>-0.31474052000000002</v>
      </c>
    </row>
    <row r="30" spans="2:49">
      <c r="B30" s="101" t="s">
        <v>277</v>
      </c>
      <c r="C30" s="56">
        <v>30.623000000000001</v>
      </c>
      <c r="D30" s="56">
        <v>32.49</v>
      </c>
      <c r="E30" s="56">
        <v>21.911000000000001</v>
      </c>
      <c r="F30" s="56">
        <v>20.539000000000001</v>
      </c>
      <c r="G30" s="56">
        <v>22.981999999999999</v>
      </c>
      <c r="H30" s="56">
        <v>29.013000000000002</v>
      </c>
      <c r="I30" s="56">
        <v>26.166</v>
      </c>
      <c r="J30" s="56">
        <v>36.009</v>
      </c>
      <c r="K30" s="56">
        <v>20.850999999999999</v>
      </c>
      <c r="L30" s="56">
        <v>41.457999999999998</v>
      </c>
      <c r="M30" s="56">
        <v>17.977</v>
      </c>
      <c r="N30" t="s">
        <v>277</v>
      </c>
      <c r="O30">
        <v>4.1680000000000001</v>
      </c>
      <c r="P30">
        <v>308.39999999999998</v>
      </c>
      <c r="Q30">
        <v>74</v>
      </c>
      <c r="S30" s="101" t="s">
        <v>277</v>
      </c>
      <c r="T30" s="56">
        <v>30.622697948717999</v>
      </c>
      <c r="U30" s="56">
        <v>32.490054871795003</v>
      </c>
      <c r="V30" s="56">
        <v>21.910673589744</v>
      </c>
      <c r="W30" s="56">
        <v>20.539340769231</v>
      </c>
      <c r="X30" s="56">
        <v>22.981849743590001</v>
      </c>
      <c r="Y30" s="56">
        <v>29.012713333333</v>
      </c>
      <c r="Z30" s="56">
        <v>26.165746410255998</v>
      </c>
      <c r="AA30" s="56">
        <v>36.009474358974003</v>
      </c>
      <c r="AB30" s="56">
        <v>20.851193333333001</v>
      </c>
      <c r="AC30" s="56">
        <v>41.457720256409999</v>
      </c>
      <c r="AD30" s="56">
        <v>17.976859230769001</v>
      </c>
      <c r="AE30" s="101" t="s">
        <v>277</v>
      </c>
      <c r="AG30" s="112" t="s">
        <v>277</v>
      </c>
      <c r="AH30" s="56">
        <v>29.666348049622499</v>
      </c>
      <c r="AI30" s="56">
        <v>30</v>
      </c>
      <c r="AJ30" s="56">
        <v>23</v>
      </c>
      <c r="AK30" s="56">
        <v>20</v>
      </c>
      <c r="AL30" s="56">
        <v>23</v>
      </c>
      <c r="AM30" s="56">
        <v>28.5765496867335</v>
      </c>
      <c r="AN30" s="56">
        <v>27</v>
      </c>
      <c r="AO30" s="56">
        <v>31.240064983616598</v>
      </c>
      <c r="AP30" s="56">
        <v>22</v>
      </c>
      <c r="AQ30" s="56">
        <v>44</v>
      </c>
      <c r="AR30" s="56">
        <v>17</v>
      </c>
      <c r="AT30" s="101" t="s">
        <v>277</v>
      </c>
      <c r="AU30" s="138">
        <v>6.5648895146720774</v>
      </c>
      <c r="AV30" s="138">
        <v>0.99999999999999989</v>
      </c>
      <c r="AW30" s="138">
        <v>1.5334607199999999</v>
      </c>
    </row>
    <row r="31" spans="2:49">
      <c r="B31" s="101" t="s">
        <v>281</v>
      </c>
      <c r="C31" s="56">
        <v>29.559000000000001</v>
      </c>
      <c r="D31" s="56">
        <v>61.445999999999998</v>
      </c>
      <c r="E31" s="56">
        <v>21.081</v>
      </c>
      <c r="F31" s="56">
        <v>23.004000000000001</v>
      </c>
      <c r="G31" s="56">
        <v>23.905999999999999</v>
      </c>
      <c r="H31" s="56">
        <v>19.978999999999999</v>
      </c>
      <c r="I31" s="56">
        <v>20.596</v>
      </c>
      <c r="J31" s="56">
        <v>36.725999999999999</v>
      </c>
      <c r="K31" s="56">
        <v>50.179000000000002</v>
      </c>
      <c r="L31" s="56">
        <v>26.146999999999998</v>
      </c>
      <c r="M31" s="56">
        <v>17.552</v>
      </c>
      <c r="N31" t="s">
        <v>281</v>
      </c>
      <c r="O31">
        <v>4.5730000000000004</v>
      </c>
      <c r="P31">
        <v>306.39999999999998</v>
      </c>
      <c r="Q31">
        <v>67</v>
      </c>
      <c r="S31" s="101" t="s">
        <v>281</v>
      </c>
      <c r="T31" s="56">
        <v>29.559000000000001</v>
      </c>
      <c r="U31" s="56">
        <v>61.445999999999998</v>
      </c>
      <c r="V31" s="56">
        <v>21.081</v>
      </c>
      <c r="W31" s="56">
        <v>23.004000000000001</v>
      </c>
      <c r="X31" s="56">
        <v>23.905999999999999</v>
      </c>
      <c r="Y31" s="56">
        <v>19.978999999999999</v>
      </c>
      <c r="Z31" s="56">
        <v>20.596</v>
      </c>
      <c r="AA31" s="56">
        <v>36.725999999999999</v>
      </c>
      <c r="AB31" s="56">
        <v>50.179000000000002</v>
      </c>
      <c r="AC31" s="56">
        <v>26.146999999999998</v>
      </c>
      <c r="AD31" s="56">
        <v>17.552</v>
      </c>
      <c r="AE31" s="101" t="s">
        <v>281</v>
      </c>
      <c r="AG31" s="112" t="s">
        <v>281</v>
      </c>
      <c r="AH31" s="56">
        <v>23.3</v>
      </c>
      <c r="AI31" s="56">
        <v>47.4</v>
      </c>
      <c r="AJ31" s="56">
        <v>16.7</v>
      </c>
      <c r="AK31" s="56">
        <v>17.8</v>
      </c>
      <c r="AL31" s="56">
        <v>18.8</v>
      </c>
      <c r="AM31" s="56">
        <v>14.4</v>
      </c>
      <c r="AN31" s="56">
        <v>15.5</v>
      </c>
      <c r="AO31" s="56">
        <v>28.6</v>
      </c>
      <c r="AP31" s="56">
        <v>38.5</v>
      </c>
      <c r="AQ31" s="56">
        <v>19.899999999999999</v>
      </c>
      <c r="AR31" s="56">
        <v>13.3</v>
      </c>
      <c r="AT31" s="101" t="s">
        <v>281</v>
      </c>
      <c r="AU31" s="138">
        <v>5.8098065082010244</v>
      </c>
      <c r="AV31" s="138">
        <v>0.90544897801264446</v>
      </c>
      <c r="AW31" s="138">
        <v>0.17658744000000001</v>
      </c>
    </row>
    <row r="32" spans="2:49">
      <c r="B32" s="101" t="s">
        <v>290</v>
      </c>
      <c r="C32" s="56">
        <v>25.364000000000001</v>
      </c>
      <c r="D32" s="56">
        <v>35.664999999999999</v>
      </c>
      <c r="E32" s="56">
        <v>76.042000000000002</v>
      </c>
      <c r="F32" s="56">
        <v>69.27</v>
      </c>
      <c r="G32" s="56">
        <v>35.475999999999999</v>
      </c>
      <c r="H32" s="56">
        <v>18.675000000000001</v>
      </c>
      <c r="I32" s="56">
        <v>15.206</v>
      </c>
      <c r="J32" s="56">
        <v>48.393999999999998</v>
      </c>
      <c r="K32" s="56">
        <v>31.478000000000002</v>
      </c>
      <c r="L32" s="56">
        <v>52.329000000000001</v>
      </c>
      <c r="M32" s="56">
        <v>12.683</v>
      </c>
      <c r="N32" t="s">
        <v>290</v>
      </c>
      <c r="O32">
        <v>3.968</v>
      </c>
      <c r="P32">
        <v>305.5</v>
      </c>
      <c r="Q32">
        <v>77</v>
      </c>
      <c r="S32" s="101" t="s">
        <v>290</v>
      </c>
      <c r="T32" s="56">
        <v>25.364000000000001</v>
      </c>
      <c r="U32" s="56">
        <v>35.664999999999999</v>
      </c>
      <c r="V32" s="56">
        <v>76.042000000000002</v>
      </c>
      <c r="W32" s="56">
        <v>69.27</v>
      </c>
      <c r="X32" s="56">
        <v>35.475999999999999</v>
      </c>
      <c r="Y32" s="56">
        <v>18.675000000000001</v>
      </c>
      <c r="Z32" s="56">
        <v>15.206</v>
      </c>
      <c r="AA32" s="56">
        <v>48.393999999999998</v>
      </c>
      <c r="AB32" s="56">
        <v>31.478000000000002</v>
      </c>
      <c r="AC32" s="56">
        <v>52.329000000000001</v>
      </c>
      <c r="AD32" s="56">
        <v>12.683</v>
      </c>
      <c r="AE32" s="101" t="s">
        <v>290</v>
      </c>
      <c r="AG32" s="112" t="s">
        <v>290</v>
      </c>
      <c r="AH32" s="56">
        <v>25.39</v>
      </c>
      <c r="AI32" s="56">
        <v>38.82</v>
      </c>
      <c r="AJ32" s="56">
        <v>78.069999999999993</v>
      </c>
      <c r="AK32" s="56">
        <v>71.650000000000006</v>
      </c>
      <c r="AL32" s="56">
        <v>35.82</v>
      </c>
      <c r="AM32" s="56">
        <v>18.71</v>
      </c>
      <c r="AN32" s="56">
        <v>15.34</v>
      </c>
      <c r="AO32" s="56">
        <v>50.24</v>
      </c>
      <c r="AP32" s="56">
        <v>32.61</v>
      </c>
      <c r="AQ32" s="56">
        <v>54.54</v>
      </c>
      <c r="AR32" s="56">
        <v>12.46</v>
      </c>
      <c r="AT32" s="101" t="s">
        <v>290</v>
      </c>
      <c r="AU32" s="138">
        <v>6.2124529043693295</v>
      </c>
      <c r="AV32" s="138">
        <v>0</v>
      </c>
      <c r="AW32" s="138">
        <v>0.27306092999999998</v>
      </c>
    </row>
    <row r="33" spans="2:49">
      <c r="B33" s="101" t="s">
        <v>298</v>
      </c>
      <c r="C33" s="56">
        <v>23.242999999999999</v>
      </c>
      <c r="D33" s="56">
        <v>40.444000000000003</v>
      </c>
      <c r="E33" s="56">
        <v>39.130000000000003</v>
      </c>
      <c r="F33" s="56">
        <v>42.268000000000001</v>
      </c>
      <c r="G33" s="56">
        <v>32.052999999999997</v>
      </c>
      <c r="H33" s="56">
        <v>18.018000000000001</v>
      </c>
      <c r="I33" s="56">
        <v>20.619</v>
      </c>
      <c r="J33" s="56">
        <v>38.267000000000003</v>
      </c>
      <c r="K33" s="56">
        <v>47.406999999999996</v>
      </c>
      <c r="L33" s="56">
        <v>38.536000000000001</v>
      </c>
      <c r="M33" s="56">
        <v>19.734999999999999</v>
      </c>
      <c r="N33" t="s">
        <v>298</v>
      </c>
      <c r="O33">
        <v>4.9290000000000003</v>
      </c>
      <c r="P33">
        <v>305.60000000000002</v>
      </c>
      <c r="Q33">
        <v>62</v>
      </c>
      <c r="S33" s="101" t="s">
        <v>298</v>
      </c>
      <c r="T33" s="56">
        <v>23.242999999999999</v>
      </c>
      <c r="U33" s="56">
        <v>40.444000000000003</v>
      </c>
      <c r="V33" s="56">
        <v>39.130000000000003</v>
      </c>
      <c r="W33" s="56">
        <v>42.268000000000001</v>
      </c>
      <c r="X33" s="56">
        <v>32.052999999999997</v>
      </c>
      <c r="Y33" s="56">
        <v>18.018000000000001</v>
      </c>
      <c r="Z33" s="56">
        <v>20.619</v>
      </c>
      <c r="AA33" s="56">
        <v>38.267000000000003</v>
      </c>
      <c r="AB33" s="56">
        <v>47.406999999999996</v>
      </c>
      <c r="AC33" s="56">
        <v>38.536000000000001</v>
      </c>
      <c r="AD33" s="56">
        <v>19.734999999999999</v>
      </c>
      <c r="AE33" s="101" t="s">
        <v>298</v>
      </c>
      <c r="AG33" s="112" t="s">
        <v>298</v>
      </c>
      <c r="AH33" s="56">
        <v>23.5</v>
      </c>
      <c r="AI33" s="56">
        <v>41.5</v>
      </c>
      <c r="AJ33" s="56">
        <v>40</v>
      </c>
      <c r="AK33" s="56">
        <v>43</v>
      </c>
      <c r="AL33" s="56">
        <v>33</v>
      </c>
      <c r="AM33" s="56">
        <v>19</v>
      </c>
      <c r="AN33" s="56">
        <v>20.6</v>
      </c>
      <c r="AO33" s="56">
        <v>38.5</v>
      </c>
      <c r="AP33" s="56">
        <v>48.5</v>
      </c>
      <c r="AQ33" s="56">
        <v>40</v>
      </c>
      <c r="AR33" s="56">
        <v>19.5</v>
      </c>
      <c r="AT33" s="101" t="s">
        <v>298</v>
      </c>
      <c r="AU33" s="138">
        <v>8.1448499799987317</v>
      </c>
      <c r="AV33" s="138">
        <v>0.94019254844025235</v>
      </c>
      <c r="AW33" s="138">
        <v>0.54965147999999997</v>
      </c>
    </row>
    <row r="34" spans="2:49">
      <c r="B34" s="101" t="s">
        <v>301</v>
      </c>
      <c r="C34" s="56">
        <v>46.165999999999997</v>
      </c>
      <c r="D34" s="56">
        <v>59.600999999999999</v>
      </c>
      <c r="E34" s="56">
        <v>27.553999999999998</v>
      </c>
      <c r="F34" s="56">
        <v>33.988</v>
      </c>
      <c r="G34" s="56">
        <v>40.731000000000002</v>
      </c>
      <c r="H34" s="56">
        <v>37.433</v>
      </c>
      <c r="I34" s="56">
        <v>18.05</v>
      </c>
      <c r="J34" s="56">
        <v>46.731999999999999</v>
      </c>
      <c r="K34" s="56">
        <v>53.591000000000001</v>
      </c>
      <c r="L34" s="56">
        <v>52.024000000000001</v>
      </c>
      <c r="M34" s="56">
        <v>15.316000000000001</v>
      </c>
      <c r="N34" t="s">
        <v>301</v>
      </c>
      <c r="O34">
        <v>4.2</v>
      </c>
      <c r="P34">
        <v>306.60000000000002</v>
      </c>
      <c r="Q34">
        <v>73</v>
      </c>
      <c r="S34" s="101" t="s">
        <v>301</v>
      </c>
      <c r="T34" s="56">
        <v>46.165999999999997</v>
      </c>
      <c r="U34" s="56">
        <v>59.600999999999999</v>
      </c>
      <c r="V34" s="56">
        <v>27.553999999999998</v>
      </c>
      <c r="W34" s="56">
        <v>33.988</v>
      </c>
      <c r="X34" s="56">
        <v>40.731000000000002</v>
      </c>
      <c r="Y34" s="56">
        <v>37.433</v>
      </c>
      <c r="Z34" s="56">
        <v>18.05</v>
      </c>
      <c r="AA34" s="56">
        <v>46.731999999999999</v>
      </c>
      <c r="AB34" s="56">
        <v>53.591000000000001</v>
      </c>
      <c r="AC34" s="56">
        <v>52.024000000000001</v>
      </c>
      <c r="AD34" s="56">
        <v>15.316000000000001</v>
      </c>
      <c r="AE34" s="101" t="s">
        <v>301</v>
      </c>
      <c r="AG34" s="112" t="s">
        <v>301</v>
      </c>
      <c r="AH34" s="56">
        <v>44.04</v>
      </c>
      <c r="AI34" s="56">
        <v>57.09</v>
      </c>
      <c r="AJ34" s="56">
        <v>27.73</v>
      </c>
      <c r="AK34" s="56">
        <v>32.619999999999997</v>
      </c>
      <c r="AL34" s="56">
        <v>39.15</v>
      </c>
      <c r="AM34" s="56">
        <v>35.880000000000003</v>
      </c>
      <c r="AN34" s="56">
        <v>17.899999999999999</v>
      </c>
      <c r="AO34" s="56">
        <v>45.67</v>
      </c>
      <c r="AP34" s="56">
        <v>44.04</v>
      </c>
      <c r="AQ34" s="56">
        <v>50.56</v>
      </c>
      <c r="AR34" s="56">
        <v>16.309999999999999</v>
      </c>
      <c r="AT34" s="101" t="s">
        <v>301</v>
      </c>
      <c r="AU34" s="138">
        <v>4.5837222623610305</v>
      </c>
      <c r="AV34" s="138">
        <v>1</v>
      </c>
      <c r="AW34" s="138">
        <v>-0.78559091000000003</v>
      </c>
    </row>
    <row r="35" spans="2:49">
      <c r="B35" s="101" t="s">
        <v>304</v>
      </c>
      <c r="C35" s="56">
        <v>28.952999999999999</v>
      </c>
      <c r="D35" s="56">
        <v>104.06</v>
      </c>
      <c r="E35" s="56">
        <v>17.515999999999998</v>
      </c>
      <c r="F35" s="56">
        <v>20.808</v>
      </c>
      <c r="G35" s="56">
        <v>34.491</v>
      </c>
      <c r="H35" s="56">
        <v>22.376999999999999</v>
      </c>
      <c r="I35" s="56">
        <v>26.346</v>
      </c>
      <c r="J35" s="56">
        <v>16.670999999999999</v>
      </c>
      <c r="K35" s="56">
        <v>11.849</v>
      </c>
      <c r="L35" s="56">
        <v>31.393999999999998</v>
      </c>
      <c r="M35" s="56">
        <v>18.808</v>
      </c>
      <c r="N35" t="s">
        <v>837</v>
      </c>
      <c r="O35">
        <v>4.0220000000000002</v>
      </c>
      <c r="P35">
        <v>321.8</v>
      </c>
      <c r="Q35">
        <v>80</v>
      </c>
      <c r="S35" s="101" t="s">
        <v>304</v>
      </c>
      <c r="T35" s="56">
        <v>28.952999999999999</v>
      </c>
      <c r="U35" s="56">
        <v>104.06</v>
      </c>
      <c r="V35" s="56">
        <v>17.515999999999998</v>
      </c>
      <c r="W35" s="56">
        <v>20.808</v>
      </c>
      <c r="X35" s="56">
        <v>34.491</v>
      </c>
      <c r="Y35" s="56">
        <v>22.376999999999999</v>
      </c>
      <c r="Z35" s="56">
        <v>26.346</v>
      </c>
      <c r="AA35" s="56">
        <v>16.670999999999999</v>
      </c>
      <c r="AB35" s="56">
        <v>11.849</v>
      </c>
      <c r="AC35" s="56">
        <v>31.393999999999998</v>
      </c>
      <c r="AD35" s="56">
        <v>18.808</v>
      </c>
      <c r="AE35" s="101" t="s">
        <v>304</v>
      </c>
      <c r="AG35" s="112" t="s">
        <v>304</v>
      </c>
      <c r="AH35" s="56">
        <v>27.338094000000002</v>
      </c>
      <c r="AI35" s="56">
        <v>74.453653599999996</v>
      </c>
      <c r="AJ35" s="56">
        <v>15.471614600000001</v>
      </c>
      <c r="AK35" s="56">
        <v>17.449361100000001</v>
      </c>
      <c r="AL35" s="56">
        <v>34.25</v>
      </c>
      <c r="AM35" s="56">
        <v>20.503570499999999</v>
      </c>
      <c r="AN35" s="56">
        <v>24.4590636</v>
      </c>
      <c r="AO35" s="56">
        <v>14.570330800000001</v>
      </c>
      <c r="AP35" s="56">
        <v>8.6370910900000002</v>
      </c>
      <c r="AQ35" s="56">
        <v>30.392303299999998</v>
      </c>
      <c r="AR35" s="56">
        <v>17.449361100000001</v>
      </c>
      <c r="AT35" s="101" t="s">
        <v>304</v>
      </c>
      <c r="AU35" s="138">
        <v>4.7907683849649931</v>
      </c>
      <c r="AV35" s="138">
        <v>0.9</v>
      </c>
      <c r="AW35" s="138">
        <v>-1.32743323</v>
      </c>
    </row>
    <row r="36" spans="2:49">
      <c r="B36" s="101" t="s">
        <v>35</v>
      </c>
      <c r="C36" s="56">
        <v>39.753</v>
      </c>
      <c r="D36" s="56">
        <v>54.075000000000003</v>
      </c>
      <c r="E36" s="56">
        <v>31.631</v>
      </c>
      <c r="F36" s="56">
        <v>23.777000000000001</v>
      </c>
      <c r="G36" s="56">
        <v>45.927999999999997</v>
      </c>
      <c r="H36" s="56">
        <v>23.305</v>
      </c>
      <c r="I36" s="56">
        <v>21.238</v>
      </c>
      <c r="J36" s="56">
        <v>32.317</v>
      </c>
      <c r="K36" s="56">
        <v>57.65</v>
      </c>
      <c r="L36" s="56">
        <v>40.906999999999996</v>
      </c>
      <c r="M36" s="56">
        <v>19.765000000000001</v>
      </c>
      <c r="N36" t="s">
        <v>35</v>
      </c>
      <c r="O36">
        <v>4.3079999999999998</v>
      </c>
      <c r="P36">
        <v>305.89999999999998</v>
      </c>
      <c r="Q36">
        <v>71</v>
      </c>
      <c r="S36" s="101" t="s">
        <v>35</v>
      </c>
      <c r="T36" s="56">
        <v>39.753</v>
      </c>
      <c r="U36" s="56">
        <v>54.075000000000003</v>
      </c>
      <c r="V36" s="56">
        <v>31.631</v>
      </c>
      <c r="W36" s="56">
        <v>23.777000000000001</v>
      </c>
      <c r="X36" s="56">
        <v>45.927999999999997</v>
      </c>
      <c r="Y36" s="56">
        <v>23.305</v>
      </c>
      <c r="Z36" s="56">
        <v>21.238</v>
      </c>
      <c r="AA36" s="56">
        <v>32.317</v>
      </c>
      <c r="AB36" s="56">
        <v>57.65</v>
      </c>
      <c r="AC36" s="56">
        <v>40.906999999999996</v>
      </c>
      <c r="AD36" s="56">
        <v>19.765000000000001</v>
      </c>
      <c r="AE36" s="101" t="s">
        <v>35</v>
      </c>
      <c r="AG36" s="112" t="s">
        <v>35</v>
      </c>
      <c r="AH36" s="56">
        <v>40.957999999999998</v>
      </c>
      <c r="AI36" s="56">
        <v>53.29</v>
      </c>
      <c r="AJ36" s="56">
        <v>31.89</v>
      </c>
      <c r="AK36" s="56">
        <v>22.36</v>
      </c>
      <c r="AL36" s="56">
        <v>38.950000000000003</v>
      </c>
      <c r="AM36" s="56">
        <v>22.8</v>
      </c>
      <c r="AN36" s="56">
        <v>21.34</v>
      </c>
      <c r="AO36" s="56">
        <v>31.48</v>
      </c>
      <c r="AP36" s="56">
        <v>59.55</v>
      </c>
      <c r="AQ36" s="56">
        <v>41.32</v>
      </c>
      <c r="AR36" s="56">
        <v>19.850000000000001</v>
      </c>
      <c r="AT36" s="101" t="s">
        <v>35</v>
      </c>
      <c r="AU36" s="138">
        <v>5.3668947126956397</v>
      </c>
      <c r="AV36" s="138">
        <v>0.9</v>
      </c>
      <c r="AW36" s="138">
        <v>0.37425260999999999</v>
      </c>
    </row>
    <row r="37" spans="2:49">
      <c r="B37" s="101" t="s">
        <v>308</v>
      </c>
      <c r="C37" s="56">
        <v>27.620999999999999</v>
      </c>
      <c r="D37" s="56">
        <v>49.493000000000002</v>
      </c>
      <c r="E37" s="56">
        <v>43.475999999999999</v>
      </c>
      <c r="F37" s="56">
        <v>41.082000000000001</v>
      </c>
      <c r="G37" s="56">
        <v>36.094999999999999</v>
      </c>
      <c r="H37" s="56">
        <v>32.405000000000001</v>
      </c>
      <c r="I37" s="56">
        <v>35.082999999999998</v>
      </c>
      <c r="J37" s="56">
        <v>44.109000000000002</v>
      </c>
      <c r="K37" s="56">
        <v>52.298999999999999</v>
      </c>
      <c r="L37" s="56">
        <v>34.093000000000004</v>
      </c>
      <c r="M37" s="56">
        <v>20.332000000000001</v>
      </c>
      <c r="N37" t="s">
        <v>308</v>
      </c>
      <c r="O37">
        <v>3.7160000000000002</v>
      </c>
      <c r="P37">
        <v>293.60000000000002</v>
      </c>
      <c r="Q37">
        <v>79</v>
      </c>
      <c r="S37" s="101" t="s">
        <v>308</v>
      </c>
      <c r="T37" s="56">
        <v>27.620999999999999</v>
      </c>
      <c r="U37" s="56">
        <v>49.493000000000002</v>
      </c>
      <c r="V37" s="56">
        <v>43.475999999999999</v>
      </c>
      <c r="W37" s="56">
        <v>41.082000000000001</v>
      </c>
      <c r="X37" s="56">
        <v>36.094999999999999</v>
      </c>
      <c r="Y37" s="56">
        <v>32.405000000000001</v>
      </c>
      <c r="Z37" s="56">
        <v>35.082999999999998</v>
      </c>
      <c r="AA37" s="56">
        <v>44.109000000000002</v>
      </c>
      <c r="AB37" s="56">
        <v>52.298999999999999</v>
      </c>
      <c r="AC37" s="56">
        <v>34.093000000000004</v>
      </c>
      <c r="AD37" s="56">
        <v>20.332000000000001</v>
      </c>
      <c r="AE37" s="101" t="s">
        <v>308</v>
      </c>
      <c r="AG37" s="112" t="s">
        <v>308</v>
      </c>
      <c r="AH37" s="56">
        <v>27.3</v>
      </c>
      <c r="AI37" s="56">
        <v>50.220999999999997</v>
      </c>
      <c r="AJ37" s="56">
        <v>42.87</v>
      </c>
      <c r="AK37" s="56">
        <v>41.244999999999997</v>
      </c>
      <c r="AL37" s="56">
        <v>36.47</v>
      </c>
      <c r="AM37" s="56">
        <v>33.32</v>
      </c>
      <c r="AN37" s="56">
        <v>34.78</v>
      </c>
      <c r="AO37" s="56">
        <v>46.24</v>
      </c>
      <c r="AP37" s="56">
        <v>50.34</v>
      </c>
      <c r="AQ37" s="56">
        <v>32.700000000000003</v>
      </c>
      <c r="AR37" s="56">
        <v>20.54</v>
      </c>
      <c r="AT37" s="101" t="s">
        <v>308</v>
      </c>
      <c r="AU37" s="138">
        <v>6.0042046102107189</v>
      </c>
      <c r="AV37" s="138">
        <v>0.90022259341926325</v>
      </c>
      <c r="AW37" s="138">
        <v>6.5690600000000002E-2</v>
      </c>
    </row>
    <row r="38" spans="2:49">
      <c r="B38" s="101" t="s">
        <v>33</v>
      </c>
      <c r="C38" s="56">
        <v>27.297999999999998</v>
      </c>
      <c r="D38" s="56">
        <v>29.742999999999999</v>
      </c>
      <c r="E38" s="56">
        <v>17.294</v>
      </c>
      <c r="F38" s="56">
        <v>19.402000000000001</v>
      </c>
      <c r="G38" s="56">
        <v>20.073</v>
      </c>
      <c r="H38" s="56">
        <v>20.844000000000001</v>
      </c>
      <c r="I38" s="56">
        <v>26.818999999999999</v>
      </c>
      <c r="J38" s="56">
        <v>21.298999999999999</v>
      </c>
      <c r="K38" s="56">
        <v>44.756</v>
      </c>
      <c r="L38" s="56">
        <v>19.763999999999999</v>
      </c>
      <c r="M38" s="56">
        <v>17.077999999999999</v>
      </c>
      <c r="N38" t="s">
        <v>33</v>
      </c>
      <c r="O38">
        <v>5.3339999999999996</v>
      </c>
      <c r="P38">
        <v>309.39999999999998</v>
      </c>
      <c r="Q38">
        <v>58</v>
      </c>
      <c r="S38" s="101" t="s">
        <v>33</v>
      </c>
      <c r="T38" s="56">
        <v>27.297999999999998</v>
      </c>
      <c r="U38" s="56">
        <v>29.742999999999999</v>
      </c>
      <c r="V38" s="56">
        <v>17.294</v>
      </c>
      <c r="W38" s="56">
        <v>19.402000000000001</v>
      </c>
      <c r="X38" s="56">
        <v>20.073</v>
      </c>
      <c r="Y38" s="56">
        <v>20.844000000000001</v>
      </c>
      <c r="Z38" s="56">
        <v>26.818999999999999</v>
      </c>
      <c r="AA38" s="56">
        <v>21.298999999999999</v>
      </c>
      <c r="AB38" s="56">
        <v>44.756</v>
      </c>
      <c r="AC38" s="56">
        <v>19.763999999999999</v>
      </c>
      <c r="AD38" s="56">
        <v>17.077999999999999</v>
      </c>
      <c r="AE38" s="101" t="s">
        <v>33</v>
      </c>
      <c r="AG38" s="112" t="s">
        <v>33</v>
      </c>
      <c r="AH38" s="56">
        <v>26.84</v>
      </c>
      <c r="AI38" s="56">
        <v>29.5</v>
      </c>
      <c r="AJ38" s="56">
        <v>16.7</v>
      </c>
      <c r="AK38" s="56">
        <v>18.91</v>
      </c>
      <c r="AL38" s="56">
        <v>20.04</v>
      </c>
      <c r="AM38" s="56">
        <v>20.04</v>
      </c>
      <c r="AN38" s="56">
        <v>26.47</v>
      </c>
      <c r="AO38" s="56">
        <v>21.14</v>
      </c>
      <c r="AP38" s="56">
        <v>44.49</v>
      </c>
      <c r="AQ38" s="56">
        <v>18.12</v>
      </c>
      <c r="AR38" s="56">
        <v>14.99</v>
      </c>
      <c r="AT38" s="101" t="s">
        <v>33</v>
      </c>
      <c r="AU38" s="138">
        <v>5.1209240305442547</v>
      </c>
      <c r="AV38" s="138">
        <v>0.89999099116309633</v>
      </c>
      <c r="AW38" s="138">
        <v>-0.39516055</v>
      </c>
    </row>
    <row r="39" spans="2:49">
      <c r="B39" s="101" t="s">
        <v>997</v>
      </c>
      <c r="C39" s="56">
        <v>25.103000000000002</v>
      </c>
      <c r="D39" s="56">
        <v>47.319000000000003</v>
      </c>
      <c r="E39" s="56">
        <v>21.53</v>
      </c>
      <c r="F39" s="56">
        <v>19.725999999999999</v>
      </c>
      <c r="G39" s="56">
        <v>14.414</v>
      </c>
      <c r="H39" s="56">
        <v>13.683999999999999</v>
      </c>
      <c r="I39" s="56">
        <v>35.784999999999997</v>
      </c>
      <c r="J39" s="56">
        <v>24.166</v>
      </c>
      <c r="K39" s="56">
        <v>29.533999999999999</v>
      </c>
      <c r="L39" s="56">
        <v>22.648</v>
      </c>
      <c r="M39" s="56">
        <v>15.327</v>
      </c>
      <c r="N39" t="s">
        <v>997</v>
      </c>
      <c r="O39">
        <v>6.1740000000000004</v>
      </c>
      <c r="P39">
        <v>308.7</v>
      </c>
      <c r="Q39">
        <v>50</v>
      </c>
      <c r="S39" s="101" t="s">
        <v>997</v>
      </c>
      <c r="T39" s="56">
        <v>0</v>
      </c>
      <c r="U39" s="56">
        <v>0</v>
      </c>
      <c r="V39" s="56">
        <v>0</v>
      </c>
      <c r="W39" s="56">
        <v>0</v>
      </c>
      <c r="X39" s="56">
        <v>0</v>
      </c>
      <c r="Y39" s="56">
        <v>0</v>
      </c>
      <c r="Z39" s="56">
        <v>0</v>
      </c>
      <c r="AA39" s="56">
        <v>0</v>
      </c>
      <c r="AB39" s="56">
        <v>0</v>
      </c>
      <c r="AC39" s="56">
        <v>0</v>
      </c>
      <c r="AD39" s="56">
        <v>0</v>
      </c>
      <c r="AE39" s="101"/>
      <c r="AG39" s="112" t="s">
        <v>997</v>
      </c>
      <c r="AH39" s="56">
        <v>0</v>
      </c>
      <c r="AI39" s="56">
        <v>0</v>
      </c>
      <c r="AJ39" s="56">
        <v>0</v>
      </c>
      <c r="AK39" s="56">
        <v>0</v>
      </c>
      <c r="AL39" s="56">
        <v>0</v>
      </c>
      <c r="AM39" s="56">
        <v>0</v>
      </c>
      <c r="AN39" s="56">
        <v>0</v>
      </c>
      <c r="AO39" s="56">
        <v>0</v>
      </c>
      <c r="AP39" s="56">
        <v>0</v>
      </c>
      <c r="AQ39" s="56">
        <v>0</v>
      </c>
      <c r="AR39" s="56">
        <v>0</v>
      </c>
      <c r="AS39" s="183" t="s">
        <v>1</v>
      </c>
      <c r="AT39" s="101" t="s">
        <v>997</v>
      </c>
      <c r="AU39" s="138">
        <v>5</v>
      </c>
      <c r="AV39" s="138"/>
      <c r="AW39" s="138">
        <v>0</v>
      </c>
    </row>
    <row r="40" spans="2:49">
      <c r="B40" s="101" t="s">
        <v>32</v>
      </c>
      <c r="C40" s="56">
        <v>36.689</v>
      </c>
      <c r="D40" s="56">
        <v>57.136000000000003</v>
      </c>
      <c r="E40" s="56">
        <v>38.049999999999997</v>
      </c>
      <c r="F40" s="56">
        <v>41.692999999999998</v>
      </c>
      <c r="G40" s="56">
        <v>34.457000000000001</v>
      </c>
      <c r="H40" s="56">
        <v>29.923999999999999</v>
      </c>
      <c r="I40" s="56">
        <v>20.888999999999999</v>
      </c>
      <c r="J40" s="56">
        <v>32.790999999999997</v>
      </c>
      <c r="K40" s="56">
        <v>50.798999999999999</v>
      </c>
      <c r="L40" s="56">
        <v>47.78</v>
      </c>
      <c r="M40" s="56">
        <v>23.664000000000001</v>
      </c>
      <c r="N40" t="s">
        <v>32</v>
      </c>
      <c r="O40">
        <v>4.4409999999999998</v>
      </c>
      <c r="P40">
        <v>306.39999999999998</v>
      </c>
      <c r="Q40">
        <v>69</v>
      </c>
      <c r="S40" s="101" t="s">
        <v>32</v>
      </c>
      <c r="T40" s="56">
        <v>36.689</v>
      </c>
      <c r="U40" s="56">
        <v>57.136000000000003</v>
      </c>
      <c r="V40" s="56">
        <v>38.049999999999997</v>
      </c>
      <c r="W40" s="56">
        <v>41.692999999999998</v>
      </c>
      <c r="X40" s="56">
        <v>34.457000000000001</v>
      </c>
      <c r="Y40" s="56">
        <v>29.923999999999999</v>
      </c>
      <c r="Z40" s="56">
        <v>20.888999999999999</v>
      </c>
      <c r="AA40" s="56">
        <v>32.790999999999997</v>
      </c>
      <c r="AB40" s="56">
        <v>50.798999999999999</v>
      </c>
      <c r="AC40" s="56">
        <v>47.78</v>
      </c>
      <c r="AD40" s="56">
        <v>23.664000000000001</v>
      </c>
      <c r="AE40" s="101" t="s">
        <v>32</v>
      </c>
      <c r="AG40" s="112" t="s">
        <v>32</v>
      </c>
      <c r="AH40" s="56">
        <v>34.6</v>
      </c>
      <c r="AI40" s="56">
        <v>56.366999999999997</v>
      </c>
      <c r="AJ40" s="56">
        <v>36.22</v>
      </c>
      <c r="AK40" s="56">
        <v>40.950000000000003</v>
      </c>
      <c r="AL40" s="56">
        <v>33.82</v>
      </c>
      <c r="AM40" s="56">
        <v>29.399000000000001</v>
      </c>
      <c r="AN40" s="56">
        <v>19.350000000000001</v>
      </c>
      <c r="AO40" s="56">
        <v>31.73</v>
      </c>
      <c r="AP40" s="56">
        <v>50.98</v>
      </c>
      <c r="AQ40" s="56">
        <v>46.91</v>
      </c>
      <c r="AR40" s="56">
        <v>21.82</v>
      </c>
      <c r="AT40" s="101" t="s">
        <v>32</v>
      </c>
      <c r="AU40" s="138">
        <v>6.3741938984745925</v>
      </c>
      <c r="AV40" s="138">
        <v>0.9005520520306709</v>
      </c>
      <c r="AW40" s="138">
        <v>0.49832751000000003</v>
      </c>
    </row>
    <row r="41" spans="2:49">
      <c r="B41" s="101" t="s">
        <v>315</v>
      </c>
      <c r="C41" s="56">
        <v>13.519</v>
      </c>
      <c r="D41" s="56">
        <v>21.747</v>
      </c>
      <c r="E41" s="56">
        <v>28.739000000000001</v>
      </c>
      <c r="F41" s="56">
        <v>27.259</v>
      </c>
      <c r="G41" s="56">
        <v>12.183</v>
      </c>
      <c r="H41" s="56">
        <v>10.82</v>
      </c>
      <c r="I41" s="56">
        <v>9.3960000000000008</v>
      </c>
      <c r="J41" s="56">
        <v>23.120999999999999</v>
      </c>
      <c r="K41" s="56">
        <v>32.997999999999998</v>
      </c>
      <c r="L41" s="56">
        <v>14.904999999999999</v>
      </c>
      <c r="M41" s="56">
        <v>13.353999999999999</v>
      </c>
      <c r="N41" t="s">
        <v>839</v>
      </c>
      <c r="O41">
        <v>2.2999999999999998</v>
      </c>
      <c r="P41">
        <v>184</v>
      </c>
      <c r="Q41">
        <v>80</v>
      </c>
      <c r="S41" s="101" t="s">
        <v>315</v>
      </c>
      <c r="T41" s="56">
        <v>13.52</v>
      </c>
      <c r="U41" s="56">
        <v>21.75</v>
      </c>
      <c r="V41" s="56">
        <v>28.74</v>
      </c>
      <c r="W41" s="56">
        <v>27.26</v>
      </c>
      <c r="X41" s="56">
        <v>12.18</v>
      </c>
      <c r="Y41" s="56">
        <v>10.82</v>
      </c>
      <c r="Z41" s="56">
        <v>9.4</v>
      </c>
      <c r="AA41" s="56">
        <v>23.12</v>
      </c>
      <c r="AB41" s="56">
        <v>33</v>
      </c>
      <c r="AC41" s="56">
        <v>14.91</v>
      </c>
      <c r="AD41" s="56">
        <v>13.35</v>
      </c>
      <c r="AE41" s="101" t="s">
        <v>315</v>
      </c>
      <c r="AG41" s="112" t="s">
        <v>315</v>
      </c>
      <c r="AH41" s="56">
        <v>10</v>
      </c>
      <c r="AI41" s="56">
        <v>16</v>
      </c>
      <c r="AJ41" s="56">
        <v>26</v>
      </c>
      <c r="AK41" s="56">
        <v>25</v>
      </c>
      <c r="AL41" s="56">
        <v>8</v>
      </c>
      <c r="AM41" s="56">
        <v>7</v>
      </c>
      <c r="AN41" s="56">
        <v>6</v>
      </c>
      <c r="AO41" s="56">
        <v>22</v>
      </c>
      <c r="AP41" s="56">
        <v>35</v>
      </c>
      <c r="AQ41" s="56">
        <v>10</v>
      </c>
      <c r="AR41" s="56">
        <v>8</v>
      </c>
      <c r="AT41" s="101" t="s">
        <v>315</v>
      </c>
      <c r="AU41" s="138">
        <v>4.1100121278689778</v>
      </c>
      <c r="AV41" s="138">
        <v>0.77691662630054137</v>
      </c>
      <c r="AW41" s="138">
        <v>0.78504622000000002</v>
      </c>
    </row>
    <row r="42" spans="2:49">
      <c r="B42" s="101" t="s">
        <v>318</v>
      </c>
      <c r="C42" s="56">
        <v>24.484999999999999</v>
      </c>
      <c r="D42" s="56">
        <v>41.33</v>
      </c>
      <c r="E42" s="56">
        <v>29.170999999999999</v>
      </c>
      <c r="F42" s="56">
        <v>25.863</v>
      </c>
      <c r="G42" s="56">
        <v>30.547999999999998</v>
      </c>
      <c r="H42" s="56">
        <v>20.882999999999999</v>
      </c>
      <c r="I42" s="56">
        <v>14.686999999999999</v>
      </c>
      <c r="J42" s="56">
        <v>21.75</v>
      </c>
      <c r="K42" s="56">
        <v>13.329000000000001</v>
      </c>
      <c r="L42" s="56">
        <v>44.143000000000001</v>
      </c>
      <c r="M42" s="56">
        <v>13.048999999999999</v>
      </c>
      <c r="N42" t="s">
        <v>318</v>
      </c>
      <c r="O42">
        <v>3.3010000000000002</v>
      </c>
      <c r="P42">
        <v>264.10000000000002</v>
      </c>
      <c r="Q42">
        <v>80</v>
      </c>
      <c r="S42" s="101" t="s">
        <v>318</v>
      </c>
      <c r="T42" s="56">
        <v>24.484999999999999</v>
      </c>
      <c r="U42" s="56">
        <v>41.33</v>
      </c>
      <c r="V42" s="56">
        <v>29.170999999999999</v>
      </c>
      <c r="W42" s="56">
        <v>25.863</v>
      </c>
      <c r="X42" s="56">
        <v>30.547999999999998</v>
      </c>
      <c r="Y42" s="56">
        <v>20.882999999999999</v>
      </c>
      <c r="Z42" s="56">
        <v>14.686999999999999</v>
      </c>
      <c r="AA42" s="56">
        <v>21.75</v>
      </c>
      <c r="AB42" s="56">
        <v>13.329000000000001</v>
      </c>
      <c r="AC42" s="56">
        <v>44.143000000000001</v>
      </c>
      <c r="AD42" s="56">
        <v>13.048999999999999</v>
      </c>
      <c r="AE42" s="101" t="s">
        <v>318</v>
      </c>
      <c r="AG42" s="112" t="s">
        <v>318</v>
      </c>
      <c r="AH42" s="56">
        <v>24.251721344088502</v>
      </c>
      <c r="AI42" s="56">
        <v>40.406340362628498</v>
      </c>
      <c r="AJ42" s="56">
        <v>28.363082032196001</v>
      </c>
      <c r="AK42" s="56">
        <v>25.123878959592101</v>
      </c>
      <c r="AL42" s="56">
        <v>29.784170576114899</v>
      </c>
      <c r="AM42" s="56">
        <v>20.537386640747201</v>
      </c>
      <c r="AN42" s="56">
        <v>14.4560064803056</v>
      </c>
      <c r="AO42" s="56">
        <v>21.4095442562508</v>
      </c>
      <c r="AP42" s="56">
        <v>13.0302286467674</v>
      </c>
      <c r="AQ42" s="56">
        <v>43.279190946035101</v>
      </c>
      <c r="AR42" s="56">
        <v>12.682480287924999</v>
      </c>
      <c r="AT42" s="101" t="s">
        <v>318</v>
      </c>
      <c r="AU42" s="138">
        <v>7.0606539505295567</v>
      </c>
      <c r="AV42" s="138">
        <v>2.0082619124073886E-2</v>
      </c>
      <c r="AW42" s="138">
        <v>0.89440587000000005</v>
      </c>
    </row>
    <row r="43" spans="2:49">
      <c r="B43" s="101" t="s">
        <v>321</v>
      </c>
      <c r="C43" s="56">
        <v>22.824999999999999</v>
      </c>
      <c r="D43" s="56">
        <v>33.527999999999999</v>
      </c>
      <c r="E43" s="56">
        <v>35.523000000000003</v>
      </c>
      <c r="F43" s="56">
        <v>39.598999999999997</v>
      </c>
      <c r="G43" s="56">
        <v>20.484000000000002</v>
      </c>
      <c r="H43" s="56">
        <v>18.295999999999999</v>
      </c>
      <c r="I43" s="56">
        <v>32.447000000000003</v>
      </c>
      <c r="J43" s="56">
        <v>45.93</v>
      </c>
      <c r="K43" s="56">
        <v>27.995999999999999</v>
      </c>
      <c r="L43" s="56">
        <v>24.088999999999999</v>
      </c>
      <c r="M43" s="56">
        <v>21.452000000000002</v>
      </c>
      <c r="N43" t="s">
        <v>321</v>
      </c>
      <c r="O43">
        <v>4.2610000000000001</v>
      </c>
      <c r="P43">
        <v>306.8</v>
      </c>
      <c r="Q43">
        <v>72</v>
      </c>
      <c r="S43" s="101" t="s">
        <v>321</v>
      </c>
      <c r="T43" s="56">
        <v>23.079000000000001</v>
      </c>
      <c r="U43" s="56">
        <v>33</v>
      </c>
      <c r="V43" s="56">
        <v>35.700000000000003</v>
      </c>
      <c r="W43" s="56">
        <v>39.813000000000002</v>
      </c>
      <c r="X43" s="56">
        <v>20.623999999999999</v>
      </c>
      <c r="Y43" s="56">
        <v>18.513000000000002</v>
      </c>
      <c r="Z43" s="56">
        <v>32.57</v>
      </c>
      <c r="AA43" s="56">
        <v>46.158000000000001</v>
      </c>
      <c r="AB43" s="56">
        <v>28.459</v>
      </c>
      <c r="AC43" s="56">
        <v>24.411000000000001</v>
      </c>
      <c r="AD43" s="56">
        <v>21.704999999999998</v>
      </c>
      <c r="AE43" s="101" t="s">
        <v>321</v>
      </c>
      <c r="AG43" s="112" t="s">
        <v>321</v>
      </c>
      <c r="AH43" s="56">
        <v>21.55</v>
      </c>
      <c r="AI43" s="56">
        <v>32.11</v>
      </c>
      <c r="AJ43" s="56">
        <v>35.799999999999997</v>
      </c>
      <c r="AK43" s="56">
        <v>42.81</v>
      </c>
      <c r="AL43" s="56">
        <v>19.93</v>
      </c>
      <c r="AM43" s="56">
        <v>18.103000000000002</v>
      </c>
      <c r="AN43" s="56">
        <v>30.77</v>
      </c>
      <c r="AO43" s="56">
        <v>45.91</v>
      </c>
      <c r="AP43" s="56">
        <v>28.24</v>
      </c>
      <c r="AQ43" s="56">
        <v>23.68</v>
      </c>
      <c r="AR43" s="56">
        <v>21.19</v>
      </c>
      <c r="AT43" s="101" t="s">
        <v>321</v>
      </c>
      <c r="AU43" s="138">
        <v>6.4746969208002465</v>
      </c>
      <c r="AV43" s="138">
        <v>0.90005194760997087</v>
      </c>
      <c r="AW43" s="138">
        <v>0.40508811</v>
      </c>
    </row>
    <row r="44" spans="2:49">
      <c r="B44" s="101" t="s">
        <v>324</v>
      </c>
      <c r="C44" s="56">
        <v>30.149000000000001</v>
      </c>
      <c r="D44" s="56">
        <v>37.567</v>
      </c>
      <c r="E44" s="56">
        <v>26.36</v>
      </c>
      <c r="F44" s="56">
        <v>17.552</v>
      </c>
      <c r="G44" s="56">
        <v>17.187999999999999</v>
      </c>
      <c r="H44" s="56">
        <v>15.804</v>
      </c>
      <c r="I44" s="56">
        <v>24.428999999999998</v>
      </c>
      <c r="J44" s="56">
        <v>39.460999999999999</v>
      </c>
      <c r="K44" s="56">
        <v>43.061999999999998</v>
      </c>
      <c r="L44" s="56">
        <v>34.92</v>
      </c>
      <c r="M44" s="56">
        <v>9.33</v>
      </c>
      <c r="N44" t="s">
        <v>324</v>
      </c>
      <c r="O44">
        <v>3.601</v>
      </c>
      <c r="P44">
        <v>284.5</v>
      </c>
      <c r="Q44">
        <v>79</v>
      </c>
      <c r="S44" s="101" t="s">
        <v>324</v>
      </c>
      <c r="T44" s="56">
        <v>30.149000000000001</v>
      </c>
      <c r="U44" s="56">
        <v>37.567</v>
      </c>
      <c r="V44" s="56">
        <v>26.36</v>
      </c>
      <c r="W44" s="56">
        <v>17.552</v>
      </c>
      <c r="X44" s="56">
        <v>17.187999999999999</v>
      </c>
      <c r="Y44" s="56">
        <v>15.804</v>
      </c>
      <c r="Z44" s="56">
        <v>24.428999999999998</v>
      </c>
      <c r="AA44" s="56">
        <v>39.460999999999999</v>
      </c>
      <c r="AB44" s="56">
        <v>43.061999999999998</v>
      </c>
      <c r="AC44" s="56">
        <v>34.92</v>
      </c>
      <c r="AD44" s="56">
        <v>9.33</v>
      </c>
      <c r="AE44" s="101" t="s">
        <v>324</v>
      </c>
      <c r="AG44" s="112" t="s">
        <v>324</v>
      </c>
      <c r="AH44" s="56">
        <v>30.676058971948301</v>
      </c>
      <c r="AI44" s="56">
        <v>37.7726854663251</v>
      </c>
      <c r="AJ44" s="56">
        <v>27.018967262814201</v>
      </c>
      <c r="AK44" s="56">
        <v>18.503015469561902</v>
      </c>
      <c r="AL44" s="56">
        <v>18.503015469561902</v>
      </c>
      <c r="AM44" s="56">
        <v>17.083690170686499</v>
      </c>
      <c r="AN44" s="56">
        <v>25.599641963938801</v>
      </c>
      <c r="AO44" s="56">
        <v>37.990242390216501</v>
      </c>
      <c r="AP44" s="56">
        <v>42.0306613629512</v>
      </c>
      <c r="AQ44" s="56">
        <v>36.570917091341101</v>
      </c>
      <c r="AR44" s="56">
        <v>10.5879478638017</v>
      </c>
      <c r="AT44" s="101" t="s">
        <v>324</v>
      </c>
      <c r="AU44" s="138">
        <v>5.574493516556287</v>
      </c>
      <c r="AV44" s="138">
        <v>0.90004008093871324</v>
      </c>
      <c r="AW44" s="138">
        <v>-0.24924618000000001</v>
      </c>
    </row>
    <row r="45" spans="2:49">
      <c r="B45" s="101" t="s">
        <v>1010</v>
      </c>
      <c r="C45" s="56"/>
      <c r="D45" s="56"/>
      <c r="E45" s="56"/>
      <c r="F45" s="56"/>
      <c r="G45" s="56"/>
      <c r="H45" s="56"/>
      <c r="I45" s="56"/>
      <c r="J45" s="56"/>
      <c r="K45" s="56"/>
      <c r="L45" s="56"/>
      <c r="M45" s="56"/>
      <c r="N45" t="s">
        <v>1010</v>
      </c>
      <c r="S45" s="101" t="s">
        <v>1010</v>
      </c>
      <c r="T45" s="56"/>
      <c r="U45" s="56"/>
      <c r="V45" s="56"/>
      <c r="W45" s="56"/>
      <c r="X45" s="56"/>
      <c r="Y45" s="56"/>
      <c r="Z45" s="56"/>
      <c r="AA45" s="56"/>
      <c r="AB45" s="56"/>
      <c r="AC45" s="56"/>
      <c r="AD45" s="56"/>
      <c r="AE45" s="101" t="s">
        <v>1010</v>
      </c>
      <c r="AG45" s="112" t="s">
        <v>1010</v>
      </c>
      <c r="AH45" s="56"/>
      <c r="AI45" s="56"/>
      <c r="AJ45" s="56"/>
      <c r="AK45" s="56"/>
      <c r="AL45" s="56"/>
      <c r="AM45" s="56"/>
      <c r="AN45" s="56"/>
      <c r="AO45" s="56"/>
      <c r="AP45" s="56"/>
      <c r="AQ45" s="56"/>
      <c r="AR45" s="56"/>
      <c r="AT45" s="101" t="s">
        <v>1010</v>
      </c>
      <c r="AU45" s="138"/>
      <c r="AV45" s="138"/>
      <c r="AW45" s="138"/>
    </row>
    <row r="46" spans="2:49">
      <c r="B46" s="101" t="s">
        <v>1011</v>
      </c>
      <c r="C46" s="56"/>
      <c r="D46" s="56"/>
      <c r="E46" s="56"/>
      <c r="F46" s="56"/>
      <c r="G46" s="56"/>
      <c r="H46" s="56"/>
      <c r="I46" s="56"/>
      <c r="J46" s="56"/>
      <c r="K46" s="56"/>
      <c r="L46" s="56"/>
      <c r="M46" s="56"/>
      <c r="N46" t="s">
        <v>1011</v>
      </c>
      <c r="S46" s="101" t="s">
        <v>1011</v>
      </c>
      <c r="T46" s="56"/>
      <c r="U46" s="56"/>
      <c r="V46" s="56"/>
      <c r="W46" s="56"/>
      <c r="X46" s="56"/>
      <c r="Y46" s="56"/>
      <c r="Z46" s="56"/>
      <c r="AA46" s="56"/>
      <c r="AB46" s="56"/>
      <c r="AC46" s="56"/>
      <c r="AD46" s="56"/>
      <c r="AE46" s="101" t="s">
        <v>1011</v>
      </c>
      <c r="AG46" s="112" t="s">
        <v>1011</v>
      </c>
      <c r="AH46" s="56"/>
      <c r="AI46" s="56"/>
      <c r="AJ46" s="56"/>
      <c r="AK46" s="56"/>
      <c r="AL46" s="56"/>
      <c r="AM46" s="56"/>
      <c r="AN46" s="56"/>
      <c r="AO46" s="56"/>
      <c r="AP46" s="56"/>
      <c r="AQ46" s="56"/>
      <c r="AR46" s="56"/>
      <c r="AT46" s="101" t="s">
        <v>1011</v>
      </c>
      <c r="AU46" s="138"/>
      <c r="AV46" s="138"/>
      <c r="AW46" s="138"/>
    </row>
    <row r="47" spans="2:49">
      <c r="B47" s="101" t="s">
        <v>327</v>
      </c>
      <c r="C47" s="56">
        <v>23.462</v>
      </c>
      <c r="D47" s="56">
        <v>42.802999999999997</v>
      </c>
      <c r="E47" s="56">
        <v>29.122</v>
      </c>
      <c r="F47" s="56">
        <v>25.744</v>
      </c>
      <c r="G47" s="56">
        <v>27.428000000000001</v>
      </c>
      <c r="H47" s="56">
        <v>20.763999999999999</v>
      </c>
      <c r="I47" s="56">
        <v>21.248000000000001</v>
      </c>
      <c r="J47" s="56">
        <v>34.838000000000001</v>
      </c>
      <c r="K47" s="56">
        <v>48.363</v>
      </c>
      <c r="L47" s="56">
        <v>37.866999999999997</v>
      </c>
      <c r="M47" s="56">
        <v>13.492000000000001</v>
      </c>
      <c r="N47" t="s">
        <v>838</v>
      </c>
      <c r="O47">
        <v>4.2469999999999999</v>
      </c>
      <c r="P47">
        <v>305.8</v>
      </c>
      <c r="Q47">
        <v>72</v>
      </c>
      <c r="S47" s="101" t="s">
        <v>327</v>
      </c>
      <c r="T47" s="56">
        <v>23.462</v>
      </c>
      <c r="U47" s="56">
        <v>42.802999999999997</v>
      </c>
      <c r="V47" s="56">
        <v>29.122</v>
      </c>
      <c r="W47" s="56">
        <v>25.744</v>
      </c>
      <c r="X47" s="56">
        <v>27.428000000000001</v>
      </c>
      <c r="Y47" s="56">
        <v>20.763999999999999</v>
      </c>
      <c r="Z47" s="56">
        <v>21.248000000000001</v>
      </c>
      <c r="AA47" s="56">
        <v>34.838000000000001</v>
      </c>
      <c r="AB47" s="56">
        <v>48.363</v>
      </c>
      <c r="AC47" s="56">
        <v>37.866999999999997</v>
      </c>
      <c r="AD47" s="56">
        <v>13.492000000000001</v>
      </c>
      <c r="AE47" s="101" t="s">
        <v>327</v>
      </c>
      <c r="AG47" s="112" t="s">
        <v>327</v>
      </c>
      <c r="AH47" s="56">
        <v>23.816840730595299</v>
      </c>
      <c r="AI47" s="56">
        <v>46.803769574569998</v>
      </c>
      <c r="AJ47" s="56">
        <v>30.489081528745</v>
      </c>
      <c r="AK47" s="56">
        <v>26.080646596018799</v>
      </c>
      <c r="AL47" s="56">
        <v>28.4646108196835</v>
      </c>
      <c r="AM47" s="56">
        <v>20.2312698082766</v>
      </c>
      <c r="AN47" s="56">
        <v>21.2705469890969</v>
      </c>
      <c r="AO47" s="56">
        <v>38.829382526432099</v>
      </c>
      <c r="AP47" s="56">
        <v>54.138670904427002</v>
      </c>
      <c r="AQ47" s="56">
        <v>40.438831722738101</v>
      </c>
      <c r="AR47" s="56">
        <v>10.5170518679555</v>
      </c>
      <c r="AT47" s="101" t="s">
        <v>327</v>
      </c>
      <c r="AU47" s="138">
        <v>5.849871555583718</v>
      </c>
      <c r="AV47" s="138">
        <v>0.90137784214201555</v>
      </c>
      <c r="AW47" s="138">
        <v>-0.10884759999999999</v>
      </c>
    </row>
    <row r="48" spans="2:49">
      <c r="B48" s="101" t="s">
        <v>330</v>
      </c>
      <c r="C48" s="56">
        <v>23.024000000000001</v>
      </c>
      <c r="D48" s="56">
        <v>47.597000000000001</v>
      </c>
      <c r="E48" s="56">
        <v>27.277999999999999</v>
      </c>
      <c r="F48" s="56">
        <v>29.867999999999999</v>
      </c>
      <c r="G48" s="56">
        <v>22.382999999999999</v>
      </c>
      <c r="H48" s="56">
        <v>21.97</v>
      </c>
      <c r="I48" s="56">
        <v>20.655000000000001</v>
      </c>
      <c r="J48" s="56">
        <v>32.353000000000002</v>
      </c>
      <c r="K48" s="56">
        <v>39.018000000000001</v>
      </c>
      <c r="L48" s="56">
        <v>22.364000000000001</v>
      </c>
      <c r="M48" s="56">
        <v>18.012</v>
      </c>
      <c r="N48" t="s">
        <v>330</v>
      </c>
      <c r="O48">
        <v>5.3029999999999999</v>
      </c>
      <c r="P48">
        <v>307.60000000000002</v>
      </c>
      <c r="Q48">
        <v>58</v>
      </c>
      <c r="S48" s="101" t="s">
        <v>330</v>
      </c>
      <c r="T48" s="56">
        <v>23.024000000000001</v>
      </c>
      <c r="U48" s="56">
        <v>47.597000000000001</v>
      </c>
      <c r="V48" s="56">
        <v>27.277999999999999</v>
      </c>
      <c r="W48" s="56">
        <v>29.867999999999999</v>
      </c>
      <c r="X48" s="56">
        <v>22.382999999999999</v>
      </c>
      <c r="Y48" s="56">
        <v>21.97</v>
      </c>
      <c r="Z48" s="56">
        <v>20.655000000000001</v>
      </c>
      <c r="AA48" s="56">
        <v>32.353000000000002</v>
      </c>
      <c r="AB48" s="56">
        <v>39.018000000000001</v>
      </c>
      <c r="AC48" s="56">
        <v>22.364000000000001</v>
      </c>
      <c r="AD48" s="56">
        <v>18.012</v>
      </c>
      <c r="AE48" s="101" t="s">
        <v>330</v>
      </c>
      <c r="AG48" s="112" t="s">
        <v>330</v>
      </c>
      <c r="AH48" s="56">
        <v>22.8</v>
      </c>
      <c r="AI48" s="56">
        <v>45.4</v>
      </c>
      <c r="AJ48" s="56">
        <v>27.1</v>
      </c>
      <c r="AK48" s="56">
        <v>29.8</v>
      </c>
      <c r="AL48" s="56">
        <v>21.95</v>
      </c>
      <c r="AM48" s="56">
        <v>21.34</v>
      </c>
      <c r="AN48" s="56">
        <v>18.7</v>
      </c>
      <c r="AO48" s="56">
        <v>31.8</v>
      </c>
      <c r="AP48" s="56">
        <v>37.064999999999998</v>
      </c>
      <c r="AQ48" s="56">
        <v>20.9</v>
      </c>
      <c r="AR48" s="56">
        <v>16.977</v>
      </c>
      <c r="AT48" s="101" t="s">
        <v>330</v>
      </c>
      <c r="AU48" s="138">
        <v>3.7205205474320677</v>
      </c>
      <c r="AV48" s="138">
        <v>0.90931276906920511</v>
      </c>
      <c r="AW48" s="138">
        <v>0.45248499999999997</v>
      </c>
    </row>
    <row r="49" spans="2:49">
      <c r="B49" s="101" t="s">
        <v>31</v>
      </c>
      <c r="C49" s="56">
        <v>12.708</v>
      </c>
      <c r="D49" s="56">
        <v>24.4</v>
      </c>
      <c r="E49" s="56">
        <v>16.454999999999998</v>
      </c>
      <c r="F49" s="56">
        <v>14.552</v>
      </c>
      <c r="G49" s="56">
        <v>20.387</v>
      </c>
      <c r="H49" s="56">
        <v>14.083</v>
      </c>
      <c r="I49" s="56">
        <v>19.797000000000001</v>
      </c>
      <c r="J49" s="56">
        <v>31.901</v>
      </c>
      <c r="K49" s="56">
        <v>13.536</v>
      </c>
      <c r="L49" s="56">
        <v>38.081000000000003</v>
      </c>
      <c r="M49" s="56">
        <v>17.138999999999999</v>
      </c>
      <c r="N49" t="s">
        <v>31</v>
      </c>
      <c r="O49">
        <v>4.42</v>
      </c>
      <c r="P49">
        <v>305</v>
      </c>
      <c r="Q49">
        <v>69</v>
      </c>
      <c r="S49" s="101" t="s">
        <v>31</v>
      </c>
      <c r="T49" s="56">
        <v>12.708</v>
      </c>
      <c r="U49" s="56">
        <v>24.4</v>
      </c>
      <c r="V49" s="56">
        <v>16.454999999999998</v>
      </c>
      <c r="W49" s="56">
        <v>14.552</v>
      </c>
      <c r="X49" s="56">
        <v>20.387</v>
      </c>
      <c r="Y49" s="56">
        <v>14.083</v>
      </c>
      <c r="Z49" s="56">
        <v>19.797000000000001</v>
      </c>
      <c r="AA49" s="56">
        <v>31.901</v>
      </c>
      <c r="AB49" s="56">
        <v>13.536</v>
      </c>
      <c r="AC49" s="56">
        <v>38.081000000000003</v>
      </c>
      <c r="AD49" s="56">
        <v>17.138999999999999</v>
      </c>
      <c r="AE49" s="101" t="s">
        <v>31</v>
      </c>
      <c r="AG49" s="112" t="s">
        <v>31</v>
      </c>
      <c r="AH49" s="56">
        <v>12.8249195</v>
      </c>
      <c r="AI49" s="56">
        <v>24.7637301</v>
      </c>
      <c r="AJ49" s="56">
        <v>16.347926600000001</v>
      </c>
      <c r="AK49" s="56">
        <v>14.2696459</v>
      </c>
      <c r="AL49" s="56">
        <v>20.694213699999999</v>
      </c>
      <c r="AM49" s="56">
        <v>14.066533099999999</v>
      </c>
      <c r="AN49" s="56">
        <v>19.237379300000001</v>
      </c>
      <c r="AO49" s="56">
        <v>32.461804399999998</v>
      </c>
      <c r="AP49" s="56">
        <v>14.2696459</v>
      </c>
      <c r="AQ49" s="56">
        <v>37.6017145</v>
      </c>
      <c r="AR49" s="56">
        <v>17.042074100000001</v>
      </c>
      <c r="AT49" s="101" t="s">
        <v>31</v>
      </c>
      <c r="AU49" s="138">
        <v>5.2930256051349884</v>
      </c>
      <c r="AV49" s="138">
        <v>1</v>
      </c>
      <c r="AW49" s="138">
        <v>-0.34614746000000002</v>
      </c>
    </row>
    <row r="50" spans="2:49">
      <c r="B50" s="101" t="s">
        <v>998</v>
      </c>
      <c r="C50" s="56">
        <v>27.148</v>
      </c>
      <c r="D50" s="56">
        <v>48.264000000000003</v>
      </c>
      <c r="E50" s="56">
        <v>25.93</v>
      </c>
      <c r="F50" s="56">
        <v>29.236999999999998</v>
      </c>
      <c r="G50" s="56">
        <v>19.248999999999999</v>
      </c>
      <c r="H50" s="56">
        <v>15.957000000000001</v>
      </c>
      <c r="I50" s="56">
        <v>24.126999999999999</v>
      </c>
      <c r="J50" s="56">
        <v>28.21</v>
      </c>
      <c r="K50" s="56">
        <v>34.527000000000001</v>
      </c>
      <c r="L50" s="56">
        <v>17.001999999999999</v>
      </c>
      <c r="M50" s="56">
        <v>13.48</v>
      </c>
      <c r="N50" t="s">
        <v>998</v>
      </c>
      <c r="O50">
        <v>5.4109999999999996</v>
      </c>
      <c r="P50">
        <v>308.39999999999998</v>
      </c>
      <c r="Q50">
        <v>57</v>
      </c>
      <c r="S50" s="101"/>
      <c r="T50" s="56"/>
      <c r="U50" s="56"/>
      <c r="V50" s="56"/>
      <c r="W50" s="56"/>
      <c r="X50" s="56"/>
      <c r="Y50" s="56"/>
      <c r="Z50" s="56"/>
      <c r="AA50" s="56"/>
      <c r="AB50" s="56"/>
      <c r="AC50" s="56"/>
      <c r="AD50" s="56"/>
      <c r="AE50" s="101"/>
      <c r="AG50" s="112"/>
      <c r="AH50" s="56"/>
      <c r="AI50" s="56"/>
      <c r="AJ50" s="56"/>
      <c r="AK50" s="56"/>
      <c r="AL50" s="56"/>
      <c r="AM50" s="56"/>
      <c r="AN50" s="56"/>
      <c r="AO50" s="56"/>
      <c r="AP50" s="56"/>
      <c r="AQ50" s="56"/>
      <c r="AR50" s="56"/>
      <c r="AT50" s="101"/>
      <c r="AU50" s="138"/>
      <c r="AV50" s="138"/>
      <c r="AW50" s="138"/>
    </row>
    <row r="51" spans="2:49">
      <c r="B51" s="101" t="s">
        <v>34</v>
      </c>
      <c r="C51" s="56">
        <v>15.535</v>
      </c>
      <c r="D51" s="56">
        <v>18.385999999999999</v>
      </c>
      <c r="E51" s="56">
        <v>56.168999999999997</v>
      </c>
      <c r="F51" s="56">
        <v>56.534999999999997</v>
      </c>
      <c r="G51" s="56">
        <v>29.146000000000001</v>
      </c>
      <c r="H51" s="56">
        <v>10.91</v>
      </c>
      <c r="I51" s="56">
        <v>15.672000000000001</v>
      </c>
      <c r="J51" s="56">
        <v>30.236999999999998</v>
      </c>
      <c r="K51" s="56">
        <v>49.777999999999999</v>
      </c>
      <c r="L51" s="56">
        <v>39.445</v>
      </c>
      <c r="M51" s="56">
        <v>13.509</v>
      </c>
      <c r="N51" t="s">
        <v>34</v>
      </c>
      <c r="O51">
        <v>3.3690000000000002</v>
      </c>
      <c r="P51">
        <v>262.8</v>
      </c>
      <c r="Q51">
        <v>78</v>
      </c>
      <c r="S51" s="101" t="s">
        <v>34</v>
      </c>
      <c r="T51" s="56">
        <v>15.535</v>
      </c>
      <c r="U51" s="56">
        <v>18.385999999999999</v>
      </c>
      <c r="V51" s="56">
        <v>56.168999999999997</v>
      </c>
      <c r="W51" s="56">
        <v>56.534999999999997</v>
      </c>
      <c r="X51" s="56">
        <v>29.146000000000001</v>
      </c>
      <c r="Y51" s="56">
        <v>10.91</v>
      </c>
      <c r="Z51" s="56">
        <v>15.672000000000001</v>
      </c>
      <c r="AA51" s="56">
        <v>30.236999999999998</v>
      </c>
      <c r="AB51" s="56">
        <v>49.777999999999999</v>
      </c>
      <c r="AC51" s="56">
        <v>39.445</v>
      </c>
      <c r="AD51" s="56">
        <v>13.509</v>
      </c>
      <c r="AE51" s="101" t="s">
        <v>34</v>
      </c>
      <c r="AG51" s="112" t="s">
        <v>34</v>
      </c>
      <c r="AH51" s="56">
        <v>15.07</v>
      </c>
      <c r="AI51" s="56">
        <v>17.690000000000001</v>
      </c>
      <c r="AJ51" s="56">
        <v>57.34</v>
      </c>
      <c r="AK51" s="56">
        <v>57.34</v>
      </c>
      <c r="AL51" s="56">
        <v>29.31</v>
      </c>
      <c r="AM51" s="56">
        <v>10.02</v>
      </c>
      <c r="AN51" s="56">
        <v>14.99</v>
      </c>
      <c r="AO51" s="56">
        <v>30.59</v>
      </c>
      <c r="AP51" s="56">
        <v>50.1</v>
      </c>
      <c r="AQ51" s="56">
        <v>39.53</v>
      </c>
      <c r="AR51" s="56">
        <v>13.39</v>
      </c>
      <c r="AT51" s="101" t="s">
        <v>34</v>
      </c>
      <c r="AU51" s="138">
        <v>7.6861112619324254</v>
      </c>
      <c r="AV51" s="138">
        <v>0.9000112234302462</v>
      </c>
      <c r="AW51" s="138">
        <v>1.61354759</v>
      </c>
    </row>
    <row r="52" spans="2:49">
      <c r="B52" s="101" t="s">
        <v>30</v>
      </c>
      <c r="C52" s="56">
        <v>27.567</v>
      </c>
      <c r="D52" s="56">
        <v>48.183999999999997</v>
      </c>
      <c r="E52" s="56">
        <v>28.370999999999999</v>
      </c>
      <c r="F52" s="56">
        <v>18.38</v>
      </c>
      <c r="G52" s="56">
        <v>26.637</v>
      </c>
      <c r="H52" s="56">
        <v>19.905000000000001</v>
      </c>
      <c r="I52" s="56">
        <v>14.689</v>
      </c>
      <c r="J52" s="56">
        <v>38.854999999999997</v>
      </c>
      <c r="K52" s="56">
        <v>51.207000000000001</v>
      </c>
      <c r="L52" s="56">
        <v>45.235999999999997</v>
      </c>
      <c r="M52" s="56">
        <v>14.348000000000001</v>
      </c>
      <c r="N52" t="s">
        <v>30</v>
      </c>
      <c r="O52">
        <v>4.42</v>
      </c>
      <c r="P52">
        <v>305</v>
      </c>
      <c r="Q52">
        <v>69</v>
      </c>
      <c r="S52" s="101" t="s">
        <v>30</v>
      </c>
      <c r="T52" s="56">
        <v>27.567</v>
      </c>
      <c r="U52" s="56">
        <v>48.183999999999997</v>
      </c>
      <c r="V52" s="56">
        <v>28.370999999999999</v>
      </c>
      <c r="W52" s="56">
        <v>18.38</v>
      </c>
      <c r="X52" s="56">
        <v>26.637</v>
      </c>
      <c r="Y52" s="56">
        <v>19.905000000000001</v>
      </c>
      <c r="Z52" s="56">
        <v>14.689</v>
      </c>
      <c r="AA52" s="56">
        <v>38.854999999999997</v>
      </c>
      <c r="AB52" s="56">
        <v>51.207000000000001</v>
      </c>
      <c r="AC52" s="56">
        <v>45.235999999999997</v>
      </c>
      <c r="AD52" s="56">
        <v>14.348000000000001</v>
      </c>
      <c r="AE52" s="101" t="s">
        <v>30</v>
      </c>
      <c r="AG52" s="112" t="s">
        <v>30</v>
      </c>
      <c r="AH52" s="56">
        <v>26.2196606864307</v>
      </c>
      <c r="AI52" s="56">
        <v>47.4374428478922</v>
      </c>
      <c r="AJ52" s="56">
        <v>27.0245551537224</v>
      </c>
      <c r="AK52" s="56">
        <v>16.318308767667101</v>
      </c>
      <c r="AL52" s="56">
        <v>25.374085924902399</v>
      </c>
      <c r="AM52" s="56">
        <v>18.455060834204101</v>
      </c>
      <c r="AN52" s="56">
        <v>12.5955387424875</v>
      </c>
      <c r="AO52" s="56">
        <v>37.341169850774399</v>
      </c>
      <c r="AP52" s="56">
        <v>50.602774806834603</v>
      </c>
      <c r="AQ52" s="56">
        <v>44.676002560166999</v>
      </c>
      <c r="AR52" s="56">
        <v>12.469166549930801</v>
      </c>
      <c r="AT52" s="101" t="s">
        <v>30</v>
      </c>
      <c r="AU52" s="138">
        <v>5.0338306368237333</v>
      </c>
      <c r="AV52" s="138">
        <v>0.90170957652045147</v>
      </c>
      <c r="AW52" s="138">
        <v>-0.55357789999999996</v>
      </c>
    </row>
    <row r="53" spans="2:49">
      <c r="B53" s="101" t="s">
        <v>339</v>
      </c>
      <c r="C53" s="56">
        <v>28.948</v>
      </c>
      <c r="D53" s="56">
        <v>55.713999999999999</v>
      </c>
      <c r="E53" s="56">
        <v>19.443000000000001</v>
      </c>
      <c r="F53" s="56">
        <v>14.827</v>
      </c>
      <c r="G53" s="56">
        <v>26.672000000000001</v>
      </c>
      <c r="H53" s="56">
        <v>23.466999999999999</v>
      </c>
      <c r="I53" s="56">
        <v>18.018999999999998</v>
      </c>
      <c r="J53" s="56">
        <v>42.241</v>
      </c>
      <c r="K53" s="56">
        <v>51.805</v>
      </c>
      <c r="L53" s="56">
        <v>28.46</v>
      </c>
      <c r="M53" s="56">
        <v>19.818000000000001</v>
      </c>
      <c r="N53" t="s">
        <v>339</v>
      </c>
      <c r="O53">
        <v>5.7869999999999999</v>
      </c>
      <c r="P53">
        <v>306.7</v>
      </c>
      <c r="Q53">
        <v>53</v>
      </c>
      <c r="S53" s="101" t="s">
        <v>339</v>
      </c>
      <c r="T53" s="56">
        <v>28.948</v>
      </c>
      <c r="U53" s="56">
        <v>55.713999999999999</v>
      </c>
      <c r="V53" s="56">
        <v>19.443000000000001</v>
      </c>
      <c r="W53" s="56">
        <v>14.827</v>
      </c>
      <c r="X53" s="56">
        <v>26.672000000000001</v>
      </c>
      <c r="Y53" s="56">
        <v>23.466999999999999</v>
      </c>
      <c r="Z53" s="56">
        <v>18.018999999999998</v>
      </c>
      <c r="AA53" s="56">
        <v>42.241</v>
      </c>
      <c r="AB53" s="56">
        <v>51.805</v>
      </c>
      <c r="AC53" s="56">
        <v>28.46</v>
      </c>
      <c r="AD53" s="56">
        <v>19.818000000000001</v>
      </c>
      <c r="AE53" s="101" t="s">
        <v>339</v>
      </c>
      <c r="AG53" s="112" t="s">
        <v>339</v>
      </c>
      <c r="AH53" s="56">
        <v>30.58</v>
      </c>
      <c r="AI53" s="56">
        <v>60.92</v>
      </c>
      <c r="AJ53" s="56">
        <v>19.940000000000001</v>
      </c>
      <c r="AK53" s="56">
        <v>14.9962</v>
      </c>
      <c r="AL53" s="56">
        <v>27.92</v>
      </c>
      <c r="AM53" s="56">
        <v>23.93</v>
      </c>
      <c r="AN53" s="56">
        <v>18.61</v>
      </c>
      <c r="AO53" s="56">
        <v>45.2</v>
      </c>
      <c r="AP53" s="56">
        <v>55.25</v>
      </c>
      <c r="AQ53" s="56">
        <v>30.58</v>
      </c>
      <c r="AR53" s="56">
        <v>19.940000000000001</v>
      </c>
      <c r="AT53" s="101" t="s">
        <v>339</v>
      </c>
      <c r="AU53" s="138">
        <v>4.9212220861379281</v>
      </c>
      <c r="AV53" s="138">
        <v>0.8919585573073413</v>
      </c>
      <c r="AW53" s="138">
        <v>-0.47170487999999999</v>
      </c>
    </row>
    <row r="54" spans="2:49">
      <c r="B54" s="101" t="s">
        <v>26</v>
      </c>
      <c r="C54" s="56">
        <v>22.47</v>
      </c>
      <c r="D54" s="56">
        <v>21.701000000000001</v>
      </c>
      <c r="E54" s="56">
        <v>26.497</v>
      </c>
      <c r="F54" s="56">
        <v>19.143999999999998</v>
      </c>
      <c r="G54" s="56">
        <v>27.382000000000001</v>
      </c>
      <c r="H54" s="56">
        <v>30.361000000000001</v>
      </c>
      <c r="I54" s="56">
        <v>32.436999999999998</v>
      </c>
      <c r="J54" s="56">
        <v>36.707000000000001</v>
      </c>
      <c r="K54" s="56">
        <v>33.222000000000001</v>
      </c>
      <c r="L54" s="56">
        <v>28.027999999999999</v>
      </c>
      <c r="M54" s="56">
        <v>17.895</v>
      </c>
      <c r="N54" t="s">
        <v>26</v>
      </c>
      <c r="O54">
        <v>5.2469999999999999</v>
      </c>
      <c r="P54">
        <v>304.3</v>
      </c>
      <c r="Q54">
        <v>58</v>
      </c>
      <c r="S54" s="101" t="s">
        <v>26</v>
      </c>
      <c r="T54" s="56">
        <v>22.47</v>
      </c>
      <c r="U54" s="56">
        <v>21.701000000000001</v>
      </c>
      <c r="V54" s="56">
        <v>26.497</v>
      </c>
      <c r="W54" s="56">
        <v>19.143999999999998</v>
      </c>
      <c r="X54" s="56">
        <v>27.382000000000001</v>
      </c>
      <c r="Y54" s="56">
        <v>30.361000000000001</v>
      </c>
      <c r="Z54" s="56">
        <v>32.436999999999998</v>
      </c>
      <c r="AA54" s="56">
        <v>36.707000000000001</v>
      </c>
      <c r="AB54" s="56">
        <v>33.222000000000001</v>
      </c>
      <c r="AC54" s="56">
        <v>28.027999999999999</v>
      </c>
      <c r="AD54" s="56">
        <v>17.895</v>
      </c>
      <c r="AE54" s="101" t="s">
        <v>26</v>
      </c>
      <c r="AG54" s="112" t="s">
        <v>26</v>
      </c>
      <c r="AH54" s="56">
        <v>23.920999999999999</v>
      </c>
      <c r="AI54" s="56">
        <v>23.384</v>
      </c>
      <c r="AJ54" s="56">
        <v>28.45</v>
      </c>
      <c r="AK54" s="56">
        <v>20.908000000000001</v>
      </c>
      <c r="AL54" s="56">
        <v>29.411000000000001</v>
      </c>
      <c r="AM54" s="56">
        <v>33.497100000000003</v>
      </c>
      <c r="AN54" s="56">
        <v>34.925699999999999</v>
      </c>
      <c r="AO54" s="56">
        <v>39.834000000000003</v>
      </c>
      <c r="AP54" s="56">
        <v>36.043999999999997</v>
      </c>
      <c r="AQ54" s="56">
        <v>29.78</v>
      </c>
      <c r="AR54" s="56">
        <v>18.382000000000001</v>
      </c>
      <c r="AT54" s="101" t="s">
        <v>26</v>
      </c>
      <c r="AU54" s="138">
        <v>6.4328432771408872</v>
      </c>
      <c r="AV54" s="138">
        <v>0.93163484005023167</v>
      </c>
      <c r="AW54" s="138">
        <v>0.71623363000000007</v>
      </c>
    </row>
    <row r="55" spans="2:49">
      <c r="B55" s="101" t="s">
        <v>344</v>
      </c>
      <c r="C55" s="56">
        <v>26.943000000000001</v>
      </c>
      <c r="D55" s="56">
        <v>45.639000000000003</v>
      </c>
      <c r="E55" s="56">
        <v>37.832999999999998</v>
      </c>
      <c r="F55" s="56">
        <v>32.683</v>
      </c>
      <c r="G55" s="56">
        <v>24.350999999999999</v>
      </c>
      <c r="H55" s="56">
        <v>16.206</v>
      </c>
      <c r="I55" s="56">
        <v>20.757999999999999</v>
      </c>
      <c r="J55" s="56">
        <v>33.692999999999998</v>
      </c>
      <c r="K55" s="56">
        <v>45.595999999999997</v>
      </c>
      <c r="L55" s="56">
        <v>41.58</v>
      </c>
      <c r="M55" s="56">
        <v>13.045999999999999</v>
      </c>
      <c r="N55" t="s">
        <v>344</v>
      </c>
      <c r="O55">
        <v>5.1369999999999996</v>
      </c>
      <c r="P55">
        <v>308.2</v>
      </c>
      <c r="Q55">
        <v>60</v>
      </c>
      <c r="S55" s="101" t="s">
        <v>344</v>
      </c>
      <c r="T55" s="56">
        <v>26.943000000000001</v>
      </c>
      <c r="U55" s="56">
        <v>45.639000000000003</v>
      </c>
      <c r="V55" s="56">
        <v>37.832999999999998</v>
      </c>
      <c r="W55" s="56">
        <v>32.683</v>
      </c>
      <c r="X55" s="56">
        <v>24.350999999999999</v>
      </c>
      <c r="Y55" s="56">
        <v>16.206</v>
      </c>
      <c r="Z55" s="56">
        <v>20.757999999999999</v>
      </c>
      <c r="AA55" s="56">
        <v>33.692999999999998</v>
      </c>
      <c r="AB55" s="56">
        <v>45.595999999999997</v>
      </c>
      <c r="AC55" s="56">
        <v>41.58</v>
      </c>
      <c r="AD55" s="56">
        <v>13.045999999999999</v>
      </c>
      <c r="AE55" s="101" t="s">
        <v>344</v>
      </c>
      <c r="AG55" s="112" t="s">
        <v>344</v>
      </c>
      <c r="AH55" s="56">
        <v>26.87</v>
      </c>
      <c r="AI55" s="56">
        <v>47.03</v>
      </c>
      <c r="AJ55" s="56">
        <v>38.630000000000003</v>
      </c>
      <c r="AK55" s="56">
        <v>33.590000000000003</v>
      </c>
      <c r="AL55" s="56">
        <v>25.19</v>
      </c>
      <c r="AM55" s="56">
        <v>15.12</v>
      </c>
      <c r="AN55" s="56">
        <v>20.149999999999999</v>
      </c>
      <c r="AO55" s="56">
        <v>35.270000000000003</v>
      </c>
      <c r="AP55" s="56">
        <v>48.71</v>
      </c>
      <c r="AQ55" s="56">
        <v>43.67</v>
      </c>
      <c r="AR55" s="56">
        <v>11.76</v>
      </c>
      <c r="AT55" s="101" t="s">
        <v>344</v>
      </c>
      <c r="AU55" s="138">
        <v>4.0833479053208146</v>
      </c>
      <c r="AV55" s="138">
        <v>0.90039469955322238</v>
      </c>
      <c r="AW55" s="138">
        <v>-0.65424658999999996</v>
      </c>
    </row>
    <row r="56" spans="2:49">
      <c r="B56" s="101" t="s">
        <v>347</v>
      </c>
      <c r="C56" s="56">
        <v>31.199000000000002</v>
      </c>
      <c r="D56" s="56">
        <v>46.887999999999998</v>
      </c>
      <c r="E56" s="56">
        <v>26.366</v>
      </c>
      <c r="F56" s="56">
        <v>34.613</v>
      </c>
      <c r="G56" s="56">
        <v>29.26</v>
      </c>
      <c r="H56" s="56">
        <v>16.349</v>
      </c>
      <c r="I56" s="56">
        <v>16.626999999999999</v>
      </c>
      <c r="J56" s="56">
        <v>31.119</v>
      </c>
      <c r="K56" s="56">
        <v>50.161000000000001</v>
      </c>
      <c r="L56" s="56">
        <v>46.497</v>
      </c>
      <c r="M56" s="56">
        <v>11.736000000000001</v>
      </c>
      <c r="N56" t="s">
        <v>347</v>
      </c>
      <c r="O56">
        <v>5.1449999999999996</v>
      </c>
      <c r="P56">
        <v>308.7</v>
      </c>
      <c r="Q56">
        <v>60</v>
      </c>
      <c r="S56" s="101" t="s">
        <v>347</v>
      </c>
      <c r="T56" s="56">
        <v>31.199000000000002</v>
      </c>
      <c r="U56" s="56">
        <v>46.887999999999998</v>
      </c>
      <c r="V56" s="56">
        <v>26.366</v>
      </c>
      <c r="W56" s="56">
        <v>34.613</v>
      </c>
      <c r="X56" s="56">
        <v>29.26</v>
      </c>
      <c r="Y56" s="56">
        <v>16.349</v>
      </c>
      <c r="Z56" s="56">
        <v>16.626999999999999</v>
      </c>
      <c r="AA56" s="56">
        <v>31.119</v>
      </c>
      <c r="AB56" s="56">
        <v>50.161000000000001</v>
      </c>
      <c r="AC56" s="56">
        <v>46.497</v>
      </c>
      <c r="AD56" s="56">
        <v>11.736000000000001</v>
      </c>
      <c r="AE56" s="101" t="s">
        <v>347</v>
      </c>
      <c r="AG56" s="112" t="s">
        <v>347</v>
      </c>
      <c r="AH56" s="56">
        <v>31.053999999999998</v>
      </c>
      <c r="AI56" s="56">
        <v>47.65</v>
      </c>
      <c r="AJ56" s="56">
        <v>26.489000000000001</v>
      </c>
      <c r="AK56" s="56">
        <v>34.880000000000003</v>
      </c>
      <c r="AL56" s="56">
        <v>28.99</v>
      </c>
      <c r="AM56" s="56">
        <v>16.32</v>
      </c>
      <c r="AN56" s="56">
        <v>17.611999999999998</v>
      </c>
      <c r="AO56" s="56">
        <v>31.931999999999999</v>
      </c>
      <c r="AP56" s="56">
        <v>48.612000000000002</v>
      </c>
      <c r="AQ56" s="56">
        <v>47.61</v>
      </c>
      <c r="AR56" s="56">
        <v>11.74</v>
      </c>
      <c r="AT56" s="101" t="s">
        <v>347</v>
      </c>
      <c r="AU56" s="138">
        <v>4.8036130527682168</v>
      </c>
      <c r="AV56" s="138">
        <v>0.90638838872647154</v>
      </c>
      <c r="AW56" s="138">
        <v>0.60850470000000001</v>
      </c>
    </row>
    <row r="57" spans="2:49">
      <c r="B57" s="101" t="s">
        <v>350</v>
      </c>
      <c r="C57" s="56">
        <v>22.07</v>
      </c>
      <c r="D57" s="56">
        <v>49.045000000000002</v>
      </c>
      <c r="E57" s="56">
        <v>28.263999999999999</v>
      </c>
      <c r="F57" s="56">
        <v>32.384</v>
      </c>
      <c r="G57" s="56">
        <v>23.710999999999999</v>
      </c>
      <c r="H57" s="56">
        <v>20.454999999999998</v>
      </c>
      <c r="I57" s="56">
        <v>23.161000000000001</v>
      </c>
      <c r="J57" s="56">
        <v>27.148</v>
      </c>
      <c r="K57" s="56">
        <v>39.234999999999999</v>
      </c>
      <c r="L57" s="56">
        <v>22.562000000000001</v>
      </c>
      <c r="M57" s="56">
        <v>13.545</v>
      </c>
      <c r="N57" t="s">
        <v>350</v>
      </c>
      <c r="O57">
        <v>5.94</v>
      </c>
      <c r="P57">
        <v>308.89999999999998</v>
      </c>
      <c r="Q57">
        <v>52</v>
      </c>
      <c r="S57" s="101" t="s">
        <v>350</v>
      </c>
      <c r="T57" s="56">
        <v>22.07</v>
      </c>
      <c r="U57" s="56">
        <v>49.045000000000002</v>
      </c>
      <c r="V57" s="56">
        <v>28.263999999999999</v>
      </c>
      <c r="W57" s="56">
        <v>32.384</v>
      </c>
      <c r="X57" s="56">
        <v>23.710999999999999</v>
      </c>
      <c r="Y57" s="56">
        <v>20.454999999999998</v>
      </c>
      <c r="Z57" s="56">
        <v>23.161000000000001</v>
      </c>
      <c r="AA57" s="56">
        <v>27.148</v>
      </c>
      <c r="AB57" s="56">
        <v>39.234999999999999</v>
      </c>
      <c r="AC57" s="56">
        <v>22.562000000000001</v>
      </c>
      <c r="AD57" s="56">
        <v>13.545</v>
      </c>
      <c r="AE57" s="101" t="s">
        <v>350</v>
      </c>
      <c r="AG57" s="112" t="s">
        <v>350</v>
      </c>
      <c r="AH57" s="56">
        <v>22.0402452511</v>
      </c>
      <c r="AI57" s="56">
        <v>45.654793734421403</v>
      </c>
      <c r="AJ57" s="56">
        <v>26.7631549477642</v>
      </c>
      <c r="AK57" s="56">
        <v>31.486064644428499</v>
      </c>
      <c r="AL57" s="56">
        <v>23.6145484833214</v>
      </c>
      <c r="AM57" s="56">
        <v>20.465942018878501</v>
      </c>
      <c r="AN57" s="56">
        <v>23.6145484833214</v>
      </c>
      <c r="AO57" s="56">
        <v>26.7631549477642</v>
      </c>
      <c r="AP57" s="56">
        <v>37.783277573314201</v>
      </c>
      <c r="AQ57" s="56">
        <v>22.0402452511</v>
      </c>
      <c r="AR57" s="56">
        <v>14.1687290899928</v>
      </c>
      <c r="AT57" s="101" t="s">
        <v>350</v>
      </c>
      <c r="AU57" s="138">
        <v>5.2012499652977802</v>
      </c>
      <c r="AV57" s="138">
        <v>1</v>
      </c>
      <c r="AW57" s="138">
        <v>-0.59471065000000001</v>
      </c>
    </row>
    <row r="58" spans="2:49">
      <c r="B58" s="101" t="s">
        <v>353</v>
      </c>
      <c r="C58" s="56">
        <v>29.268000000000001</v>
      </c>
      <c r="D58" s="56">
        <v>59.915999999999997</v>
      </c>
      <c r="E58" s="56">
        <v>28.35</v>
      </c>
      <c r="F58" s="56">
        <v>36.552999999999997</v>
      </c>
      <c r="G58" s="56">
        <v>32.316000000000003</v>
      </c>
      <c r="H58" s="56">
        <v>16.347000000000001</v>
      </c>
      <c r="I58" s="56">
        <v>19.744</v>
      </c>
      <c r="J58" s="56">
        <v>30.907</v>
      </c>
      <c r="K58" s="56">
        <v>50.353000000000002</v>
      </c>
      <c r="L58" s="56">
        <v>25.541</v>
      </c>
      <c r="M58" s="56">
        <v>12.8</v>
      </c>
      <c r="N58" t="s">
        <v>353</v>
      </c>
      <c r="O58">
        <v>3.8610000000000002</v>
      </c>
      <c r="P58">
        <v>305</v>
      </c>
      <c r="Q58">
        <v>79</v>
      </c>
      <c r="S58" s="101" t="s">
        <v>353</v>
      </c>
      <c r="T58" s="56">
        <v>29.268000000000001</v>
      </c>
      <c r="U58" s="56">
        <v>59.915999999999997</v>
      </c>
      <c r="V58" s="56">
        <v>28.35</v>
      </c>
      <c r="W58" s="56">
        <v>36.552999999999997</v>
      </c>
      <c r="X58" s="56">
        <v>32.316000000000003</v>
      </c>
      <c r="Y58" s="56">
        <v>16.347000000000001</v>
      </c>
      <c r="Z58" s="56">
        <v>19.744</v>
      </c>
      <c r="AA58" s="56">
        <v>30.907</v>
      </c>
      <c r="AB58" s="56">
        <v>50.353000000000002</v>
      </c>
      <c r="AC58" s="56">
        <v>25.541</v>
      </c>
      <c r="AD58" s="56">
        <v>12.8</v>
      </c>
      <c r="AE58" s="101" t="s">
        <v>353</v>
      </c>
      <c r="AG58" s="112" t="s">
        <v>353</v>
      </c>
      <c r="AH58" s="56">
        <v>26.93</v>
      </c>
      <c r="AI58" s="56">
        <v>56.3</v>
      </c>
      <c r="AJ58" s="56">
        <v>29.24</v>
      </c>
      <c r="AK58" s="56">
        <v>35.770000000000003</v>
      </c>
      <c r="AL58" s="56">
        <v>32.686999999999998</v>
      </c>
      <c r="AM58" s="56">
        <v>17.03</v>
      </c>
      <c r="AN58" s="56">
        <v>20.123999999999999</v>
      </c>
      <c r="AO58" s="56">
        <v>32.6839307915075</v>
      </c>
      <c r="AP58" s="56">
        <v>50.718145408451903</v>
      </c>
      <c r="AQ58" s="56">
        <v>24.879000000000001</v>
      </c>
      <c r="AR58" s="56">
        <v>11.212</v>
      </c>
      <c r="AT58" s="101" t="s">
        <v>353</v>
      </c>
      <c r="AU58" s="138">
        <v>7.5694015073183643</v>
      </c>
      <c r="AV58" s="138">
        <v>0.89967704063175336</v>
      </c>
      <c r="AW58" s="138">
        <v>-0.73262561999999998</v>
      </c>
    </row>
    <row r="59" spans="2:49">
      <c r="B59" s="101" t="s">
        <v>28</v>
      </c>
      <c r="C59" s="56">
        <v>24.204999999999998</v>
      </c>
      <c r="D59" s="56">
        <v>21.994</v>
      </c>
      <c r="E59" s="56">
        <v>24.173999999999999</v>
      </c>
      <c r="F59" s="56">
        <v>26.233000000000001</v>
      </c>
      <c r="G59" s="56">
        <v>45.302999999999997</v>
      </c>
      <c r="H59" s="56">
        <v>22.012</v>
      </c>
      <c r="I59" s="56">
        <v>21.427</v>
      </c>
      <c r="J59" s="56">
        <v>23.003</v>
      </c>
      <c r="K59" s="56">
        <v>33.1</v>
      </c>
      <c r="L59" s="56">
        <v>48.734000000000002</v>
      </c>
      <c r="M59" s="56">
        <v>18.417000000000002</v>
      </c>
      <c r="N59" t="s">
        <v>28</v>
      </c>
      <c r="O59">
        <v>4.6920000000000002</v>
      </c>
      <c r="P59">
        <v>309.7</v>
      </c>
      <c r="Q59">
        <v>66</v>
      </c>
      <c r="S59" s="101" t="s">
        <v>28</v>
      </c>
      <c r="T59" s="56">
        <v>24.204999999999998</v>
      </c>
      <c r="U59" s="56">
        <v>21.994</v>
      </c>
      <c r="V59" s="56">
        <v>24.173999999999999</v>
      </c>
      <c r="W59" s="56">
        <v>26.233000000000001</v>
      </c>
      <c r="X59" s="56">
        <v>45.302999999999997</v>
      </c>
      <c r="Y59" s="56">
        <v>22.012</v>
      </c>
      <c r="Z59" s="56">
        <v>21.427</v>
      </c>
      <c r="AA59" s="56">
        <v>23.003</v>
      </c>
      <c r="AB59" s="56">
        <v>33.1</v>
      </c>
      <c r="AC59" s="56">
        <v>48.734000000000002</v>
      </c>
      <c r="AD59" s="56">
        <v>18.417000000000002</v>
      </c>
      <c r="AE59" s="101" t="s">
        <v>28</v>
      </c>
      <c r="AG59" s="112" t="s">
        <v>28</v>
      </c>
      <c r="AH59" s="56">
        <v>24.526043300000001</v>
      </c>
      <c r="AI59" s="56">
        <v>22.629974900000001</v>
      </c>
      <c r="AJ59" s="56">
        <v>24.526043300000001</v>
      </c>
      <c r="AK59" s="56">
        <v>26.161112899999999</v>
      </c>
      <c r="AL59" s="56">
        <v>45.786259600000001</v>
      </c>
      <c r="AM59" s="56">
        <v>22.075595</v>
      </c>
      <c r="AN59" s="56">
        <v>21.2559042</v>
      </c>
      <c r="AO59" s="56">
        <v>22.629974900000001</v>
      </c>
      <c r="AP59" s="56">
        <v>34.336460600000002</v>
      </c>
      <c r="AQ59" s="56">
        <v>51.711326300000003</v>
      </c>
      <c r="AR59" s="56">
        <v>17.985765099999998</v>
      </c>
      <c r="AT59" s="101" t="s">
        <v>28</v>
      </c>
      <c r="AU59" s="138">
        <v>1.8653489017689671</v>
      </c>
      <c r="AV59" s="138">
        <v>0.92146863595801554</v>
      </c>
      <c r="AW59" s="138">
        <v>0.13291797</v>
      </c>
    </row>
    <row r="60" spans="2:49">
      <c r="B60" s="101" t="s">
        <v>358</v>
      </c>
      <c r="C60" s="56">
        <v>29.635000000000002</v>
      </c>
      <c r="D60" s="56">
        <v>41.164999999999999</v>
      </c>
      <c r="E60" s="56">
        <v>34.024000000000001</v>
      </c>
      <c r="F60" s="56">
        <v>40.393999999999998</v>
      </c>
      <c r="G60" s="56">
        <v>36.137999999999998</v>
      </c>
      <c r="H60" s="56">
        <v>29.957000000000001</v>
      </c>
      <c r="I60" s="56">
        <v>25.524000000000001</v>
      </c>
      <c r="J60" s="56">
        <v>31.239000000000001</v>
      </c>
      <c r="K60" s="56">
        <v>33.659999999999997</v>
      </c>
      <c r="L60" s="56">
        <v>26.074999999999999</v>
      </c>
      <c r="M60" s="56">
        <v>21.884</v>
      </c>
      <c r="N60" t="s">
        <v>358</v>
      </c>
      <c r="O60">
        <v>4.0830000000000002</v>
      </c>
      <c r="P60">
        <v>306.2</v>
      </c>
      <c r="Q60">
        <v>75</v>
      </c>
      <c r="S60" s="101" t="s">
        <v>358</v>
      </c>
      <c r="T60" s="56">
        <v>29.635000000000002</v>
      </c>
      <c r="U60" s="56">
        <v>41.164999999999999</v>
      </c>
      <c r="V60" s="56">
        <v>34.024000000000001</v>
      </c>
      <c r="W60" s="56">
        <v>40.393999999999998</v>
      </c>
      <c r="X60" s="56">
        <v>36.137999999999998</v>
      </c>
      <c r="Y60" s="56">
        <v>29.957000000000001</v>
      </c>
      <c r="Z60" s="56">
        <v>25.524000000000001</v>
      </c>
      <c r="AA60" s="56">
        <v>31.239000000000001</v>
      </c>
      <c r="AB60" s="56">
        <v>33.659999999999997</v>
      </c>
      <c r="AC60" s="56">
        <v>26.074999999999999</v>
      </c>
      <c r="AD60" s="56">
        <v>21.884</v>
      </c>
      <c r="AE60" s="101" t="s">
        <v>358</v>
      </c>
      <c r="AG60" s="112" t="s">
        <v>358</v>
      </c>
      <c r="AH60" s="56">
        <v>29.666348049622499</v>
      </c>
      <c r="AI60" s="56">
        <v>43.1543880835818</v>
      </c>
      <c r="AJ60" s="56">
        <v>35.067518743336301</v>
      </c>
      <c r="AK60" s="56">
        <v>41.818982110478501</v>
      </c>
      <c r="AL60" s="56">
        <v>35.622844268400101</v>
      </c>
      <c r="AM60" s="56">
        <v>28.5765496867335</v>
      </c>
      <c r="AN60" s="56">
        <v>24.784021622342699</v>
      </c>
      <c r="AO60" s="56">
        <v>31.240064983616598</v>
      </c>
      <c r="AP60" s="56">
        <v>33.030585600892699</v>
      </c>
      <c r="AQ60" s="56">
        <v>25.850758780028102</v>
      </c>
      <c r="AR60" s="56">
        <v>21.1004236998971</v>
      </c>
      <c r="AT60" s="101" t="s">
        <v>358</v>
      </c>
      <c r="AU60" s="138">
        <v>6.0218233266550625</v>
      </c>
      <c r="AV60" s="138">
        <v>1</v>
      </c>
      <c r="AW60" s="138">
        <v>0.43670379000000004</v>
      </c>
    </row>
    <row r="61" spans="2:49">
      <c r="B61" s="101" t="s">
        <v>360</v>
      </c>
      <c r="C61" s="56">
        <v>25.207999999999998</v>
      </c>
      <c r="D61" s="56">
        <v>93.747</v>
      </c>
      <c r="E61" s="56">
        <v>14.773</v>
      </c>
      <c r="F61" s="56">
        <v>17.352</v>
      </c>
      <c r="G61" s="56">
        <v>30.498000000000001</v>
      </c>
      <c r="H61" s="56">
        <v>17.97</v>
      </c>
      <c r="I61" s="56">
        <v>23.459</v>
      </c>
      <c r="J61" s="56">
        <v>27.117000000000001</v>
      </c>
      <c r="K61" s="56">
        <v>25.81</v>
      </c>
      <c r="L61" s="56">
        <v>36.405000000000001</v>
      </c>
      <c r="M61" s="56">
        <v>17.327000000000002</v>
      </c>
      <c r="N61" t="s">
        <v>360</v>
      </c>
      <c r="O61">
        <v>4.7359999999999998</v>
      </c>
      <c r="P61">
        <v>317.3</v>
      </c>
      <c r="Q61">
        <v>67</v>
      </c>
      <c r="S61" s="101" t="s">
        <v>360</v>
      </c>
      <c r="T61" s="56">
        <v>25.050999999999998</v>
      </c>
      <c r="U61" s="56">
        <v>92.29</v>
      </c>
      <c r="V61" s="56">
        <v>14.663</v>
      </c>
      <c r="W61" s="56">
        <v>17.145</v>
      </c>
      <c r="X61" s="56">
        <v>30.097000000000001</v>
      </c>
      <c r="Y61" s="56">
        <v>17.852</v>
      </c>
      <c r="Z61" s="56">
        <v>23.091999999999999</v>
      </c>
      <c r="AA61" s="56">
        <v>26.835999999999999</v>
      </c>
      <c r="AB61" s="56">
        <v>25.515999999999998</v>
      </c>
      <c r="AC61" s="56">
        <v>35.829000000000001</v>
      </c>
      <c r="AD61" s="56">
        <v>17.321999999999999</v>
      </c>
      <c r="AE61" s="101" t="s">
        <v>360</v>
      </c>
      <c r="AG61" s="112" t="s">
        <v>360</v>
      </c>
      <c r="AH61" s="56">
        <v>24.418096033511201</v>
      </c>
      <c r="AI61" s="56">
        <v>89.732733861094701</v>
      </c>
      <c r="AJ61" s="56">
        <v>14.2121022006343</v>
      </c>
      <c r="AK61" s="56">
        <v>17.295286122768001</v>
      </c>
      <c r="AL61" s="56">
        <v>30.286274323645699</v>
      </c>
      <c r="AM61" s="56">
        <v>17.064962319821401</v>
      </c>
      <c r="AN61" s="56">
        <v>23.4892232053847</v>
      </c>
      <c r="AO61" s="56">
        <v>26.978582838550501</v>
      </c>
      <c r="AP61" s="56">
        <v>25.807045362356401</v>
      </c>
      <c r="AQ61" s="56">
        <v>36.746536149394899</v>
      </c>
      <c r="AR61" s="56">
        <v>16.937477251155599</v>
      </c>
      <c r="AT61" s="101" t="s">
        <v>360</v>
      </c>
      <c r="AU61" s="138">
        <v>3.4456491476506286</v>
      </c>
      <c r="AV61" s="138">
        <v>1</v>
      </c>
      <c r="AW61" s="138">
        <v>-1.44374767</v>
      </c>
    </row>
    <row r="62" spans="2:49">
      <c r="B62" s="101" t="s">
        <v>24</v>
      </c>
      <c r="C62" s="56">
        <v>27.167999999999999</v>
      </c>
      <c r="D62" s="56">
        <v>59.892000000000003</v>
      </c>
      <c r="E62" s="56">
        <v>33.036999999999999</v>
      </c>
      <c r="F62" s="56">
        <v>25.882000000000001</v>
      </c>
      <c r="G62" s="56">
        <v>26.282</v>
      </c>
      <c r="H62" s="56">
        <v>30.852</v>
      </c>
      <c r="I62" s="56">
        <v>36.212000000000003</v>
      </c>
      <c r="J62" s="56">
        <v>30.797999999999998</v>
      </c>
      <c r="K62" s="56">
        <v>36.118000000000002</v>
      </c>
      <c r="L62" s="56">
        <v>35.283000000000001</v>
      </c>
      <c r="M62" s="56">
        <v>17.693000000000001</v>
      </c>
      <c r="N62" t="s">
        <v>24</v>
      </c>
      <c r="O62">
        <v>5.4119999999999999</v>
      </c>
      <c r="P62">
        <v>308.5</v>
      </c>
      <c r="Q62">
        <v>57</v>
      </c>
      <c r="S62" s="101" t="s">
        <v>24</v>
      </c>
      <c r="T62" s="56">
        <v>27.167999999999999</v>
      </c>
      <c r="U62" s="56">
        <v>59.892000000000003</v>
      </c>
      <c r="V62" s="56">
        <v>33.036999999999999</v>
      </c>
      <c r="W62" s="56">
        <v>25.882000000000001</v>
      </c>
      <c r="X62" s="56">
        <v>26.282</v>
      </c>
      <c r="Y62" s="56">
        <v>30.852</v>
      </c>
      <c r="Z62" s="56">
        <v>36.212000000000003</v>
      </c>
      <c r="AA62" s="56">
        <v>30.797999999999998</v>
      </c>
      <c r="AB62" s="56">
        <v>36.118000000000002</v>
      </c>
      <c r="AC62" s="56">
        <v>35.283000000000001</v>
      </c>
      <c r="AD62" s="56">
        <v>17.693000000000001</v>
      </c>
      <c r="AE62" s="101" t="s">
        <v>24</v>
      </c>
      <c r="AG62" s="112" t="s">
        <v>24</v>
      </c>
      <c r="AH62" s="56">
        <v>27.758765072463401</v>
      </c>
      <c r="AI62" s="56">
        <v>61.563856557563</v>
      </c>
      <c r="AJ62" s="56">
        <v>33.589321442599299</v>
      </c>
      <c r="AK62" s="56">
        <v>26.542952929366301</v>
      </c>
      <c r="AL62" s="56">
        <v>25.796378416615301</v>
      </c>
      <c r="AM62" s="56">
        <v>31.1874729583039</v>
      </c>
      <c r="AN62" s="56">
        <v>36.082010959262099</v>
      </c>
      <c r="AO62" s="56">
        <v>31.052483080390601</v>
      </c>
      <c r="AP62" s="56">
        <v>36.161208379706103</v>
      </c>
      <c r="AQ62" s="56">
        <v>36.3307487497556</v>
      </c>
      <c r="AR62" s="56">
        <v>17.4876260980094</v>
      </c>
      <c r="AT62" s="101" t="s">
        <v>24</v>
      </c>
      <c r="AU62" s="138">
        <v>6.1667200752231262</v>
      </c>
      <c r="AV62" s="138">
        <v>0.87208226743140638</v>
      </c>
      <c r="AW62" s="138">
        <v>-5.3106279999999999E-2</v>
      </c>
    </row>
    <row r="63" spans="2:49">
      <c r="B63" s="101" t="s">
        <v>23</v>
      </c>
      <c r="C63" s="56">
        <v>25.274999999999999</v>
      </c>
      <c r="D63" s="56">
        <v>44.984999999999999</v>
      </c>
      <c r="E63" s="56">
        <v>32.811</v>
      </c>
      <c r="F63" s="56">
        <v>26.302</v>
      </c>
      <c r="G63" s="56">
        <v>32.939</v>
      </c>
      <c r="H63" s="56">
        <v>18.283000000000001</v>
      </c>
      <c r="I63" s="56">
        <v>31.829000000000001</v>
      </c>
      <c r="J63" s="56">
        <v>36.601999999999997</v>
      </c>
      <c r="K63" s="56">
        <v>43.17</v>
      </c>
      <c r="L63" s="56">
        <v>26.006</v>
      </c>
      <c r="M63" s="56">
        <v>18.791</v>
      </c>
      <c r="N63" t="s">
        <v>23</v>
      </c>
      <c r="O63">
        <v>5.6440000000000001</v>
      </c>
      <c r="P63">
        <v>310.39999999999998</v>
      </c>
      <c r="Q63">
        <v>55</v>
      </c>
      <c r="S63" s="101" t="s">
        <v>23</v>
      </c>
      <c r="T63" s="56">
        <v>25.274999999999999</v>
      </c>
      <c r="U63" s="56">
        <v>44.984999999999999</v>
      </c>
      <c r="V63" s="56">
        <v>32.811</v>
      </c>
      <c r="W63" s="56">
        <v>26.302</v>
      </c>
      <c r="X63" s="56">
        <v>32.939</v>
      </c>
      <c r="Y63" s="56">
        <v>18.283000000000001</v>
      </c>
      <c r="Z63" s="56">
        <v>31.829000000000001</v>
      </c>
      <c r="AA63" s="56">
        <v>36.601999999999997</v>
      </c>
      <c r="AB63" s="56">
        <v>43.17</v>
      </c>
      <c r="AC63" s="56">
        <v>26.006</v>
      </c>
      <c r="AD63" s="56">
        <v>18.791</v>
      </c>
      <c r="AE63" s="101" t="s">
        <v>23</v>
      </c>
      <c r="AG63" s="112" t="s">
        <v>23</v>
      </c>
      <c r="AH63" s="56">
        <v>25.8</v>
      </c>
      <c r="AI63" s="56">
        <v>45.94</v>
      </c>
      <c r="AJ63" s="56">
        <v>33.597099999999998</v>
      </c>
      <c r="AK63" s="56">
        <v>26.48</v>
      </c>
      <c r="AL63" s="56">
        <v>32.840000000000003</v>
      </c>
      <c r="AM63" s="56">
        <v>17.87</v>
      </c>
      <c r="AN63" s="56">
        <v>33.1</v>
      </c>
      <c r="AO63" s="56">
        <v>36.341999999999999</v>
      </c>
      <c r="AP63" s="56">
        <v>43.81</v>
      </c>
      <c r="AQ63" s="56">
        <v>25.83</v>
      </c>
      <c r="AR63" s="56">
        <v>17.8</v>
      </c>
      <c r="AT63" s="101" t="s">
        <v>23</v>
      </c>
      <c r="AU63" s="138">
        <v>5.7683667452876666</v>
      </c>
      <c r="AV63" s="138">
        <v>0.87695333227207395</v>
      </c>
      <c r="AW63" s="138">
        <v>0.11323555</v>
      </c>
    </row>
    <row r="64" spans="2:49">
      <c r="B64" s="101" t="s">
        <v>367</v>
      </c>
      <c r="C64" s="56">
        <v>24.934000000000001</v>
      </c>
      <c r="D64" s="56">
        <v>30.625</v>
      </c>
      <c r="E64" s="56">
        <v>25.175000000000001</v>
      </c>
      <c r="F64" s="56">
        <v>27.54</v>
      </c>
      <c r="G64" s="56">
        <v>24.224</v>
      </c>
      <c r="H64" s="56">
        <v>20.047000000000001</v>
      </c>
      <c r="I64" s="56">
        <v>23.065000000000001</v>
      </c>
      <c r="J64" s="56">
        <v>34.234000000000002</v>
      </c>
      <c r="K64" s="56">
        <v>28.933</v>
      </c>
      <c r="L64" s="56">
        <v>29.658000000000001</v>
      </c>
      <c r="M64" s="56">
        <v>20.6</v>
      </c>
      <c r="N64" t="s">
        <v>367</v>
      </c>
      <c r="O64">
        <v>3.1859999999999999</v>
      </c>
      <c r="P64">
        <v>254.9</v>
      </c>
      <c r="Q64">
        <v>80</v>
      </c>
      <c r="S64" s="101" t="s">
        <v>367</v>
      </c>
      <c r="T64" s="56">
        <v>24.934000000000001</v>
      </c>
      <c r="U64" s="56">
        <v>30.625</v>
      </c>
      <c r="V64" s="56">
        <v>25.175000000000001</v>
      </c>
      <c r="W64" s="56">
        <v>27.54</v>
      </c>
      <c r="X64" s="56">
        <v>24.224</v>
      </c>
      <c r="Y64" s="56">
        <v>20.047000000000001</v>
      </c>
      <c r="Z64" s="56">
        <v>23.065000000000001</v>
      </c>
      <c r="AA64" s="56">
        <v>34.234000000000002</v>
      </c>
      <c r="AB64" s="56">
        <v>28.933</v>
      </c>
      <c r="AC64" s="56">
        <v>29.658000000000001</v>
      </c>
      <c r="AD64" s="56">
        <v>20.6</v>
      </c>
      <c r="AE64" s="101" t="s">
        <v>367</v>
      </c>
      <c r="AG64" s="112" t="s">
        <v>367</v>
      </c>
      <c r="AH64" s="56">
        <v>23.87</v>
      </c>
      <c r="AI64" s="56">
        <v>29.88</v>
      </c>
      <c r="AJ64" s="56">
        <v>24.41</v>
      </c>
      <c r="AK64" s="56">
        <v>25.81</v>
      </c>
      <c r="AL64" s="56">
        <v>22.47</v>
      </c>
      <c r="AM64" s="56">
        <v>18.739999999999998</v>
      </c>
      <c r="AN64" s="56">
        <v>22.35</v>
      </c>
      <c r="AO64" s="56">
        <v>34.78</v>
      </c>
      <c r="AP64" s="56">
        <v>28.35</v>
      </c>
      <c r="AQ64" s="56">
        <v>29.81</v>
      </c>
      <c r="AR64" s="56">
        <v>19.87</v>
      </c>
      <c r="AT64" s="101" t="s">
        <v>367</v>
      </c>
      <c r="AU64" s="138">
        <v>6.028875615945144</v>
      </c>
      <c r="AV64" s="138">
        <v>1</v>
      </c>
      <c r="AW64" s="138">
        <v>0.42639139999999998</v>
      </c>
    </row>
    <row r="65" spans="2:49">
      <c r="B65" s="101" t="s">
        <v>370</v>
      </c>
      <c r="C65" s="56">
        <v>20.675000000000001</v>
      </c>
      <c r="D65" s="56">
        <v>57.895000000000003</v>
      </c>
      <c r="E65" s="56">
        <v>34.115000000000002</v>
      </c>
      <c r="F65" s="56">
        <v>39.604999999999997</v>
      </c>
      <c r="G65" s="56">
        <v>35.046999999999997</v>
      </c>
      <c r="H65" s="56">
        <v>28.213000000000001</v>
      </c>
      <c r="I65" s="56">
        <v>26.74</v>
      </c>
      <c r="J65" s="56">
        <v>38.844000000000001</v>
      </c>
      <c r="K65" s="56">
        <v>43.939</v>
      </c>
      <c r="L65" s="56">
        <v>48.878</v>
      </c>
      <c r="M65" s="56">
        <v>18.481999999999999</v>
      </c>
      <c r="N65" t="s">
        <v>370</v>
      </c>
      <c r="O65">
        <v>5.45</v>
      </c>
      <c r="P65">
        <v>305.2</v>
      </c>
      <c r="Q65">
        <v>56</v>
      </c>
      <c r="S65" s="101" t="s">
        <v>370</v>
      </c>
      <c r="T65" s="56">
        <v>20.675000000000001</v>
      </c>
      <c r="U65" s="56">
        <v>57.895000000000003</v>
      </c>
      <c r="V65" s="56">
        <v>34.115000000000002</v>
      </c>
      <c r="W65" s="56">
        <v>39.604999999999997</v>
      </c>
      <c r="X65" s="56">
        <v>35.046999999999997</v>
      </c>
      <c r="Y65" s="56">
        <v>28.213000000000001</v>
      </c>
      <c r="Z65" s="56">
        <v>26.74</v>
      </c>
      <c r="AA65" s="56">
        <v>38.844000000000001</v>
      </c>
      <c r="AB65" s="56">
        <v>43.939</v>
      </c>
      <c r="AC65" s="56">
        <v>48.878</v>
      </c>
      <c r="AD65" s="56">
        <v>18.481999999999999</v>
      </c>
      <c r="AE65" s="101" t="s">
        <v>370</v>
      </c>
      <c r="AG65" s="112" t="s">
        <v>370</v>
      </c>
      <c r="AH65" s="56">
        <v>20.819905226073999</v>
      </c>
      <c r="AI65" s="56">
        <v>58.462970111349101</v>
      </c>
      <c r="AJ65" s="56">
        <v>34.622472600602002</v>
      </c>
      <c r="AK65" s="56">
        <v>40.158907630222998</v>
      </c>
      <c r="AL65" s="56">
        <v>34.687949037606899</v>
      </c>
      <c r="AM65" s="56">
        <v>28.317683608611599</v>
      </c>
      <c r="AN65" s="56">
        <v>26.773812913634401</v>
      </c>
      <c r="AO65" s="56">
        <v>38.945797976365903</v>
      </c>
      <c r="AP65" s="56">
        <v>43.846702753658803</v>
      </c>
      <c r="AQ65" s="56">
        <v>49.743314352819503</v>
      </c>
      <c r="AR65" s="56">
        <v>18.7114376377695</v>
      </c>
      <c r="AT65" s="101" t="s">
        <v>370</v>
      </c>
      <c r="AU65" s="138">
        <v>5.130225556829469</v>
      </c>
      <c r="AV65" s="138">
        <v>0</v>
      </c>
      <c r="AW65" s="138">
        <v>-0.43156364000000003</v>
      </c>
    </row>
    <row r="66" spans="2:49">
      <c r="B66" s="101" t="s">
        <v>373</v>
      </c>
      <c r="C66" s="56">
        <v>25.015999999999998</v>
      </c>
      <c r="D66" s="56">
        <v>53.238999999999997</v>
      </c>
      <c r="E66" s="56">
        <v>22.378</v>
      </c>
      <c r="F66" s="56">
        <v>26.878</v>
      </c>
      <c r="G66" s="56">
        <v>28.286000000000001</v>
      </c>
      <c r="H66" s="56">
        <v>17.123999999999999</v>
      </c>
      <c r="I66" s="56">
        <v>16.405000000000001</v>
      </c>
      <c r="J66" s="56">
        <v>37.582999999999998</v>
      </c>
      <c r="K66" s="56">
        <v>27.510999999999999</v>
      </c>
      <c r="L66" s="56">
        <v>22.260999999999999</v>
      </c>
      <c r="M66" s="56">
        <v>12.316000000000001</v>
      </c>
      <c r="N66" t="s">
        <v>373</v>
      </c>
      <c r="O66">
        <v>5.1379999999999999</v>
      </c>
      <c r="P66">
        <v>308.3</v>
      </c>
      <c r="Q66">
        <v>60</v>
      </c>
      <c r="S66" s="101" t="s">
        <v>373</v>
      </c>
      <c r="T66" s="56">
        <v>25.015999999999998</v>
      </c>
      <c r="U66" s="56">
        <v>53.238999999999997</v>
      </c>
      <c r="V66" s="56">
        <v>22.378</v>
      </c>
      <c r="W66" s="56">
        <v>26.878</v>
      </c>
      <c r="X66" s="56">
        <v>28.286000000000001</v>
      </c>
      <c r="Y66" s="56">
        <v>17.123999999999999</v>
      </c>
      <c r="Z66" s="56">
        <v>16.405000000000001</v>
      </c>
      <c r="AA66" s="56">
        <v>37.582999999999998</v>
      </c>
      <c r="AB66" s="56">
        <v>27.510999999999999</v>
      </c>
      <c r="AC66" s="56">
        <v>22.260999999999999</v>
      </c>
      <c r="AD66" s="56">
        <v>12.316000000000001</v>
      </c>
      <c r="AE66" s="101" t="s">
        <v>373</v>
      </c>
      <c r="AG66" s="112" t="s">
        <v>373</v>
      </c>
      <c r="AH66" s="56">
        <v>24.63</v>
      </c>
      <c r="AI66" s="56">
        <v>52.79</v>
      </c>
      <c r="AJ66" s="56">
        <v>22.87</v>
      </c>
      <c r="AK66" s="56">
        <v>26.39</v>
      </c>
      <c r="AL66" s="56">
        <v>28.15</v>
      </c>
      <c r="AM66" s="56">
        <v>15.84</v>
      </c>
      <c r="AN66" s="56">
        <v>15.84</v>
      </c>
      <c r="AO66" s="56">
        <v>36.950000000000003</v>
      </c>
      <c r="AP66" s="56">
        <v>26.39</v>
      </c>
      <c r="AQ66" s="56">
        <v>22.87</v>
      </c>
      <c r="AR66" s="56">
        <v>12.32</v>
      </c>
      <c r="AT66" s="101" t="s">
        <v>373</v>
      </c>
      <c r="AU66" s="138">
        <v>5.356901996417391</v>
      </c>
      <c r="AV66" s="138">
        <v>0.76399509331885473</v>
      </c>
      <c r="AW66" s="138">
        <v>9.7682470000000007E-2</v>
      </c>
    </row>
    <row r="67" spans="2:49">
      <c r="B67" s="101" t="s">
        <v>376</v>
      </c>
      <c r="C67" s="56">
        <v>29.443999999999999</v>
      </c>
      <c r="D67" s="56">
        <v>22.242999999999999</v>
      </c>
      <c r="E67" s="56">
        <v>34.673999999999999</v>
      </c>
      <c r="F67" s="56">
        <v>30.373999999999999</v>
      </c>
      <c r="G67" s="56">
        <v>34.034999999999997</v>
      </c>
      <c r="H67" s="56">
        <v>23.699000000000002</v>
      </c>
      <c r="I67" s="56">
        <v>29.268000000000001</v>
      </c>
      <c r="J67" s="56">
        <v>29.454999999999998</v>
      </c>
      <c r="K67" s="56">
        <v>45.579000000000001</v>
      </c>
      <c r="L67" s="56">
        <v>26.95</v>
      </c>
      <c r="M67" s="56">
        <v>25.68</v>
      </c>
      <c r="N67" t="s">
        <v>376</v>
      </c>
      <c r="O67">
        <v>5.0670000000000002</v>
      </c>
      <c r="P67">
        <v>309.10000000000002</v>
      </c>
      <c r="Q67">
        <v>61</v>
      </c>
      <c r="S67" s="101" t="s">
        <v>376</v>
      </c>
      <c r="T67" s="56">
        <v>29.443999999999999</v>
      </c>
      <c r="U67" s="56">
        <v>22.242999999999999</v>
      </c>
      <c r="V67" s="56">
        <v>34.673999999999999</v>
      </c>
      <c r="W67" s="56">
        <v>30.373999999999999</v>
      </c>
      <c r="X67" s="56">
        <v>34.034999999999997</v>
      </c>
      <c r="Y67" s="56">
        <v>23.699000000000002</v>
      </c>
      <c r="Z67" s="56">
        <v>29.268000000000001</v>
      </c>
      <c r="AA67" s="56">
        <v>29.454999999999998</v>
      </c>
      <c r="AB67" s="56">
        <v>45.579000000000001</v>
      </c>
      <c r="AC67" s="56">
        <v>26.95</v>
      </c>
      <c r="AD67" s="56">
        <v>25.68</v>
      </c>
      <c r="AE67" s="101" t="s">
        <v>376</v>
      </c>
      <c r="AG67" s="112" t="s">
        <v>376</v>
      </c>
      <c r="AH67" s="56">
        <v>28.921631999999999</v>
      </c>
      <c r="AI67" s="56">
        <v>21.497836400000001</v>
      </c>
      <c r="AJ67" s="56">
        <v>35.536350800000001</v>
      </c>
      <c r="AK67" s="56">
        <v>30.5753117</v>
      </c>
      <c r="AL67" s="56">
        <v>34.727274100000002</v>
      </c>
      <c r="AM67" s="56">
        <v>26.4944019</v>
      </c>
      <c r="AN67" s="56">
        <v>28.921631999999999</v>
      </c>
      <c r="AO67" s="56">
        <v>29.479192399999999</v>
      </c>
      <c r="AP67" s="56">
        <v>45.458429199999998</v>
      </c>
      <c r="AQ67" s="56">
        <v>27.000306200000001</v>
      </c>
      <c r="AR67" s="56">
        <v>24.2945119</v>
      </c>
      <c r="AT67" s="101" t="s">
        <v>376</v>
      </c>
      <c r="AU67" s="138">
        <v>8.5532284127284672</v>
      </c>
      <c r="AV67" s="138">
        <v>0.8068737821041797</v>
      </c>
      <c r="AW67" s="138">
        <v>1.26081216</v>
      </c>
    </row>
    <row r="68" spans="2:49">
      <c r="B68" s="101" t="s">
        <v>379</v>
      </c>
      <c r="C68" s="56">
        <v>21.45</v>
      </c>
      <c r="D68" s="56">
        <v>46.631999999999998</v>
      </c>
      <c r="E68" s="56">
        <v>25.382000000000001</v>
      </c>
      <c r="F68" s="56">
        <v>28.821999999999999</v>
      </c>
      <c r="G68" s="56">
        <v>37.887</v>
      </c>
      <c r="H68" s="56">
        <v>18.696000000000002</v>
      </c>
      <c r="I68" s="56">
        <v>16.206</v>
      </c>
      <c r="J68" s="56">
        <v>45.566000000000003</v>
      </c>
      <c r="K68" s="56">
        <v>31.475000000000001</v>
      </c>
      <c r="L68" s="56">
        <v>39.401000000000003</v>
      </c>
      <c r="M68" s="56">
        <v>15.185</v>
      </c>
      <c r="N68" t="s">
        <v>379</v>
      </c>
      <c r="O68">
        <v>5.923</v>
      </c>
      <c r="P68">
        <v>313.89999999999998</v>
      </c>
      <c r="Q68">
        <v>53</v>
      </c>
      <c r="S68" s="101" t="s">
        <v>379</v>
      </c>
      <c r="T68" s="56">
        <v>21.45</v>
      </c>
      <c r="U68" s="56">
        <v>46.631999999999998</v>
      </c>
      <c r="V68" s="56">
        <v>25.382000000000001</v>
      </c>
      <c r="W68" s="56">
        <v>28.821999999999999</v>
      </c>
      <c r="X68" s="56">
        <v>37.887</v>
      </c>
      <c r="Y68" s="56">
        <v>18.696000000000002</v>
      </c>
      <c r="Z68" s="56">
        <v>16.206</v>
      </c>
      <c r="AA68" s="56">
        <v>45.566000000000003</v>
      </c>
      <c r="AB68" s="56">
        <v>31.475000000000001</v>
      </c>
      <c r="AC68" s="56">
        <v>39.401000000000003</v>
      </c>
      <c r="AD68" s="56">
        <v>15.185</v>
      </c>
      <c r="AE68" s="101" t="s">
        <v>379</v>
      </c>
      <c r="AG68" s="112" t="s">
        <v>379</v>
      </c>
      <c r="AH68" s="56">
        <v>20.97</v>
      </c>
      <c r="AI68" s="56">
        <v>46.78</v>
      </c>
      <c r="AJ68" s="56">
        <v>24.2</v>
      </c>
      <c r="AK68" s="56">
        <v>28.49</v>
      </c>
      <c r="AL68" s="56">
        <v>39.72</v>
      </c>
      <c r="AM68" s="56">
        <v>18.850000000000001</v>
      </c>
      <c r="AN68" s="56">
        <v>15.71</v>
      </c>
      <c r="AO68" s="56">
        <v>46.24</v>
      </c>
      <c r="AP68" s="56">
        <v>31.18</v>
      </c>
      <c r="AQ68" s="56">
        <v>39.79</v>
      </c>
      <c r="AR68" s="56">
        <v>14.38</v>
      </c>
      <c r="AT68" s="101" t="s">
        <v>379</v>
      </c>
      <c r="AU68" s="138">
        <v>6.5315616506978964</v>
      </c>
      <c r="AV68" s="138">
        <v>0.8709403681346477</v>
      </c>
      <c r="AW68" s="138">
        <v>0.29342516000000002</v>
      </c>
    </row>
    <row r="69" spans="2:49">
      <c r="B69" s="101" t="s">
        <v>38</v>
      </c>
      <c r="C69" s="56">
        <v>20.780999999999999</v>
      </c>
      <c r="D69" s="56">
        <v>44.414999999999999</v>
      </c>
      <c r="E69" s="56">
        <v>26.856000000000002</v>
      </c>
      <c r="F69" s="56">
        <v>25.933</v>
      </c>
      <c r="G69" s="56">
        <v>24.361999999999998</v>
      </c>
      <c r="H69" s="56">
        <v>15.798999999999999</v>
      </c>
      <c r="I69" s="56">
        <v>19.082999999999998</v>
      </c>
      <c r="J69" s="56">
        <v>30.559000000000001</v>
      </c>
      <c r="K69" s="56">
        <v>41.040999999999997</v>
      </c>
      <c r="L69" s="56">
        <v>21.771000000000001</v>
      </c>
      <c r="M69" s="56">
        <v>16.77</v>
      </c>
      <c r="N69" t="s">
        <v>38</v>
      </c>
      <c r="O69">
        <v>5.851</v>
      </c>
      <c r="P69">
        <v>310.10000000000002</v>
      </c>
      <c r="Q69">
        <v>53</v>
      </c>
      <c r="S69" s="101" t="s">
        <v>38</v>
      </c>
      <c r="T69" s="56">
        <v>20.780999999999999</v>
      </c>
      <c r="U69" s="56">
        <v>44.414999999999999</v>
      </c>
      <c r="V69" s="56">
        <v>26.856000000000002</v>
      </c>
      <c r="W69" s="56">
        <v>25.933</v>
      </c>
      <c r="X69" s="56">
        <v>24.361999999999998</v>
      </c>
      <c r="Y69" s="56">
        <v>15.798999999999999</v>
      </c>
      <c r="Z69" s="56">
        <v>19.082999999999998</v>
      </c>
      <c r="AA69" s="56">
        <v>30.559000000000001</v>
      </c>
      <c r="AB69" s="56">
        <v>41.040999999999997</v>
      </c>
      <c r="AC69" s="56">
        <v>21.771000000000001</v>
      </c>
      <c r="AD69" s="56">
        <v>16.77</v>
      </c>
      <c r="AE69" s="101" t="s">
        <v>38</v>
      </c>
      <c r="AG69" s="112" t="s">
        <v>38</v>
      </c>
      <c r="AH69" s="56">
        <v>19.898708597512101</v>
      </c>
      <c r="AI69" s="56">
        <v>45.751320671669298</v>
      </c>
      <c r="AJ69" s="56">
        <v>27.396718678663799</v>
      </c>
      <c r="AK69" s="56">
        <v>25.9912491999062</v>
      </c>
      <c r="AL69" s="56">
        <v>24.595906500780799</v>
      </c>
      <c r="AM69" s="56">
        <v>15.471161435737599</v>
      </c>
      <c r="AN69" s="56">
        <v>18.80863438295</v>
      </c>
      <c r="AO69" s="56">
        <v>30.207657636179199</v>
      </c>
      <c r="AP69" s="56">
        <v>40.560595352459501</v>
      </c>
      <c r="AQ69" s="56">
        <v>21.356640261864602</v>
      </c>
      <c r="AR69" s="56">
        <v>16.3602500529346</v>
      </c>
      <c r="AT69" s="101" t="s">
        <v>38</v>
      </c>
      <c r="AU69" s="138">
        <v>5.3997871490277083</v>
      </c>
      <c r="AV69" s="138">
        <v>0.90003674089772567</v>
      </c>
      <c r="AW69" s="138">
        <v>0.60888109000000001</v>
      </c>
    </row>
    <row r="70" spans="2:49">
      <c r="B70" s="101" t="s">
        <v>384</v>
      </c>
      <c r="C70" s="56">
        <v>28.515999999999998</v>
      </c>
      <c r="D70" s="56">
        <v>48.908999999999999</v>
      </c>
      <c r="E70" s="56">
        <v>28.048999999999999</v>
      </c>
      <c r="F70" s="56">
        <v>32.094000000000001</v>
      </c>
      <c r="G70" s="56">
        <v>31.559000000000001</v>
      </c>
      <c r="H70" s="56">
        <v>21.309000000000001</v>
      </c>
      <c r="I70" s="56">
        <v>18.466999999999999</v>
      </c>
      <c r="J70" s="56">
        <v>38.360999999999997</v>
      </c>
      <c r="K70" s="56">
        <v>43.341999999999999</v>
      </c>
      <c r="L70" s="56">
        <v>46.582999999999998</v>
      </c>
      <c r="M70" s="56">
        <v>17.765999999999998</v>
      </c>
      <c r="N70" t="s">
        <v>384</v>
      </c>
      <c r="O70">
        <v>6.968</v>
      </c>
      <c r="P70">
        <v>306.60000000000002</v>
      </c>
      <c r="Q70">
        <v>44</v>
      </c>
      <c r="S70" s="101" t="s">
        <v>384</v>
      </c>
      <c r="T70" s="56">
        <v>28.515999999999998</v>
      </c>
      <c r="U70" s="56">
        <v>48.908999999999999</v>
      </c>
      <c r="V70" s="56">
        <v>28.048999999999999</v>
      </c>
      <c r="W70" s="56">
        <v>32.094000000000001</v>
      </c>
      <c r="X70" s="56">
        <v>31.559000000000001</v>
      </c>
      <c r="Y70" s="56">
        <v>21.309000000000001</v>
      </c>
      <c r="Z70" s="56">
        <v>18.466999999999999</v>
      </c>
      <c r="AA70" s="56">
        <v>38.360999999999997</v>
      </c>
      <c r="AB70" s="56">
        <v>43.341999999999999</v>
      </c>
      <c r="AC70" s="56">
        <v>46.582999999999998</v>
      </c>
      <c r="AD70" s="56">
        <v>17.765999999999998</v>
      </c>
      <c r="AE70" s="101" t="s">
        <v>384</v>
      </c>
      <c r="AG70" s="112" t="s">
        <v>384</v>
      </c>
      <c r="AH70" s="56">
        <v>28.125085390123001</v>
      </c>
      <c r="AI70" s="56">
        <v>52.787961861987199</v>
      </c>
      <c r="AJ70" s="56">
        <v>28.142413987010698</v>
      </c>
      <c r="AK70" s="56">
        <v>32.664923239405901</v>
      </c>
      <c r="AL70" s="56">
        <v>32.502234330829097</v>
      </c>
      <c r="AM70" s="56">
        <v>19.9554291191759</v>
      </c>
      <c r="AN70" s="56">
        <v>16.254368372538899</v>
      </c>
      <c r="AO70" s="56">
        <v>40.397519132352897</v>
      </c>
      <c r="AP70" s="56">
        <v>44.663950359028398</v>
      </c>
      <c r="AQ70" s="56">
        <v>50.077051283490199</v>
      </c>
      <c r="AR70" s="56">
        <v>15.769546350337199</v>
      </c>
      <c r="AT70" s="101" t="s">
        <v>384</v>
      </c>
      <c r="AU70" s="138">
        <v>6.245591974544471</v>
      </c>
      <c r="AV70" s="138">
        <v>0.90033719561863368</v>
      </c>
      <c r="AW70" s="138">
        <v>0.44981546</v>
      </c>
    </row>
    <row r="71" spans="2:49">
      <c r="B71" s="101" t="s">
        <v>25</v>
      </c>
      <c r="C71" s="56">
        <v>17.353000000000002</v>
      </c>
      <c r="D71" s="56">
        <v>33.579000000000001</v>
      </c>
      <c r="E71" s="56">
        <v>22.036999999999999</v>
      </c>
      <c r="F71" s="56">
        <v>28.97</v>
      </c>
      <c r="G71" s="56">
        <v>23.434999999999999</v>
      </c>
      <c r="H71" s="56">
        <v>15.56</v>
      </c>
      <c r="I71" s="56">
        <v>14.46</v>
      </c>
      <c r="J71" s="56">
        <v>37.835000000000001</v>
      </c>
      <c r="K71" s="56">
        <v>29.292999999999999</v>
      </c>
      <c r="L71" s="56">
        <v>31.751000000000001</v>
      </c>
      <c r="M71" s="56">
        <v>15.141</v>
      </c>
      <c r="N71" t="s">
        <v>25</v>
      </c>
      <c r="O71">
        <v>5.86</v>
      </c>
      <c r="P71">
        <v>310.60000000000002</v>
      </c>
      <c r="Q71">
        <v>53</v>
      </c>
      <c r="S71" s="101" t="s">
        <v>25</v>
      </c>
      <c r="T71" s="56">
        <v>17.353000000000002</v>
      </c>
      <c r="U71" s="56">
        <v>33.579000000000001</v>
      </c>
      <c r="V71" s="56">
        <v>22.036999999999999</v>
      </c>
      <c r="W71" s="56">
        <v>28.97</v>
      </c>
      <c r="X71" s="56">
        <v>23.434999999999999</v>
      </c>
      <c r="Y71" s="56">
        <v>15.56</v>
      </c>
      <c r="Z71" s="56">
        <v>14.46</v>
      </c>
      <c r="AA71" s="56">
        <v>37.835000000000001</v>
      </c>
      <c r="AB71" s="56">
        <v>29.292999999999999</v>
      </c>
      <c r="AC71" s="56">
        <v>31.751000000000001</v>
      </c>
      <c r="AD71" s="56">
        <v>15.141</v>
      </c>
      <c r="AE71" s="101" t="s">
        <v>25</v>
      </c>
      <c r="AG71" s="112" t="s">
        <v>25</v>
      </c>
      <c r="AH71" s="56">
        <v>17.524000000000001</v>
      </c>
      <c r="AI71" s="56">
        <v>33.85</v>
      </c>
      <c r="AJ71" s="56">
        <v>22.233000000000001</v>
      </c>
      <c r="AK71" s="56">
        <v>28.74</v>
      </c>
      <c r="AL71" s="56">
        <v>23.12</v>
      </c>
      <c r="AM71" s="56">
        <v>14.98</v>
      </c>
      <c r="AN71" s="56">
        <v>13.71</v>
      </c>
      <c r="AO71" s="56">
        <v>38.579000000000001</v>
      </c>
      <c r="AP71" s="56">
        <v>28.51</v>
      </c>
      <c r="AQ71" s="56">
        <v>30.99</v>
      </c>
      <c r="AR71" s="56">
        <v>15.32</v>
      </c>
      <c r="AT71" s="101" t="s">
        <v>25</v>
      </c>
      <c r="AU71" s="138">
        <v>6.0546570488264635</v>
      </c>
      <c r="AV71" s="138">
        <v>0.89950099519510562</v>
      </c>
      <c r="AW71" s="138">
        <v>0.90578347000000003</v>
      </c>
    </row>
    <row r="72" spans="2:49">
      <c r="B72" s="101" t="s">
        <v>391</v>
      </c>
      <c r="C72" s="56">
        <v>26.294</v>
      </c>
      <c r="D72" s="56">
        <v>26.260999999999999</v>
      </c>
      <c r="E72" s="56">
        <v>45.893000000000001</v>
      </c>
      <c r="F72" s="56">
        <v>45.887999999999998</v>
      </c>
      <c r="G72" s="56">
        <v>21.529</v>
      </c>
      <c r="H72" s="56">
        <v>31.125</v>
      </c>
      <c r="I72" s="56">
        <v>16.202999999999999</v>
      </c>
      <c r="J72" s="56">
        <v>26.08</v>
      </c>
      <c r="K72" s="56">
        <v>31.920999999999999</v>
      </c>
      <c r="L72" s="56">
        <v>36.840000000000003</v>
      </c>
      <c r="M72" s="56">
        <v>21.256</v>
      </c>
      <c r="N72" t="s">
        <v>391</v>
      </c>
      <c r="O72">
        <v>5.44</v>
      </c>
      <c r="P72">
        <v>310.10000000000002</v>
      </c>
      <c r="Q72">
        <v>57</v>
      </c>
      <c r="S72" s="101" t="s">
        <v>391</v>
      </c>
      <c r="T72" s="56">
        <v>26.294</v>
      </c>
      <c r="U72" s="56">
        <v>26.260999999999999</v>
      </c>
      <c r="V72" s="56">
        <v>45.893000000000001</v>
      </c>
      <c r="W72" s="56">
        <v>45.887999999999998</v>
      </c>
      <c r="X72" s="56">
        <v>21.529</v>
      </c>
      <c r="Y72" s="56">
        <v>31.125</v>
      </c>
      <c r="Z72" s="56">
        <v>16.202999999999999</v>
      </c>
      <c r="AA72" s="56">
        <v>26.08</v>
      </c>
      <c r="AB72" s="56">
        <v>31.920999999999999</v>
      </c>
      <c r="AC72" s="56">
        <v>36.840000000000003</v>
      </c>
      <c r="AD72" s="56">
        <v>21.256</v>
      </c>
      <c r="AE72" s="101" t="s">
        <v>391</v>
      </c>
      <c r="AG72" s="112" t="s">
        <v>391</v>
      </c>
      <c r="AH72" s="56">
        <v>26.512032670770498</v>
      </c>
      <c r="AI72" s="56">
        <v>26.123005880451402</v>
      </c>
      <c r="AJ72" s="56">
        <v>46.014793969816502</v>
      </c>
      <c r="AK72" s="56">
        <v>46.014793969816502</v>
      </c>
      <c r="AL72" s="56">
        <v>21.274193763452299</v>
      </c>
      <c r="AM72" s="56">
        <v>31.312562032466399</v>
      </c>
      <c r="AN72" s="56">
        <v>16.4428051264562</v>
      </c>
      <c r="AO72" s="56">
        <v>25.788692933893799</v>
      </c>
      <c r="AP72" s="56">
        <v>31.3819590712015</v>
      </c>
      <c r="AQ72" s="56">
        <v>36.141988792628403</v>
      </c>
      <c r="AR72" s="56">
        <v>20.992667071614299</v>
      </c>
      <c r="AT72" s="101" t="s">
        <v>391</v>
      </c>
      <c r="AU72" s="138">
        <v>6.6705980696427396</v>
      </c>
      <c r="AV72" s="138">
        <v>0.84770875746478813</v>
      </c>
      <c r="AW72" s="138">
        <v>0.58524414000000002</v>
      </c>
    </row>
    <row r="73" spans="2:49">
      <c r="B73" s="101" t="s">
        <v>39</v>
      </c>
      <c r="C73" s="56">
        <v>22.651</v>
      </c>
      <c r="D73" s="56">
        <v>15.013</v>
      </c>
      <c r="E73" s="56">
        <v>34.762999999999998</v>
      </c>
      <c r="F73" s="56">
        <v>39.488999999999997</v>
      </c>
      <c r="G73" s="56">
        <v>28.349</v>
      </c>
      <c r="H73" s="56">
        <v>21.120999999999999</v>
      </c>
      <c r="I73" s="56">
        <v>28.907</v>
      </c>
      <c r="J73" s="56">
        <v>35.283999999999999</v>
      </c>
      <c r="K73" s="56">
        <v>41.026000000000003</v>
      </c>
      <c r="L73" s="56">
        <v>30.026</v>
      </c>
      <c r="M73" s="56">
        <v>20.786999999999999</v>
      </c>
      <c r="N73" t="s">
        <v>39</v>
      </c>
      <c r="O73">
        <v>5.5549999999999997</v>
      </c>
      <c r="P73">
        <v>305.5</v>
      </c>
      <c r="Q73">
        <v>55</v>
      </c>
      <c r="S73" s="101" t="s">
        <v>39</v>
      </c>
      <c r="T73" s="56">
        <v>22.651</v>
      </c>
      <c r="U73" s="56">
        <v>15.013</v>
      </c>
      <c r="V73" s="56">
        <v>34.762999999999998</v>
      </c>
      <c r="W73" s="56">
        <v>39.488999999999997</v>
      </c>
      <c r="X73" s="56">
        <v>28.349</v>
      </c>
      <c r="Y73" s="56">
        <v>21.120999999999999</v>
      </c>
      <c r="Z73" s="56">
        <v>28.907</v>
      </c>
      <c r="AA73" s="56">
        <v>35.283999999999999</v>
      </c>
      <c r="AB73" s="56">
        <v>41.026000000000003</v>
      </c>
      <c r="AC73" s="56">
        <v>30.026</v>
      </c>
      <c r="AD73" s="56">
        <v>20.786999999999999</v>
      </c>
      <c r="AE73" s="101" t="s">
        <v>39</v>
      </c>
      <c r="AG73" s="112" t="s">
        <v>39</v>
      </c>
      <c r="AH73" s="56">
        <v>21.35</v>
      </c>
      <c r="AI73" s="56">
        <v>13.65</v>
      </c>
      <c r="AJ73" s="56">
        <v>34.880000000000003</v>
      </c>
      <c r="AK73" s="56">
        <v>41.22</v>
      </c>
      <c r="AL73" s="56">
        <v>27.05</v>
      </c>
      <c r="AM73" s="56">
        <v>19.87</v>
      </c>
      <c r="AN73" s="56">
        <v>29.98</v>
      </c>
      <c r="AO73" s="56">
        <v>35.6</v>
      </c>
      <c r="AP73" s="56">
        <v>40.409999999999997</v>
      </c>
      <c r="AQ73" s="56">
        <v>29.33</v>
      </c>
      <c r="AR73" s="56">
        <v>20.58</v>
      </c>
      <c r="AT73" s="101" t="s">
        <v>39</v>
      </c>
      <c r="AU73" s="138">
        <v>5.9963018293229799</v>
      </c>
      <c r="AV73" s="138">
        <v>0.77510473695501436</v>
      </c>
      <c r="AW73" s="138">
        <v>0.34467100000000001</v>
      </c>
    </row>
    <row r="74" spans="2:49">
      <c r="B74" s="101" t="s">
        <v>37</v>
      </c>
      <c r="C74" s="56">
        <v>28.45</v>
      </c>
      <c r="D74" s="56">
        <v>43.179000000000002</v>
      </c>
      <c r="E74" s="56">
        <v>30.23</v>
      </c>
      <c r="F74" s="56">
        <v>33.695999999999998</v>
      </c>
      <c r="G74" s="56">
        <v>20.648</v>
      </c>
      <c r="H74" s="56">
        <v>22.434999999999999</v>
      </c>
      <c r="I74" s="56">
        <v>23.28</v>
      </c>
      <c r="J74" s="56">
        <v>25.361999999999998</v>
      </c>
      <c r="K74" s="56">
        <v>33.090000000000003</v>
      </c>
      <c r="L74" s="56">
        <v>27.452000000000002</v>
      </c>
      <c r="M74" s="56">
        <v>19.007000000000001</v>
      </c>
      <c r="N74" t="s">
        <v>37</v>
      </c>
      <c r="O74">
        <v>5.6219999999999999</v>
      </c>
      <c r="P74">
        <v>309.2</v>
      </c>
      <c r="Q74">
        <v>55</v>
      </c>
      <c r="S74" s="101" t="s">
        <v>37</v>
      </c>
      <c r="T74" s="56">
        <v>28.45</v>
      </c>
      <c r="U74" s="56">
        <v>43.179000000000002</v>
      </c>
      <c r="V74" s="56">
        <v>30.23</v>
      </c>
      <c r="W74" s="56">
        <v>33.695999999999998</v>
      </c>
      <c r="X74" s="56">
        <v>20.648</v>
      </c>
      <c r="Y74" s="56">
        <v>22.434999999999999</v>
      </c>
      <c r="Z74" s="56">
        <v>23.28</v>
      </c>
      <c r="AA74" s="56">
        <v>25.361999999999998</v>
      </c>
      <c r="AB74" s="56">
        <v>33.090000000000003</v>
      </c>
      <c r="AC74" s="56">
        <v>27.452000000000002</v>
      </c>
      <c r="AD74" s="56">
        <v>19.007000000000001</v>
      </c>
      <c r="AE74" s="101" t="s">
        <v>37</v>
      </c>
      <c r="AG74" s="112" t="s">
        <v>37</v>
      </c>
      <c r="AH74" s="56">
        <v>29.623969629040701</v>
      </c>
      <c r="AI74" s="56">
        <v>45.912903936121602</v>
      </c>
      <c r="AJ74" s="56">
        <v>31.419895060498099</v>
      </c>
      <c r="AK74" s="56">
        <v>34.858335240110698</v>
      </c>
      <c r="AL74" s="56">
        <v>20.768849568872</v>
      </c>
      <c r="AM74" s="56">
        <v>22.975939665375201</v>
      </c>
      <c r="AN74" s="56">
        <v>24.2820624149265</v>
      </c>
      <c r="AO74" s="56">
        <v>25.4653447926182</v>
      </c>
      <c r="AP74" s="56">
        <v>33.694292884362497</v>
      </c>
      <c r="AQ74" s="56">
        <v>28.321260704012701</v>
      </c>
      <c r="AR74" s="56">
        <v>19.416151776054999</v>
      </c>
      <c r="AT74" s="101" t="s">
        <v>37</v>
      </c>
      <c r="AU74" s="138">
        <v>6.0603586608604134</v>
      </c>
      <c r="AV74" s="138">
        <v>1</v>
      </c>
      <c r="AW74" s="138">
        <v>1.0532007400000001</v>
      </c>
    </row>
    <row r="75" spans="2:49">
      <c r="B75" s="101" t="s">
        <v>398</v>
      </c>
      <c r="C75" s="56">
        <v>39.466000000000001</v>
      </c>
      <c r="D75" s="56">
        <v>63.408999999999999</v>
      </c>
      <c r="E75" s="56">
        <v>48.258000000000003</v>
      </c>
      <c r="F75" s="56">
        <v>38.215000000000003</v>
      </c>
      <c r="G75" s="56">
        <v>33.243000000000002</v>
      </c>
      <c r="H75" s="56">
        <v>28.262</v>
      </c>
      <c r="I75" s="56">
        <v>26.167999999999999</v>
      </c>
      <c r="J75" s="56">
        <v>36.99</v>
      </c>
      <c r="K75" s="56">
        <v>69.522000000000006</v>
      </c>
      <c r="L75" s="56">
        <v>54.036000000000001</v>
      </c>
      <c r="M75" s="56">
        <v>22.416</v>
      </c>
      <c r="N75" t="s">
        <v>398</v>
      </c>
      <c r="O75">
        <v>4.2510000000000003</v>
      </c>
      <c r="P75">
        <v>301.8</v>
      </c>
      <c r="Q75">
        <v>71</v>
      </c>
      <c r="S75" s="101" t="s">
        <v>398</v>
      </c>
      <c r="T75" s="56">
        <v>39.466000000000001</v>
      </c>
      <c r="U75" s="56">
        <v>63.408999999999999</v>
      </c>
      <c r="V75" s="56">
        <v>48.258000000000003</v>
      </c>
      <c r="W75" s="56">
        <v>38.215000000000003</v>
      </c>
      <c r="X75" s="56">
        <v>33.243000000000002</v>
      </c>
      <c r="Y75" s="56">
        <v>28.262</v>
      </c>
      <c r="Z75" s="56">
        <v>26.167999999999999</v>
      </c>
      <c r="AA75" s="56">
        <v>36.99</v>
      </c>
      <c r="AB75" s="56">
        <v>69.522000000000006</v>
      </c>
      <c r="AC75" s="56">
        <v>54.036000000000001</v>
      </c>
      <c r="AD75" s="56">
        <v>22.416</v>
      </c>
      <c r="AE75" s="101" t="s">
        <v>398</v>
      </c>
      <c r="AG75" s="112" t="s">
        <v>398</v>
      </c>
      <c r="AH75" s="56">
        <v>41.06</v>
      </c>
      <c r="AI75" s="56">
        <v>67.55</v>
      </c>
      <c r="AJ75" s="56">
        <v>50.331000000000003</v>
      </c>
      <c r="AK75" s="56">
        <v>39.74</v>
      </c>
      <c r="AL75" s="56">
        <v>34.44</v>
      </c>
      <c r="AM75" s="56">
        <v>29.49</v>
      </c>
      <c r="AN75" s="56">
        <v>26.49</v>
      </c>
      <c r="AO75" s="56">
        <v>38.409999999999997</v>
      </c>
      <c r="AP75" s="56">
        <v>74.17</v>
      </c>
      <c r="AQ75" s="56">
        <v>56.95</v>
      </c>
      <c r="AR75" s="56">
        <v>22.52</v>
      </c>
      <c r="AT75" s="101" t="s">
        <v>398</v>
      </c>
      <c r="AU75" s="138">
        <v>6.1828761205491549</v>
      </c>
      <c r="AV75" s="138">
        <v>0.8965387746485638</v>
      </c>
      <c r="AW75" s="138">
        <v>0.91779593000000004</v>
      </c>
    </row>
    <row r="76" spans="2:49">
      <c r="B76" s="101" t="s">
        <v>43</v>
      </c>
      <c r="C76" s="56">
        <v>17.442</v>
      </c>
      <c r="D76" s="56">
        <v>19.855</v>
      </c>
      <c r="E76" s="56">
        <v>25.241</v>
      </c>
      <c r="F76" s="56">
        <v>22.78</v>
      </c>
      <c r="G76" s="56">
        <v>20.504999999999999</v>
      </c>
      <c r="H76" s="56">
        <v>22.809000000000001</v>
      </c>
      <c r="I76" s="56">
        <v>21.448</v>
      </c>
      <c r="J76" s="56">
        <v>40.969000000000001</v>
      </c>
      <c r="K76" s="56">
        <v>29.021000000000001</v>
      </c>
      <c r="L76" s="56">
        <v>31.952999999999999</v>
      </c>
      <c r="M76" s="56">
        <v>18.457000000000001</v>
      </c>
      <c r="N76" t="s">
        <v>43</v>
      </c>
      <c r="O76">
        <v>4.2610000000000001</v>
      </c>
      <c r="P76">
        <v>298.3</v>
      </c>
      <c r="Q76">
        <v>70</v>
      </c>
      <c r="S76" s="101" t="s">
        <v>43</v>
      </c>
      <c r="T76" s="56">
        <v>17.442</v>
      </c>
      <c r="U76" s="56">
        <v>19.855</v>
      </c>
      <c r="V76" s="56">
        <v>25.241</v>
      </c>
      <c r="W76" s="56">
        <v>22.78</v>
      </c>
      <c r="X76" s="56">
        <v>20.504999999999999</v>
      </c>
      <c r="Y76" s="56">
        <v>22.809000000000001</v>
      </c>
      <c r="Z76" s="56">
        <v>21.448</v>
      </c>
      <c r="AA76" s="56">
        <v>40.969000000000001</v>
      </c>
      <c r="AB76" s="56">
        <v>29.021000000000001</v>
      </c>
      <c r="AC76" s="56">
        <v>31.952999999999999</v>
      </c>
      <c r="AD76" s="56">
        <v>18.457000000000001</v>
      </c>
      <c r="AE76" s="101" t="s">
        <v>43</v>
      </c>
      <c r="AG76" s="112" t="s">
        <v>43</v>
      </c>
      <c r="AH76" s="56">
        <v>17.45</v>
      </c>
      <c r="AI76" s="56">
        <v>20.14</v>
      </c>
      <c r="AJ76" s="56">
        <v>25.6</v>
      </c>
      <c r="AK76" s="56">
        <v>22.36</v>
      </c>
      <c r="AL76" s="56">
        <v>19.984999999999999</v>
      </c>
      <c r="AM76" s="56">
        <v>23.57</v>
      </c>
      <c r="AN76" s="56">
        <v>21.58</v>
      </c>
      <c r="AO76" s="56">
        <v>40.85</v>
      </c>
      <c r="AP76" s="56">
        <v>29.875</v>
      </c>
      <c r="AQ76" s="56">
        <v>32.987000000000002</v>
      </c>
      <c r="AR76" s="56">
        <v>18.739999999999998</v>
      </c>
      <c r="AT76" s="101" t="s">
        <v>43</v>
      </c>
      <c r="AU76" s="138">
        <v>6.6487090863372424</v>
      </c>
      <c r="AV76" s="138">
        <v>0.85970614105036236</v>
      </c>
      <c r="AW76" s="138">
        <v>0.36760903</v>
      </c>
    </row>
  </sheetData>
  <mergeCells count="1">
    <mergeCell ref="AU11:AW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43AC6-3858-46B7-B7B7-9CB802A7771D}">
  <dimension ref="A1"/>
  <sheetViews>
    <sheetView workbookViewId="0"/>
  </sheetViews>
  <sheetFormatPr baseColWidth="10" defaultRowHeight="13.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A4F29-5C6B-4258-BA96-035456FEC3CF}">
  <dimension ref="A1"/>
  <sheetViews>
    <sheetView workbookViewId="0"/>
  </sheetViews>
  <sheetFormatPr baseColWidth="10" defaultRowHeight="13.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T105"/>
  <sheetViews>
    <sheetView workbookViewId="0">
      <selection activeCell="E4" sqref="E4"/>
    </sheetView>
  </sheetViews>
  <sheetFormatPr baseColWidth="10" defaultColWidth="11.5546875" defaultRowHeight="13.2"/>
  <cols>
    <col min="1" max="1" width="6.6640625" customWidth="1"/>
    <col min="2" max="2" width="3.88671875" style="4" customWidth="1"/>
    <col min="3" max="3" width="5.33203125" style="4" customWidth="1"/>
    <col min="4" max="4" width="6.6640625" style="4" customWidth="1"/>
    <col min="5" max="5" width="6.44140625" style="4" customWidth="1"/>
    <col min="6" max="6" width="4.33203125" style="4" customWidth="1"/>
    <col min="7" max="7" width="9" style="4" customWidth="1"/>
    <col min="8" max="8" width="4.33203125" style="4" customWidth="1"/>
    <col min="9" max="9" width="10.6640625" style="4" customWidth="1"/>
    <col min="10" max="10" width="7.44140625" style="4" customWidth="1"/>
    <col min="11" max="11" width="4.33203125" style="4" customWidth="1"/>
    <col min="12" max="13" width="8.5546875" style="4" customWidth="1"/>
    <col min="14" max="14" width="4.33203125" style="4" customWidth="1"/>
    <col min="15" max="15" width="11.109375" style="4" customWidth="1"/>
    <col min="16" max="16" width="8.33203125" style="4" customWidth="1"/>
    <col min="17" max="17" width="4.33203125" style="4" customWidth="1"/>
    <col min="18" max="19" width="7.6640625" style="4" customWidth="1"/>
    <col min="20" max="20" width="4.33203125" style="4" customWidth="1"/>
    <col min="21" max="21" width="11.6640625" style="4" customWidth="1"/>
    <col min="22" max="22" width="7" style="4" customWidth="1"/>
    <col min="23" max="37" width="4.33203125" style="4" customWidth="1"/>
    <col min="38" max="38" width="3.109375" style="4" customWidth="1"/>
    <col min="39" max="39" width="3.6640625" style="4" customWidth="1"/>
    <col min="40" max="40" width="3" style="4" customWidth="1"/>
    <col min="41" max="41" width="4.5546875" style="4" customWidth="1"/>
    <col min="42" max="42" width="4.109375" style="4" customWidth="1"/>
    <col min="43" max="43" width="4.44140625" style="4" customWidth="1"/>
    <col min="44" max="44" width="4.33203125" style="4" customWidth="1"/>
    <col min="45" max="72" width="3.5546875" style="4" customWidth="1"/>
  </cols>
  <sheetData>
    <row r="1" spans="1:23">
      <c r="K1" s="4">
        <v>1</v>
      </c>
      <c r="Q1" s="4">
        <v>1</v>
      </c>
      <c r="W1" s="4">
        <v>1</v>
      </c>
    </row>
    <row r="2" spans="1:23">
      <c r="A2" t="s">
        <v>513</v>
      </c>
      <c r="B2"/>
      <c r="C2"/>
      <c r="D2" t="s">
        <v>137</v>
      </c>
      <c r="E2" t="s">
        <v>174</v>
      </c>
      <c r="G2" s="4" t="s">
        <v>514</v>
      </c>
      <c r="H2" s="4" t="s">
        <v>57</v>
      </c>
      <c r="I2" s="4" t="s">
        <v>515</v>
      </c>
      <c r="J2" s="4" t="s">
        <v>516</v>
      </c>
      <c r="K2" s="77" t="s">
        <v>517</v>
      </c>
      <c r="M2" s="4" t="s">
        <v>514</v>
      </c>
      <c r="N2" s="4" t="s">
        <v>57</v>
      </c>
      <c r="O2" s="4" t="s">
        <v>515</v>
      </c>
      <c r="P2" s="4" t="s">
        <v>516</v>
      </c>
      <c r="Q2" s="77" t="s">
        <v>518</v>
      </c>
      <c r="S2" s="4" t="s">
        <v>514</v>
      </c>
      <c r="T2" s="4" t="s">
        <v>57</v>
      </c>
      <c r="U2" s="4" t="s">
        <v>515</v>
      </c>
      <c r="V2" s="4" t="s">
        <v>516</v>
      </c>
      <c r="W2" s="77" t="s">
        <v>517</v>
      </c>
    </row>
    <row r="3" spans="1:23">
      <c r="A3" t="s">
        <v>519</v>
      </c>
      <c r="B3" t="s">
        <v>174</v>
      </c>
      <c r="C3"/>
      <c r="D3" t="s">
        <v>520</v>
      </c>
      <c r="E3" t="s">
        <v>1</v>
      </c>
      <c r="G3" s="4">
        <v>99</v>
      </c>
      <c r="H3" s="4">
        <v>5</v>
      </c>
      <c r="I3" s="4">
        <v>24</v>
      </c>
      <c r="J3" s="4">
        <f t="shared" ref="J3:J37" si="0">IF(H3="","",(G3-I3)/H3)</f>
        <v>15</v>
      </c>
      <c r="K3" s="4">
        <f t="shared" ref="K3:K37" si="1">G3-J3*K$1</f>
        <v>84</v>
      </c>
      <c r="M3" s="4">
        <v>64</v>
      </c>
      <c r="N3" s="4">
        <v>4</v>
      </c>
      <c r="O3" s="4">
        <v>25</v>
      </c>
      <c r="P3" s="4">
        <f t="shared" ref="P3:P37" si="2">IF(N3="","",(M3-O3)/N3)</f>
        <v>9.75</v>
      </c>
      <c r="Q3" s="4">
        <f t="shared" ref="Q3:Q37" si="3">M3-P3*Q$1</f>
        <v>54.25</v>
      </c>
      <c r="S3" s="4">
        <v>29</v>
      </c>
      <c r="T3" s="4">
        <v>5</v>
      </c>
      <c r="U3" s="4">
        <v>7</v>
      </c>
      <c r="V3" s="4">
        <f t="shared" ref="V3:V31" si="4">IF(T3="","",(S3-U3)/T3)</f>
        <v>4.4000000000000004</v>
      </c>
      <c r="W3" s="4">
        <f t="shared" ref="W3:W31" si="5">S3-V3*W$1</f>
        <v>24.6</v>
      </c>
    </row>
    <row r="4" spans="1:23">
      <c r="A4">
        <v>1</v>
      </c>
      <c r="B4">
        <v>1</v>
      </c>
      <c r="C4"/>
      <c r="D4">
        <v>99</v>
      </c>
      <c r="E4">
        <v>15</v>
      </c>
      <c r="G4" s="4">
        <v>98</v>
      </c>
      <c r="H4" s="4">
        <v>4</v>
      </c>
      <c r="I4" s="4">
        <v>39</v>
      </c>
      <c r="J4" s="4">
        <f t="shared" si="0"/>
        <v>14.75</v>
      </c>
      <c r="K4" s="4">
        <f t="shared" si="1"/>
        <v>83.25</v>
      </c>
      <c r="M4" s="4">
        <v>63</v>
      </c>
      <c r="N4" s="4">
        <v>5</v>
      </c>
      <c r="O4" s="4">
        <v>15</v>
      </c>
      <c r="P4" s="4">
        <f t="shared" si="2"/>
        <v>9.6</v>
      </c>
      <c r="Q4" s="4">
        <f t="shared" si="3"/>
        <v>53.4</v>
      </c>
      <c r="S4" s="4">
        <v>28</v>
      </c>
      <c r="T4" s="4">
        <v>5</v>
      </c>
      <c r="U4" s="4">
        <v>7</v>
      </c>
      <c r="V4" s="4">
        <f t="shared" si="4"/>
        <v>4.2</v>
      </c>
      <c r="W4" s="4">
        <f t="shared" si="5"/>
        <v>23.8</v>
      </c>
    </row>
    <row r="5" spans="1:23">
      <c r="A5">
        <v>2</v>
      </c>
      <c r="B5">
        <v>1</v>
      </c>
      <c r="C5"/>
      <c r="D5">
        <v>94</v>
      </c>
      <c r="E5">
        <v>15</v>
      </c>
      <c r="F5" s="4" t="s">
        <v>1</v>
      </c>
      <c r="G5" s="4">
        <v>97</v>
      </c>
      <c r="H5" s="4">
        <v>4</v>
      </c>
      <c r="I5" s="4">
        <v>38</v>
      </c>
      <c r="J5" s="4">
        <f t="shared" si="0"/>
        <v>14.75</v>
      </c>
      <c r="K5" s="4">
        <f t="shared" si="1"/>
        <v>82.25</v>
      </c>
      <c r="M5" s="4">
        <v>62</v>
      </c>
      <c r="N5" s="4">
        <v>5</v>
      </c>
      <c r="O5" s="4">
        <v>15</v>
      </c>
      <c r="P5" s="4">
        <f t="shared" si="2"/>
        <v>9.4</v>
      </c>
      <c r="Q5" s="4">
        <f t="shared" si="3"/>
        <v>52.6</v>
      </c>
      <c r="S5" s="4">
        <v>27</v>
      </c>
      <c r="T5" s="4">
        <v>4</v>
      </c>
      <c r="U5" s="4">
        <v>10</v>
      </c>
      <c r="V5" s="4">
        <f t="shared" si="4"/>
        <v>4.25</v>
      </c>
      <c r="W5" s="4">
        <f t="shared" si="5"/>
        <v>22.75</v>
      </c>
    </row>
    <row r="6" spans="1:23">
      <c r="A6">
        <v>3</v>
      </c>
      <c r="B6">
        <v>1</v>
      </c>
      <c r="C6"/>
      <c r="D6">
        <v>93</v>
      </c>
      <c r="E6">
        <v>14</v>
      </c>
      <c r="G6" s="4">
        <v>96</v>
      </c>
      <c r="H6" s="4">
        <v>4</v>
      </c>
      <c r="I6" s="4">
        <v>38</v>
      </c>
      <c r="J6" s="4">
        <f t="shared" si="0"/>
        <v>14.5</v>
      </c>
      <c r="K6" s="4">
        <f t="shared" si="1"/>
        <v>81.5</v>
      </c>
      <c r="M6" s="4">
        <v>61</v>
      </c>
      <c r="N6" s="4">
        <v>4</v>
      </c>
      <c r="O6" s="4">
        <v>24</v>
      </c>
      <c r="P6" s="4">
        <f t="shared" si="2"/>
        <v>9.25</v>
      </c>
      <c r="Q6" s="4">
        <f t="shared" si="3"/>
        <v>51.75</v>
      </c>
      <c r="S6" s="4">
        <v>26</v>
      </c>
      <c r="T6" s="4">
        <v>5</v>
      </c>
      <c r="U6" s="4">
        <v>6</v>
      </c>
      <c r="V6" s="4">
        <f t="shared" si="4"/>
        <v>4</v>
      </c>
      <c r="W6" s="4">
        <f t="shared" si="5"/>
        <v>22</v>
      </c>
    </row>
    <row r="7" spans="1:23">
      <c r="A7">
        <v>4</v>
      </c>
      <c r="B7">
        <v>1</v>
      </c>
      <c r="C7"/>
      <c r="D7">
        <v>87</v>
      </c>
      <c r="E7">
        <v>14</v>
      </c>
      <c r="F7" s="4" t="s">
        <v>1</v>
      </c>
      <c r="G7" s="4">
        <v>95</v>
      </c>
      <c r="H7" s="4">
        <v>5</v>
      </c>
      <c r="I7" s="4">
        <v>23</v>
      </c>
      <c r="J7" s="4">
        <f t="shared" si="0"/>
        <v>14.4</v>
      </c>
      <c r="K7" s="4">
        <f t="shared" si="1"/>
        <v>80.599999999999994</v>
      </c>
      <c r="M7" s="4">
        <v>60</v>
      </c>
      <c r="N7" s="4">
        <v>5</v>
      </c>
      <c r="O7" s="4">
        <v>15</v>
      </c>
      <c r="P7" s="4">
        <f t="shared" si="2"/>
        <v>9</v>
      </c>
      <c r="Q7" s="4">
        <f t="shared" si="3"/>
        <v>51</v>
      </c>
      <c r="S7" s="4">
        <v>25</v>
      </c>
      <c r="T7" s="4">
        <v>4</v>
      </c>
      <c r="U7" s="4">
        <v>10</v>
      </c>
      <c r="V7" s="4">
        <f t="shared" si="4"/>
        <v>3.75</v>
      </c>
      <c r="W7" s="4">
        <f t="shared" si="5"/>
        <v>21.25</v>
      </c>
    </row>
    <row r="8" spans="1:23">
      <c r="A8">
        <v>5</v>
      </c>
      <c r="B8">
        <v>1</v>
      </c>
      <c r="C8"/>
      <c r="D8">
        <v>86</v>
      </c>
      <c r="E8">
        <v>13</v>
      </c>
      <c r="G8" s="4">
        <v>94</v>
      </c>
      <c r="H8" s="4">
        <v>5</v>
      </c>
      <c r="I8" s="4">
        <v>23</v>
      </c>
      <c r="J8" s="4">
        <f t="shared" si="0"/>
        <v>14.2</v>
      </c>
      <c r="K8" s="4">
        <f t="shared" si="1"/>
        <v>79.8</v>
      </c>
      <c r="M8" s="4">
        <v>59</v>
      </c>
      <c r="N8" s="4">
        <v>5</v>
      </c>
      <c r="O8" s="4">
        <v>14</v>
      </c>
      <c r="P8" s="4">
        <f t="shared" si="2"/>
        <v>9</v>
      </c>
      <c r="Q8" s="4">
        <f t="shared" si="3"/>
        <v>50</v>
      </c>
      <c r="S8" s="4">
        <v>24</v>
      </c>
      <c r="T8" s="4">
        <v>5</v>
      </c>
      <c r="U8" s="4">
        <v>6</v>
      </c>
      <c r="V8" s="4">
        <f t="shared" si="4"/>
        <v>3.6</v>
      </c>
      <c r="W8" s="4">
        <f t="shared" si="5"/>
        <v>20.399999999999999</v>
      </c>
    </row>
    <row r="9" spans="1:23">
      <c r="A9">
        <v>6</v>
      </c>
      <c r="B9">
        <v>1</v>
      </c>
      <c r="C9"/>
      <c r="D9">
        <v>81</v>
      </c>
      <c r="E9">
        <v>13</v>
      </c>
      <c r="G9" s="4">
        <v>93</v>
      </c>
      <c r="H9" s="4">
        <v>5</v>
      </c>
      <c r="I9" s="4">
        <v>23</v>
      </c>
      <c r="J9" s="4">
        <f t="shared" si="0"/>
        <v>14</v>
      </c>
      <c r="K9" s="4">
        <f t="shared" si="1"/>
        <v>79</v>
      </c>
      <c r="M9" s="4">
        <v>58</v>
      </c>
      <c r="N9" s="4">
        <v>4</v>
      </c>
      <c r="O9" s="4">
        <v>23</v>
      </c>
      <c r="P9" s="4">
        <f t="shared" si="2"/>
        <v>8.75</v>
      </c>
      <c r="Q9" s="4">
        <f t="shared" si="3"/>
        <v>49.25</v>
      </c>
      <c r="S9" s="4">
        <v>23</v>
      </c>
      <c r="T9" s="4">
        <v>5</v>
      </c>
      <c r="U9" s="4">
        <v>5</v>
      </c>
      <c r="V9" s="4">
        <f t="shared" si="4"/>
        <v>3.6</v>
      </c>
      <c r="W9" s="4">
        <f t="shared" si="5"/>
        <v>19.399999999999999</v>
      </c>
    </row>
    <row r="10" spans="1:23">
      <c r="A10">
        <v>7</v>
      </c>
      <c r="B10">
        <v>1</v>
      </c>
      <c r="C10"/>
      <c r="D10">
        <v>80</v>
      </c>
      <c r="E10">
        <v>12</v>
      </c>
      <c r="G10" s="4">
        <v>92</v>
      </c>
      <c r="H10" s="4">
        <v>4</v>
      </c>
      <c r="I10" s="4">
        <v>36</v>
      </c>
      <c r="J10" s="4">
        <f t="shared" si="0"/>
        <v>14</v>
      </c>
      <c r="K10" s="4">
        <f t="shared" si="1"/>
        <v>78</v>
      </c>
      <c r="M10" s="4">
        <v>57</v>
      </c>
      <c r="N10" s="4">
        <v>5</v>
      </c>
      <c r="O10" s="4">
        <v>14</v>
      </c>
      <c r="P10" s="4">
        <f t="shared" si="2"/>
        <v>8.6</v>
      </c>
      <c r="Q10" s="4">
        <f t="shared" si="3"/>
        <v>48.4</v>
      </c>
      <c r="S10" s="4">
        <v>22</v>
      </c>
      <c r="T10" s="4">
        <v>5</v>
      </c>
      <c r="U10" s="4">
        <v>5</v>
      </c>
      <c r="V10" s="4">
        <f t="shared" si="4"/>
        <v>3.4</v>
      </c>
      <c r="W10" s="4">
        <f t="shared" si="5"/>
        <v>18.600000000000001</v>
      </c>
    </row>
    <row r="11" spans="1:23">
      <c r="A11">
        <v>8</v>
      </c>
      <c r="B11">
        <v>1.5</v>
      </c>
      <c r="C11"/>
      <c r="D11">
        <v>74</v>
      </c>
      <c r="E11">
        <v>12</v>
      </c>
      <c r="G11" s="4">
        <v>91</v>
      </c>
      <c r="H11" s="4">
        <v>5</v>
      </c>
      <c r="I11" s="4">
        <v>22</v>
      </c>
      <c r="J11" s="4">
        <f t="shared" si="0"/>
        <v>13.8</v>
      </c>
      <c r="K11" s="4">
        <f t="shared" si="1"/>
        <v>77.2</v>
      </c>
      <c r="M11" s="4">
        <v>56</v>
      </c>
      <c r="N11" s="4">
        <v>4</v>
      </c>
      <c r="O11" s="4">
        <v>22</v>
      </c>
      <c r="P11" s="4">
        <f t="shared" si="2"/>
        <v>8.5</v>
      </c>
      <c r="Q11" s="4">
        <f t="shared" si="3"/>
        <v>47.5</v>
      </c>
      <c r="S11" s="4">
        <v>21</v>
      </c>
      <c r="T11" s="4">
        <v>5</v>
      </c>
      <c r="U11" s="4">
        <v>5</v>
      </c>
      <c r="V11" s="4">
        <f t="shared" si="4"/>
        <v>3.2</v>
      </c>
      <c r="W11" s="4">
        <f t="shared" si="5"/>
        <v>17.8</v>
      </c>
    </row>
    <row r="12" spans="1:23">
      <c r="A12">
        <v>9</v>
      </c>
      <c r="B12">
        <v>1.5</v>
      </c>
      <c r="C12"/>
      <c r="D12">
        <v>73</v>
      </c>
      <c r="E12">
        <v>11</v>
      </c>
      <c r="G12" s="4">
        <v>90</v>
      </c>
      <c r="H12" s="78">
        <v>3</v>
      </c>
      <c r="I12" s="4">
        <v>49</v>
      </c>
      <c r="J12" s="4">
        <f t="shared" si="0"/>
        <v>13.666666666666666</v>
      </c>
      <c r="K12" s="4">
        <f t="shared" si="1"/>
        <v>76.333333333333329</v>
      </c>
      <c r="M12" s="4">
        <v>55</v>
      </c>
      <c r="N12" s="4">
        <v>5</v>
      </c>
      <c r="O12" s="4">
        <v>13</v>
      </c>
      <c r="P12" s="4">
        <f t="shared" si="2"/>
        <v>8.4</v>
      </c>
      <c r="Q12" s="4">
        <f t="shared" si="3"/>
        <v>46.6</v>
      </c>
      <c r="S12" s="4">
        <v>20</v>
      </c>
      <c r="T12" s="4">
        <v>4</v>
      </c>
      <c r="U12" s="4">
        <v>8</v>
      </c>
      <c r="V12" s="4">
        <f t="shared" si="4"/>
        <v>3</v>
      </c>
      <c r="W12" s="4">
        <f t="shared" si="5"/>
        <v>17</v>
      </c>
    </row>
    <row r="13" spans="1:23">
      <c r="A13">
        <v>10</v>
      </c>
      <c r="B13" s="54">
        <f t="shared" ref="B13:B32" si="6">VLOOKUP(A13,$S$3:$V$37,4,0)</f>
        <v>1.5</v>
      </c>
      <c r="C13"/>
      <c r="D13">
        <v>67</v>
      </c>
      <c r="E13">
        <v>11</v>
      </c>
      <c r="G13" s="4">
        <v>89</v>
      </c>
      <c r="H13" s="4">
        <v>5</v>
      </c>
      <c r="I13" s="4">
        <v>22</v>
      </c>
      <c r="J13" s="4">
        <f t="shared" si="0"/>
        <v>13.4</v>
      </c>
      <c r="K13" s="4">
        <f t="shared" si="1"/>
        <v>75.599999999999994</v>
      </c>
      <c r="M13" s="4">
        <v>54</v>
      </c>
      <c r="N13" s="4">
        <v>4</v>
      </c>
      <c r="O13" s="4">
        <v>21</v>
      </c>
      <c r="P13" s="4">
        <f t="shared" si="2"/>
        <v>8.25</v>
      </c>
      <c r="Q13" s="4">
        <f t="shared" si="3"/>
        <v>45.75</v>
      </c>
      <c r="S13" s="4">
        <v>19</v>
      </c>
      <c r="T13" s="4">
        <v>4</v>
      </c>
      <c r="U13" s="4">
        <v>7</v>
      </c>
      <c r="V13" s="4">
        <f t="shared" si="4"/>
        <v>3</v>
      </c>
      <c r="W13" s="4">
        <f t="shared" si="5"/>
        <v>16</v>
      </c>
    </row>
    <row r="14" spans="1:23">
      <c r="A14">
        <v>11</v>
      </c>
      <c r="B14" s="54">
        <f t="shared" si="6"/>
        <v>1.75</v>
      </c>
      <c r="C14"/>
      <c r="D14">
        <v>66</v>
      </c>
      <c r="E14">
        <v>10</v>
      </c>
      <c r="G14" s="4">
        <v>88</v>
      </c>
      <c r="H14" s="4">
        <v>5</v>
      </c>
      <c r="I14" s="4">
        <v>22</v>
      </c>
      <c r="J14" s="4">
        <f t="shared" si="0"/>
        <v>13.2</v>
      </c>
      <c r="K14" s="4">
        <f t="shared" si="1"/>
        <v>74.8</v>
      </c>
      <c r="M14" s="4">
        <v>53</v>
      </c>
      <c r="N14" s="4">
        <v>5</v>
      </c>
      <c r="O14" s="4">
        <v>13</v>
      </c>
      <c r="P14" s="4">
        <f t="shared" si="2"/>
        <v>8</v>
      </c>
      <c r="Q14" s="4">
        <f t="shared" si="3"/>
        <v>45</v>
      </c>
      <c r="S14" s="4">
        <v>18</v>
      </c>
      <c r="T14" s="4">
        <v>5</v>
      </c>
      <c r="U14" s="4">
        <v>4</v>
      </c>
      <c r="V14" s="4">
        <f t="shared" si="4"/>
        <v>2.8</v>
      </c>
      <c r="W14" s="4">
        <f t="shared" si="5"/>
        <v>15.2</v>
      </c>
    </row>
    <row r="15" spans="1:23">
      <c r="A15">
        <v>12</v>
      </c>
      <c r="B15" s="54">
        <f t="shared" si="6"/>
        <v>2</v>
      </c>
      <c r="C15"/>
      <c r="D15">
        <v>61</v>
      </c>
      <c r="E15">
        <v>10</v>
      </c>
      <c r="G15" s="4">
        <v>87</v>
      </c>
      <c r="H15" s="4">
        <v>5</v>
      </c>
      <c r="I15" s="4">
        <v>21</v>
      </c>
      <c r="J15" s="4">
        <f t="shared" si="0"/>
        <v>13.2</v>
      </c>
      <c r="K15" s="4">
        <f t="shared" si="1"/>
        <v>73.8</v>
      </c>
      <c r="M15" s="4">
        <v>52</v>
      </c>
      <c r="N15" s="4">
        <v>5</v>
      </c>
      <c r="O15" s="4">
        <v>13</v>
      </c>
      <c r="P15" s="4">
        <f t="shared" si="2"/>
        <v>7.8</v>
      </c>
      <c r="Q15" s="4">
        <f t="shared" si="3"/>
        <v>44.2</v>
      </c>
      <c r="S15" s="4">
        <v>17</v>
      </c>
      <c r="T15" s="4">
        <v>5</v>
      </c>
      <c r="U15" s="4">
        <v>4</v>
      </c>
      <c r="V15" s="4">
        <f t="shared" si="4"/>
        <v>2.6</v>
      </c>
      <c r="W15" s="4">
        <f t="shared" si="5"/>
        <v>14.4</v>
      </c>
    </row>
    <row r="16" spans="1:23">
      <c r="A16">
        <v>13</v>
      </c>
      <c r="B16" s="54">
        <f t="shared" si="6"/>
        <v>2</v>
      </c>
      <c r="C16"/>
      <c r="D16">
        <v>60</v>
      </c>
      <c r="E16">
        <v>9</v>
      </c>
      <c r="G16" s="4">
        <v>86</v>
      </c>
      <c r="H16" s="4">
        <v>4</v>
      </c>
      <c r="I16" s="4">
        <v>34</v>
      </c>
      <c r="J16" s="4">
        <f t="shared" si="0"/>
        <v>13</v>
      </c>
      <c r="K16" s="4">
        <f t="shared" si="1"/>
        <v>73</v>
      </c>
      <c r="M16" s="4">
        <v>51</v>
      </c>
      <c r="N16" s="4">
        <v>5</v>
      </c>
      <c r="O16" s="4">
        <v>12</v>
      </c>
      <c r="P16" s="4">
        <f t="shared" si="2"/>
        <v>7.8</v>
      </c>
      <c r="Q16" s="4">
        <f t="shared" si="3"/>
        <v>43.2</v>
      </c>
      <c r="S16" s="4">
        <v>16</v>
      </c>
      <c r="T16" s="4">
        <v>4</v>
      </c>
      <c r="U16" s="4">
        <v>6</v>
      </c>
      <c r="V16" s="4">
        <f t="shared" si="4"/>
        <v>2.5</v>
      </c>
      <c r="W16" s="4">
        <f t="shared" si="5"/>
        <v>13.5</v>
      </c>
    </row>
    <row r="17" spans="1:23">
      <c r="A17">
        <v>14</v>
      </c>
      <c r="B17" s="54">
        <f t="shared" si="6"/>
        <v>2.1666666666666665</v>
      </c>
      <c r="C17"/>
      <c r="D17">
        <v>54</v>
      </c>
      <c r="E17">
        <v>9</v>
      </c>
      <c r="G17" s="4">
        <v>85</v>
      </c>
      <c r="H17" s="4">
        <v>5</v>
      </c>
      <c r="I17" s="4">
        <v>21</v>
      </c>
      <c r="J17" s="4">
        <f t="shared" si="0"/>
        <v>12.8</v>
      </c>
      <c r="K17" s="4">
        <f t="shared" si="1"/>
        <v>72.2</v>
      </c>
      <c r="M17" s="4">
        <v>50</v>
      </c>
      <c r="N17" s="4">
        <v>4</v>
      </c>
      <c r="O17" s="4">
        <v>20</v>
      </c>
      <c r="P17" s="4">
        <f t="shared" si="2"/>
        <v>7.5</v>
      </c>
      <c r="Q17" s="4">
        <f t="shared" si="3"/>
        <v>42.5</v>
      </c>
      <c r="S17" s="4">
        <v>15</v>
      </c>
      <c r="T17" s="4">
        <v>5</v>
      </c>
      <c r="U17" s="4">
        <v>3</v>
      </c>
      <c r="V17" s="4">
        <f t="shared" si="4"/>
        <v>2.4</v>
      </c>
      <c r="W17" s="4">
        <f t="shared" si="5"/>
        <v>12.6</v>
      </c>
    </row>
    <row r="18" spans="1:23">
      <c r="A18">
        <v>15</v>
      </c>
      <c r="B18" s="54">
        <f t="shared" si="6"/>
        <v>2.4</v>
      </c>
      <c r="C18"/>
      <c r="D18">
        <v>53</v>
      </c>
      <c r="E18">
        <v>8</v>
      </c>
      <c r="G18" s="4">
        <v>84</v>
      </c>
      <c r="H18" s="4">
        <v>4</v>
      </c>
      <c r="I18" s="4">
        <v>33</v>
      </c>
      <c r="J18" s="4">
        <f t="shared" si="0"/>
        <v>12.75</v>
      </c>
      <c r="K18" s="4">
        <f t="shared" si="1"/>
        <v>71.25</v>
      </c>
      <c r="M18" s="4">
        <v>49</v>
      </c>
      <c r="N18" s="4">
        <v>5</v>
      </c>
      <c r="O18" s="4">
        <v>12</v>
      </c>
      <c r="P18" s="4">
        <f t="shared" si="2"/>
        <v>7.4</v>
      </c>
      <c r="Q18" s="4">
        <f t="shared" si="3"/>
        <v>41.6</v>
      </c>
      <c r="S18" s="4">
        <v>14</v>
      </c>
      <c r="T18" s="4">
        <v>6</v>
      </c>
      <c r="U18" s="4">
        <v>1</v>
      </c>
      <c r="V18" s="4">
        <f t="shared" si="4"/>
        <v>2.1666666666666665</v>
      </c>
      <c r="W18" s="4">
        <f t="shared" si="5"/>
        <v>11.833333333333334</v>
      </c>
    </row>
    <row r="19" spans="1:23">
      <c r="A19">
        <v>16</v>
      </c>
      <c r="B19" s="54">
        <f t="shared" si="6"/>
        <v>2.5</v>
      </c>
      <c r="C19"/>
      <c r="D19">
        <v>47</v>
      </c>
      <c r="E19">
        <v>8</v>
      </c>
      <c r="G19" s="4">
        <v>83</v>
      </c>
      <c r="H19" s="4">
        <v>5</v>
      </c>
      <c r="I19" s="4">
        <v>20</v>
      </c>
      <c r="J19" s="4">
        <f t="shared" si="0"/>
        <v>12.6</v>
      </c>
      <c r="K19" s="4">
        <f t="shared" si="1"/>
        <v>70.400000000000006</v>
      </c>
      <c r="M19" s="4">
        <v>48</v>
      </c>
      <c r="N19" s="4">
        <v>5</v>
      </c>
      <c r="O19" s="4">
        <v>12</v>
      </c>
      <c r="P19" s="4">
        <f t="shared" si="2"/>
        <v>7.2</v>
      </c>
      <c r="Q19" s="4">
        <f t="shared" si="3"/>
        <v>40.799999999999997</v>
      </c>
      <c r="S19" s="4">
        <v>13</v>
      </c>
      <c r="T19" s="4">
        <v>5</v>
      </c>
      <c r="U19" s="4">
        <v>3</v>
      </c>
      <c r="V19" s="4">
        <f t="shared" si="4"/>
        <v>2</v>
      </c>
      <c r="W19" s="4">
        <f t="shared" si="5"/>
        <v>11</v>
      </c>
    </row>
    <row r="20" spans="1:23">
      <c r="A20">
        <v>17</v>
      </c>
      <c r="B20" s="54">
        <f t="shared" si="6"/>
        <v>2.6</v>
      </c>
      <c r="C20"/>
      <c r="D20">
        <v>46</v>
      </c>
      <c r="E20">
        <v>7</v>
      </c>
      <c r="G20" s="4">
        <v>82</v>
      </c>
      <c r="H20" s="78">
        <v>3</v>
      </c>
      <c r="I20" s="4">
        <v>45</v>
      </c>
      <c r="J20" s="4">
        <f t="shared" si="0"/>
        <v>12.333333333333334</v>
      </c>
      <c r="K20" s="4">
        <f t="shared" si="1"/>
        <v>69.666666666666671</v>
      </c>
      <c r="M20" s="4">
        <v>47</v>
      </c>
      <c r="N20" s="4">
        <v>5</v>
      </c>
      <c r="O20" s="4">
        <v>11</v>
      </c>
      <c r="P20" s="4">
        <f t="shared" si="2"/>
        <v>7.2</v>
      </c>
      <c r="Q20" s="4">
        <f t="shared" si="3"/>
        <v>39.799999999999997</v>
      </c>
      <c r="S20" s="4">
        <v>12</v>
      </c>
      <c r="T20" s="4">
        <v>4</v>
      </c>
      <c r="U20" s="4">
        <v>4</v>
      </c>
      <c r="V20" s="4">
        <f t="shared" si="4"/>
        <v>2</v>
      </c>
      <c r="W20" s="4">
        <f t="shared" si="5"/>
        <v>10</v>
      </c>
    </row>
    <row r="21" spans="1:23">
      <c r="A21">
        <v>18</v>
      </c>
      <c r="B21" s="54">
        <f t="shared" si="6"/>
        <v>2.8</v>
      </c>
      <c r="C21"/>
      <c r="D21">
        <v>41</v>
      </c>
      <c r="E21">
        <v>7</v>
      </c>
      <c r="G21" s="4">
        <v>81</v>
      </c>
      <c r="H21" s="4">
        <v>5</v>
      </c>
      <c r="I21" s="4">
        <v>20</v>
      </c>
      <c r="J21" s="4">
        <f t="shared" si="0"/>
        <v>12.2</v>
      </c>
      <c r="K21" s="4">
        <f t="shared" si="1"/>
        <v>68.8</v>
      </c>
      <c r="M21" s="4">
        <v>46</v>
      </c>
      <c r="N21" s="4">
        <v>5</v>
      </c>
      <c r="O21" s="4">
        <v>11</v>
      </c>
      <c r="P21" s="4">
        <f t="shared" si="2"/>
        <v>7</v>
      </c>
      <c r="Q21" s="4">
        <f t="shared" si="3"/>
        <v>39</v>
      </c>
      <c r="S21" s="4">
        <v>11</v>
      </c>
      <c r="T21" s="4">
        <v>4</v>
      </c>
      <c r="U21" s="4">
        <v>4</v>
      </c>
      <c r="V21" s="4">
        <f t="shared" si="4"/>
        <v>1.75</v>
      </c>
      <c r="W21" s="4">
        <f t="shared" si="5"/>
        <v>9.25</v>
      </c>
    </row>
    <row r="22" spans="1:23">
      <c r="A22">
        <v>19</v>
      </c>
      <c r="B22" s="54">
        <f t="shared" si="6"/>
        <v>3</v>
      </c>
      <c r="C22"/>
      <c r="D22">
        <v>40</v>
      </c>
      <c r="E22">
        <v>6</v>
      </c>
      <c r="G22" s="4">
        <v>80</v>
      </c>
      <c r="H22" s="4">
        <v>5</v>
      </c>
      <c r="I22" s="4">
        <v>20</v>
      </c>
      <c r="J22" s="4">
        <f t="shared" si="0"/>
        <v>12</v>
      </c>
      <c r="K22" s="4">
        <f t="shared" si="1"/>
        <v>68</v>
      </c>
      <c r="M22" s="4">
        <v>45</v>
      </c>
      <c r="N22" s="4">
        <v>5</v>
      </c>
      <c r="O22" s="4">
        <v>11</v>
      </c>
      <c r="P22" s="4">
        <f t="shared" si="2"/>
        <v>6.8</v>
      </c>
      <c r="Q22" s="4">
        <f t="shared" si="3"/>
        <v>38.200000000000003</v>
      </c>
      <c r="S22" s="4">
        <v>10</v>
      </c>
      <c r="T22" s="4">
        <v>4</v>
      </c>
      <c r="U22" s="4">
        <v>4</v>
      </c>
      <c r="V22" s="4">
        <f t="shared" si="4"/>
        <v>1.5</v>
      </c>
      <c r="W22" s="4">
        <f t="shared" si="5"/>
        <v>8.5</v>
      </c>
    </row>
    <row r="23" spans="1:23">
      <c r="A23">
        <v>20</v>
      </c>
      <c r="B23" s="54">
        <f t="shared" si="6"/>
        <v>3</v>
      </c>
      <c r="C23"/>
      <c r="D23">
        <v>34</v>
      </c>
      <c r="E23">
        <v>6</v>
      </c>
      <c r="G23" s="4">
        <v>79</v>
      </c>
      <c r="H23" s="4">
        <v>5</v>
      </c>
      <c r="I23" s="4">
        <v>19</v>
      </c>
      <c r="J23" s="4">
        <f t="shared" si="0"/>
        <v>12</v>
      </c>
      <c r="K23" s="4">
        <f t="shared" si="1"/>
        <v>67</v>
      </c>
      <c r="M23" s="4">
        <v>44</v>
      </c>
      <c r="N23" s="4">
        <v>5</v>
      </c>
      <c r="O23" s="4">
        <v>11</v>
      </c>
      <c r="P23" s="4">
        <f t="shared" si="2"/>
        <v>6.6</v>
      </c>
      <c r="Q23" s="4">
        <f t="shared" si="3"/>
        <v>37.4</v>
      </c>
      <c r="S23" s="4">
        <v>9</v>
      </c>
      <c r="T23" s="79"/>
      <c r="V23" s="4" t="str">
        <f t="shared" si="4"/>
        <v/>
      </c>
      <c r="W23" s="4" t="e">
        <f t="shared" si="5"/>
        <v>#VALUE!</v>
      </c>
    </row>
    <row r="24" spans="1:23">
      <c r="A24">
        <v>21</v>
      </c>
      <c r="B24" s="54">
        <f t="shared" si="6"/>
        <v>3.2</v>
      </c>
      <c r="C24"/>
      <c r="D24">
        <v>33</v>
      </c>
      <c r="E24">
        <v>5</v>
      </c>
      <c r="F24"/>
      <c r="G24" s="4">
        <v>78</v>
      </c>
      <c r="H24" s="4">
        <v>5</v>
      </c>
      <c r="I24" s="4">
        <v>19</v>
      </c>
      <c r="J24" s="4">
        <f t="shared" si="0"/>
        <v>11.8</v>
      </c>
      <c r="K24" s="4">
        <f t="shared" si="1"/>
        <v>66.2</v>
      </c>
      <c r="M24" s="4">
        <v>43</v>
      </c>
      <c r="N24" s="4">
        <v>4</v>
      </c>
      <c r="O24" s="4">
        <v>17</v>
      </c>
      <c r="P24" s="4">
        <f t="shared" si="2"/>
        <v>6.5</v>
      </c>
      <c r="Q24" s="4">
        <f t="shared" si="3"/>
        <v>36.5</v>
      </c>
      <c r="S24" s="4">
        <v>8</v>
      </c>
      <c r="V24" s="4" t="str">
        <f t="shared" si="4"/>
        <v/>
      </c>
      <c r="W24" s="4" t="e">
        <f t="shared" si="5"/>
        <v>#VALUE!</v>
      </c>
    </row>
    <row r="25" spans="1:23">
      <c r="A25">
        <v>22</v>
      </c>
      <c r="B25" s="54">
        <f t="shared" si="6"/>
        <v>3.4</v>
      </c>
      <c r="C25"/>
      <c r="D25">
        <v>27</v>
      </c>
      <c r="E25">
        <v>5</v>
      </c>
      <c r="G25" s="4">
        <v>77</v>
      </c>
      <c r="H25" s="4">
        <v>4</v>
      </c>
      <c r="I25" s="4">
        <v>30</v>
      </c>
      <c r="J25" s="4">
        <f t="shared" si="0"/>
        <v>11.75</v>
      </c>
      <c r="K25" s="4">
        <f t="shared" si="1"/>
        <v>65.25</v>
      </c>
      <c r="M25" s="4">
        <v>42</v>
      </c>
      <c r="N25" s="78">
        <v>3</v>
      </c>
      <c r="O25" s="4">
        <v>23</v>
      </c>
      <c r="P25" s="4">
        <f t="shared" si="2"/>
        <v>6.333333333333333</v>
      </c>
      <c r="Q25" s="4">
        <f t="shared" si="3"/>
        <v>35.666666666666664</v>
      </c>
      <c r="S25" s="4">
        <v>7</v>
      </c>
      <c r="V25" s="4" t="str">
        <f t="shared" si="4"/>
        <v/>
      </c>
      <c r="W25" s="4" t="e">
        <f t="shared" si="5"/>
        <v>#VALUE!</v>
      </c>
    </row>
    <row r="26" spans="1:23">
      <c r="A26">
        <v>23</v>
      </c>
      <c r="B26" s="54">
        <f t="shared" si="6"/>
        <v>3.6</v>
      </c>
      <c r="C26"/>
      <c r="D26">
        <v>26</v>
      </c>
      <c r="E26">
        <v>4</v>
      </c>
      <c r="G26" s="4">
        <v>76</v>
      </c>
      <c r="H26" s="4">
        <v>5</v>
      </c>
      <c r="I26" s="4">
        <v>19</v>
      </c>
      <c r="J26" s="4">
        <f t="shared" si="0"/>
        <v>11.4</v>
      </c>
      <c r="K26" s="4">
        <f t="shared" si="1"/>
        <v>64.599999999999994</v>
      </c>
      <c r="M26" s="4">
        <v>41</v>
      </c>
      <c r="N26" s="4">
        <v>5</v>
      </c>
      <c r="O26" s="4">
        <v>10</v>
      </c>
      <c r="P26" s="4">
        <f t="shared" si="2"/>
        <v>6.2</v>
      </c>
      <c r="Q26" s="4">
        <f t="shared" si="3"/>
        <v>34.799999999999997</v>
      </c>
      <c r="S26" s="4">
        <v>6</v>
      </c>
      <c r="V26" s="4" t="str">
        <f t="shared" si="4"/>
        <v/>
      </c>
      <c r="W26" s="4" t="e">
        <f t="shared" si="5"/>
        <v>#VALUE!</v>
      </c>
    </row>
    <row r="27" spans="1:23">
      <c r="A27">
        <v>24</v>
      </c>
      <c r="B27" s="54">
        <f t="shared" si="6"/>
        <v>3.6</v>
      </c>
      <c r="C27"/>
      <c r="D27">
        <v>21</v>
      </c>
      <c r="E27">
        <v>4</v>
      </c>
      <c r="G27" s="4">
        <v>75</v>
      </c>
      <c r="H27" s="4">
        <v>5</v>
      </c>
      <c r="I27" s="4">
        <v>18</v>
      </c>
      <c r="J27" s="4">
        <f t="shared" si="0"/>
        <v>11.4</v>
      </c>
      <c r="K27" s="4">
        <f t="shared" si="1"/>
        <v>63.6</v>
      </c>
      <c r="M27" s="4">
        <v>40</v>
      </c>
      <c r="N27" s="4">
        <v>5</v>
      </c>
      <c r="O27" s="4">
        <v>10</v>
      </c>
      <c r="P27" s="4">
        <f t="shared" si="2"/>
        <v>6</v>
      </c>
      <c r="Q27" s="4">
        <f t="shared" si="3"/>
        <v>34</v>
      </c>
      <c r="S27" s="4">
        <v>5</v>
      </c>
      <c r="V27" s="4" t="str">
        <f t="shared" si="4"/>
        <v/>
      </c>
      <c r="W27" s="4" t="e">
        <f t="shared" si="5"/>
        <v>#VALUE!</v>
      </c>
    </row>
    <row r="28" spans="1:23">
      <c r="A28">
        <v>25</v>
      </c>
      <c r="B28" s="54">
        <f t="shared" si="6"/>
        <v>3.75</v>
      </c>
      <c r="C28"/>
      <c r="D28">
        <v>20</v>
      </c>
      <c r="E28">
        <v>3</v>
      </c>
      <c r="G28" s="4">
        <v>74</v>
      </c>
      <c r="H28" s="4">
        <v>5</v>
      </c>
      <c r="I28" s="4">
        <v>18</v>
      </c>
      <c r="J28" s="4">
        <f t="shared" si="0"/>
        <v>11.2</v>
      </c>
      <c r="K28" s="4">
        <f t="shared" si="1"/>
        <v>62.8</v>
      </c>
      <c r="M28" s="4">
        <v>39</v>
      </c>
      <c r="N28" s="4">
        <v>4</v>
      </c>
      <c r="O28" s="4">
        <v>15</v>
      </c>
      <c r="P28" s="4">
        <f t="shared" si="2"/>
        <v>6</v>
      </c>
      <c r="Q28" s="4">
        <f t="shared" si="3"/>
        <v>33</v>
      </c>
      <c r="S28" s="4">
        <v>4</v>
      </c>
      <c r="V28" s="4" t="str">
        <f t="shared" si="4"/>
        <v/>
      </c>
      <c r="W28" s="4" t="e">
        <f t="shared" si="5"/>
        <v>#VALUE!</v>
      </c>
    </row>
    <row r="29" spans="1:23">
      <c r="A29">
        <v>26</v>
      </c>
      <c r="B29" s="54">
        <f t="shared" si="6"/>
        <v>4</v>
      </c>
      <c r="C29"/>
      <c r="D29">
        <v>14</v>
      </c>
      <c r="E29">
        <v>3</v>
      </c>
      <c r="G29" s="4">
        <v>73</v>
      </c>
      <c r="H29" s="4">
        <v>5</v>
      </c>
      <c r="I29" s="4">
        <v>18</v>
      </c>
      <c r="J29" s="4">
        <f t="shared" si="0"/>
        <v>11</v>
      </c>
      <c r="K29" s="4">
        <f t="shared" si="1"/>
        <v>62</v>
      </c>
      <c r="M29" s="4">
        <v>38</v>
      </c>
      <c r="N29" s="4">
        <v>5</v>
      </c>
      <c r="O29" s="4">
        <v>9</v>
      </c>
      <c r="P29" s="4">
        <f t="shared" si="2"/>
        <v>5.8</v>
      </c>
      <c r="Q29" s="4">
        <f t="shared" si="3"/>
        <v>32.200000000000003</v>
      </c>
      <c r="S29" s="4">
        <v>3</v>
      </c>
      <c r="V29" s="4" t="str">
        <f t="shared" si="4"/>
        <v/>
      </c>
      <c r="W29" s="4" t="e">
        <f t="shared" si="5"/>
        <v>#VALUE!</v>
      </c>
    </row>
    <row r="30" spans="1:23">
      <c r="A30">
        <v>27</v>
      </c>
      <c r="B30" s="54">
        <f t="shared" si="6"/>
        <v>4.25</v>
      </c>
      <c r="C30"/>
      <c r="D30">
        <v>9</v>
      </c>
      <c r="E30" s="54">
        <v>2</v>
      </c>
      <c r="G30" s="4">
        <v>72</v>
      </c>
      <c r="H30" s="4">
        <v>5</v>
      </c>
      <c r="I30" s="4">
        <v>18</v>
      </c>
      <c r="J30" s="4">
        <f t="shared" si="0"/>
        <v>10.8</v>
      </c>
      <c r="K30" s="4">
        <f t="shared" si="1"/>
        <v>61.2</v>
      </c>
      <c r="M30" s="4">
        <v>37</v>
      </c>
      <c r="N30" s="4">
        <v>5</v>
      </c>
      <c r="O30" s="4">
        <v>9</v>
      </c>
      <c r="P30" s="4">
        <f t="shared" si="2"/>
        <v>5.6</v>
      </c>
      <c r="Q30" s="4">
        <f t="shared" si="3"/>
        <v>31.4</v>
      </c>
      <c r="S30" s="4">
        <v>2</v>
      </c>
      <c r="V30" s="4" t="str">
        <f t="shared" si="4"/>
        <v/>
      </c>
      <c r="W30" s="4" t="e">
        <f t="shared" si="5"/>
        <v>#VALUE!</v>
      </c>
    </row>
    <row r="31" spans="1:23">
      <c r="A31">
        <v>28</v>
      </c>
      <c r="B31" s="54">
        <f t="shared" si="6"/>
        <v>4.2</v>
      </c>
      <c r="C31"/>
      <c r="D31">
        <v>8</v>
      </c>
      <c r="E31" s="54">
        <v>2</v>
      </c>
      <c r="G31" s="4">
        <v>71</v>
      </c>
      <c r="H31" s="4">
        <v>5</v>
      </c>
      <c r="I31" s="4">
        <v>17</v>
      </c>
      <c r="J31" s="4">
        <f t="shared" si="0"/>
        <v>10.8</v>
      </c>
      <c r="K31" s="4">
        <f t="shared" si="1"/>
        <v>60.2</v>
      </c>
      <c r="M31" s="4">
        <v>36</v>
      </c>
      <c r="N31" s="4">
        <v>5</v>
      </c>
      <c r="O31" s="4">
        <v>9</v>
      </c>
      <c r="P31" s="4">
        <f t="shared" si="2"/>
        <v>5.4</v>
      </c>
      <c r="Q31" s="4">
        <f t="shared" si="3"/>
        <v>30.6</v>
      </c>
      <c r="S31" s="4">
        <v>1</v>
      </c>
      <c r="V31" s="4" t="str">
        <f t="shared" si="4"/>
        <v/>
      </c>
      <c r="W31" s="4" t="e">
        <f t="shared" si="5"/>
        <v>#VALUE!</v>
      </c>
    </row>
    <row r="32" spans="1:23">
      <c r="A32">
        <v>29</v>
      </c>
      <c r="B32" s="54">
        <f t="shared" si="6"/>
        <v>4.4000000000000004</v>
      </c>
      <c r="E32"/>
      <c r="F32"/>
      <c r="G32" s="4">
        <v>70</v>
      </c>
      <c r="H32" s="4">
        <v>5</v>
      </c>
      <c r="I32" s="4">
        <v>17</v>
      </c>
      <c r="J32" s="4">
        <f t="shared" si="0"/>
        <v>10.6</v>
      </c>
      <c r="K32" s="4">
        <f t="shared" si="1"/>
        <v>59.4</v>
      </c>
      <c r="M32" s="4">
        <v>35</v>
      </c>
      <c r="N32" s="4">
        <v>5</v>
      </c>
      <c r="O32" s="4">
        <v>8</v>
      </c>
      <c r="P32" s="4">
        <f t="shared" si="2"/>
        <v>5.4</v>
      </c>
      <c r="Q32" s="4">
        <f t="shared" si="3"/>
        <v>29.6</v>
      </c>
      <c r="S32" s="4" t="s">
        <v>1</v>
      </c>
    </row>
    <row r="33" spans="1:48">
      <c r="A33">
        <v>30</v>
      </c>
      <c r="B33" s="54">
        <f t="shared" ref="B33:B67" si="7">VLOOKUP(A33,$M$3:$P$37,4,0)</f>
        <v>4.5999999999999996</v>
      </c>
      <c r="E33"/>
      <c r="F33"/>
      <c r="G33" s="4">
        <v>69</v>
      </c>
      <c r="H33" s="4">
        <v>4</v>
      </c>
      <c r="I33" s="4">
        <v>27</v>
      </c>
      <c r="J33" s="4">
        <f t="shared" si="0"/>
        <v>10.5</v>
      </c>
      <c r="K33" s="4">
        <f t="shared" si="1"/>
        <v>58.5</v>
      </c>
      <c r="M33" s="4">
        <v>34</v>
      </c>
      <c r="N33" s="4">
        <v>6</v>
      </c>
      <c r="O33" s="4">
        <v>3</v>
      </c>
      <c r="P33" s="4">
        <f t="shared" si="2"/>
        <v>5.166666666666667</v>
      </c>
      <c r="Q33" s="4">
        <f t="shared" si="3"/>
        <v>28.833333333333332</v>
      </c>
      <c r="S33" s="4" t="s">
        <v>1</v>
      </c>
    </row>
    <row r="34" spans="1:48">
      <c r="A34">
        <v>31</v>
      </c>
      <c r="B34" s="54">
        <f t="shared" si="7"/>
        <v>4.75</v>
      </c>
      <c r="E34"/>
      <c r="F34"/>
      <c r="G34" s="4">
        <v>68</v>
      </c>
      <c r="H34" s="4">
        <v>4</v>
      </c>
      <c r="I34" s="4">
        <v>27</v>
      </c>
      <c r="J34" s="4">
        <f t="shared" si="0"/>
        <v>10.25</v>
      </c>
      <c r="K34" s="4">
        <f t="shared" si="1"/>
        <v>57.75</v>
      </c>
      <c r="M34" s="4">
        <v>33</v>
      </c>
      <c r="N34" s="4">
        <v>5</v>
      </c>
      <c r="O34" s="4">
        <v>8</v>
      </c>
      <c r="P34" s="4">
        <f t="shared" si="2"/>
        <v>5</v>
      </c>
      <c r="Q34" s="4">
        <f t="shared" si="3"/>
        <v>28</v>
      </c>
      <c r="S34" s="4" t="s">
        <v>1</v>
      </c>
    </row>
    <row r="35" spans="1:48">
      <c r="A35">
        <v>32</v>
      </c>
      <c r="B35" s="54">
        <f t="shared" si="7"/>
        <v>4.8</v>
      </c>
      <c r="F35" s="77"/>
      <c r="G35" s="4">
        <v>67</v>
      </c>
      <c r="H35" s="4">
        <v>5</v>
      </c>
      <c r="I35" s="4">
        <v>16</v>
      </c>
      <c r="J35" s="4">
        <f t="shared" si="0"/>
        <v>10.199999999999999</v>
      </c>
      <c r="K35" s="4">
        <f t="shared" si="1"/>
        <v>56.8</v>
      </c>
      <c r="M35" s="4">
        <v>32</v>
      </c>
      <c r="N35" s="4">
        <v>5</v>
      </c>
      <c r="O35" s="4">
        <v>8</v>
      </c>
      <c r="P35" s="4">
        <f t="shared" si="2"/>
        <v>4.8</v>
      </c>
      <c r="Q35" s="4">
        <f t="shared" si="3"/>
        <v>27.2</v>
      </c>
    </row>
    <row r="36" spans="1:48">
      <c r="A36">
        <v>33</v>
      </c>
      <c r="B36" s="54">
        <f t="shared" si="7"/>
        <v>5</v>
      </c>
      <c r="F36" s="77"/>
      <c r="G36" s="4">
        <v>66</v>
      </c>
      <c r="H36" s="4">
        <v>5</v>
      </c>
      <c r="I36" s="4">
        <v>16</v>
      </c>
      <c r="J36" s="4">
        <f t="shared" si="0"/>
        <v>10</v>
      </c>
      <c r="K36" s="4">
        <f t="shared" si="1"/>
        <v>56</v>
      </c>
      <c r="M36" s="4">
        <v>31</v>
      </c>
      <c r="N36" s="4">
        <v>4</v>
      </c>
      <c r="O36" s="4">
        <v>12</v>
      </c>
      <c r="P36" s="4">
        <f t="shared" si="2"/>
        <v>4.75</v>
      </c>
      <c r="Q36" s="4">
        <f t="shared" si="3"/>
        <v>26.25</v>
      </c>
    </row>
    <row r="37" spans="1:48">
      <c r="A37">
        <v>34</v>
      </c>
      <c r="B37" s="54">
        <f t="shared" si="7"/>
        <v>5.166666666666667</v>
      </c>
      <c r="F37" s="77"/>
      <c r="G37" s="4">
        <v>65</v>
      </c>
      <c r="H37" s="4">
        <v>5</v>
      </c>
      <c r="I37" s="4">
        <v>16</v>
      </c>
      <c r="J37" s="4">
        <f t="shared" si="0"/>
        <v>9.8000000000000007</v>
      </c>
      <c r="K37" s="4">
        <f t="shared" si="1"/>
        <v>55.2</v>
      </c>
      <c r="M37" s="4">
        <v>30</v>
      </c>
      <c r="N37" s="4">
        <v>5</v>
      </c>
      <c r="O37" s="4">
        <v>7</v>
      </c>
      <c r="P37" s="4">
        <f t="shared" si="2"/>
        <v>4.5999999999999996</v>
      </c>
      <c r="Q37" s="4">
        <f t="shared" si="3"/>
        <v>25.4</v>
      </c>
    </row>
    <row r="38" spans="1:48">
      <c r="A38">
        <v>35</v>
      </c>
      <c r="B38" s="54">
        <f t="shared" si="7"/>
        <v>5.4</v>
      </c>
      <c r="F38"/>
      <c r="G38"/>
    </row>
    <row r="39" spans="1:48">
      <c r="A39">
        <v>36</v>
      </c>
      <c r="B39" s="54">
        <f t="shared" si="7"/>
        <v>5.4</v>
      </c>
    </row>
    <row r="40" spans="1:48">
      <c r="A40">
        <v>37</v>
      </c>
      <c r="B40" s="54">
        <f t="shared" si="7"/>
        <v>5.6</v>
      </c>
      <c r="M40" s="79"/>
      <c r="U40" s="79"/>
      <c r="AK40" s="79"/>
      <c r="AM40"/>
      <c r="AV40"/>
    </row>
    <row r="41" spans="1:48">
      <c r="A41">
        <v>38</v>
      </c>
      <c r="B41" s="54">
        <f t="shared" si="7"/>
        <v>5.8</v>
      </c>
      <c r="M41" s="79"/>
      <c r="U41" s="79"/>
      <c r="AK41" s="79"/>
      <c r="AM41"/>
      <c r="AV41"/>
    </row>
    <row r="42" spans="1:48">
      <c r="A42">
        <v>39</v>
      </c>
      <c r="B42" s="54">
        <f t="shared" si="7"/>
        <v>6</v>
      </c>
      <c r="M42" s="79"/>
      <c r="U42" s="79"/>
      <c r="AK42" s="79"/>
      <c r="AM42"/>
      <c r="AV42"/>
    </row>
    <row r="43" spans="1:48">
      <c r="A43">
        <v>40</v>
      </c>
      <c r="B43" s="54">
        <f t="shared" si="7"/>
        <v>6</v>
      </c>
      <c r="M43" s="79"/>
      <c r="U43" s="79"/>
      <c r="AK43" s="79"/>
      <c r="AM43"/>
      <c r="AV43"/>
    </row>
    <row r="44" spans="1:48">
      <c r="A44">
        <v>41</v>
      </c>
      <c r="B44" s="54">
        <f t="shared" si="7"/>
        <v>6.2</v>
      </c>
      <c r="M44" s="79"/>
      <c r="U44" s="79"/>
      <c r="AK44" s="79"/>
      <c r="AM44"/>
      <c r="AV44"/>
    </row>
    <row r="45" spans="1:48">
      <c r="A45">
        <v>42</v>
      </c>
      <c r="B45" s="54">
        <f t="shared" si="7"/>
        <v>6.333333333333333</v>
      </c>
      <c r="M45" s="79"/>
      <c r="U45" s="79"/>
      <c r="AK45" s="79"/>
      <c r="AM45"/>
      <c r="AV45"/>
    </row>
    <row r="46" spans="1:48">
      <c r="A46">
        <v>43</v>
      </c>
      <c r="B46" s="54">
        <f t="shared" si="7"/>
        <v>6.5</v>
      </c>
      <c r="M46" s="79"/>
      <c r="U46" s="79"/>
      <c r="AK46" s="79"/>
      <c r="AM46"/>
      <c r="AV46"/>
    </row>
    <row r="47" spans="1:48">
      <c r="A47">
        <v>44</v>
      </c>
      <c r="B47" s="54">
        <f t="shared" si="7"/>
        <v>6.6</v>
      </c>
      <c r="M47" s="79"/>
      <c r="U47" s="79"/>
      <c r="AK47" s="79"/>
      <c r="AM47"/>
      <c r="AV47"/>
    </row>
    <row r="48" spans="1:48">
      <c r="A48">
        <v>45</v>
      </c>
      <c r="B48" s="54">
        <f t="shared" si="7"/>
        <v>6.8</v>
      </c>
      <c r="M48" s="79"/>
      <c r="U48" s="79"/>
      <c r="AK48" s="79"/>
      <c r="AM48"/>
      <c r="AV48"/>
    </row>
    <row r="49" spans="1:48">
      <c r="A49">
        <v>46</v>
      </c>
      <c r="B49" s="54">
        <f t="shared" si="7"/>
        <v>7</v>
      </c>
      <c r="M49" s="79"/>
      <c r="U49" s="79"/>
      <c r="AK49" s="79"/>
      <c r="AM49"/>
      <c r="AV49"/>
    </row>
    <row r="50" spans="1:48">
      <c r="A50">
        <v>47</v>
      </c>
      <c r="B50" s="54">
        <f t="shared" si="7"/>
        <v>7.2</v>
      </c>
      <c r="M50" s="79"/>
      <c r="U50" s="79"/>
      <c r="AK50" s="79"/>
      <c r="AM50"/>
      <c r="AV50"/>
    </row>
    <row r="51" spans="1:48">
      <c r="A51">
        <v>48</v>
      </c>
      <c r="B51" s="54">
        <f t="shared" si="7"/>
        <v>7.2</v>
      </c>
      <c r="M51" s="79"/>
      <c r="U51" s="79"/>
      <c r="AK51" s="79"/>
    </row>
    <row r="52" spans="1:48">
      <c r="A52">
        <v>49</v>
      </c>
      <c r="B52" s="54">
        <f t="shared" si="7"/>
        <v>7.4</v>
      </c>
      <c r="M52" s="79"/>
      <c r="U52" s="79"/>
      <c r="AK52" s="79"/>
    </row>
    <row r="53" spans="1:48">
      <c r="A53">
        <v>50</v>
      </c>
      <c r="B53" s="54">
        <f t="shared" si="7"/>
        <v>7.5</v>
      </c>
      <c r="M53" s="79"/>
      <c r="U53" s="79"/>
      <c r="AK53" s="79"/>
    </row>
    <row r="54" spans="1:48">
      <c r="A54">
        <v>51</v>
      </c>
      <c r="B54" s="54">
        <f t="shared" si="7"/>
        <v>7.8</v>
      </c>
      <c r="M54" s="79"/>
      <c r="U54" s="79"/>
      <c r="AK54" s="79"/>
    </row>
    <row r="55" spans="1:48">
      <c r="A55">
        <v>52</v>
      </c>
      <c r="B55" s="54">
        <f t="shared" si="7"/>
        <v>7.8</v>
      </c>
      <c r="M55" s="79"/>
      <c r="U55" s="79"/>
      <c r="AK55" s="79"/>
    </row>
    <row r="56" spans="1:48">
      <c r="A56">
        <v>53</v>
      </c>
      <c r="B56" s="54">
        <f t="shared" si="7"/>
        <v>8</v>
      </c>
      <c r="M56" s="79"/>
      <c r="U56" s="79"/>
      <c r="AK56" s="79"/>
    </row>
    <row r="57" spans="1:48">
      <c r="A57">
        <v>54</v>
      </c>
      <c r="B57" s="54">
        <f t="shared" si="7"/>
        <v>8.25</v>
      </c>
      <c r="M57" s="79"/>
      <c r="U57" s="79"/>
      <c r="AK57" s="79"/>
    </row>
    <row r="58" spans="1:48">
      <c r="A58">
        <v>55</v>
      </c>
      <c r="B58" s="54">
        <f t="shared" si="7"/>
        <v>8.4</v>
      </c>
      <c r="M58" s="79"/>
      <c r="U58" s="79"/>
      <c r="AK58" s="79"/>
      <c r="AL58" s="79"/>
    </row>
    <row r="59" spans="1:48">
      <c r="A59">
        <v>56</v>
      </c>
      <c r="B59" s="54">
        <f t="shared" si="7"/>
        <v>8.5</v>
      </c>
      <c r="M59" s="79"/>
      <c r="U59" s="79"/>
      <c r="AK59" s="79"/>
      <c r="AL59" s="79"/>
    </row>
    <row r="60" spans="1:48">
      <c r="A60">
        <v>57</v>
      </c>
      <c r="B60" s="54">
        <f t="shared" si="7"/>
        <v>8.6</v>
      </c>
      <c r="M60" s="79"/>
      <c r="U60" s="79"/>
      <c r="AK60" s="79"/>
      <c r="AL60" s="79"/>
    </row>
    <row r="61" spans="1:48">
      <c r="A61">
        <v>58</v>
      </c>
      <c r="B61" s="54">
        <f t="shared" si="7"/>
        <v>8.75</v>
      </c>
    </row>
    <row r="62" spans="1:48">
      <c r="A62">
        <v>59</v>
      </c>
      <c r="B62" s="54">
        <f t="shared" si="7"/>
        <v>9</v>
      </c>
    </row>
    <row r="63" spans="1:48">
      <c r="A63">
        <v>60</v>
      </c>
      <c r="B63" s="54">
        <f t="shared" si="7"/>
        <v>9</v>
      </c>
    </row>
    <row r="64" spans="1:48">
      <c r="A64">
        <v>61</v>
      </c>
      <c r="B64" s="54">
        <f t="shared" si="7"/>
        <v>9.25</v>
      </c>
      <c r="AM64"/>
      <c r="AN64"/>
      <c r="AO64"/>
      <c r="AP64"/>
    </row>
    <row r="65" spans="1:47">
      <c r="A65">
        <v>62</v>
      </c>
      <c r="B65" s="54">
        <f t="shared" si="7"/>
        <v>9.4</v>
      </c>
      <c r="AI65"/>
      <c r="AJ65"/>
      <c r="AK65"/>
      <c r="AL65"/>
      <c r="AN65"/>
      <c r="AR65"/>
      <c r="AS65"/>
      <c r="AT65"/>
      <c r="AU65"/>
    </row>
    <row r="66" spans="1:47">
      <c r="A66">
        <v>63</v>
      </c>
      <c r="B66" s="54">
        <f t="shared" si="7"/>
        <v>9.6</v>
      </c>
      <c r="S66" s="79"/>
      <c r="U66" s="79"/>
      <c r="AJ66"/>
      <c r="AK66"/>
      <c r="AL66"/>
      <c r="AM66"/>
      <c r="AN66"/>
      <c r="AT66"/>
      <c r="AU66"/>
    </row>
    <row r="67" spans="1:47">
      <c r="A67">
        <v>64</v>
      </c>
      <c r="B67" s="54">
        <f t="shared" si="7"/>
        <v>9.75</v>
      </c>
      <c r="S67" s="79"/>
      <c r="U67" s="79"/>
      <c r="AJ67"/>
      <c r="AK67"/>
      <c r="AL67"/>
      <c r="AM67"/>
      <c r="AN67"/>
      <c r="AT67"/>
      <c r="AU67"/>
    </row>
    <row r="68" spans="1:47">
      <c r="A68">
        <v>65</v>
      </c>
      <c r="B68" s="54">
        <f t="shared" ref="B68:B102" si="8">VLOOKUP(A68,$G$3:$J$37,4,0)</f>
        <v>9.8000000000000007</v>
      </c>
      <c r="S68" s="79"/>
      <c r="U68" s="79"/>
      <c r="AJ68"/>
      <c r="AK68"/>
      <c r="AL68"/>
      <c r="AM68"/>
      <c r="AN68"/>
      <c r="AT68"/>
      <c r="AU68"/>
    </row>
    <row r="69" spans="1:47">
      <c r="A69">
        <v>66</v>
      </c>
      <c r="B69" s="54">
        <f t="shared" si="8"/>
        <v>10</v>
      </c>
      <c r="S69" s="79"/>
      <c r="U69" s="79"/>
      <c r="AJ69"/>
      <c r="AK69"/>
      <c r="AL69"/>
      <c r="AM69"/>
      <c r="AN69"/>
      <c r="AT69"/>
      <c r="AU69"/>
    </row>
    <row r="70" spans="1:47">
      <c r="A70">
        <v>67</v>
      </c>
      <c r="B70" s="54">
        <f t="shared" si="8"/>
        <v>10.199999999999999</v>
      </c>
      <c r="S70" s="79"/>
      <c r="U70" s="79"/>
      <c r="AJ70"/>
      <c r="AK70"/>
      <c r="AL70"/>
      <c r="AM70"/>
      <c r="AN70"/>
      <c r="AT70"/>
      <c r="AU70"/>
    </row>
    <row r="71" spans="1:47">
      <c r="A71">
        <v>68</v>
      </c>
      <c r="B71" s="54">
        <f t="shared" si="8"/>
        <v>10.25</v>
      </c>
      <c r="S71" s="79"/>
      <c r="U71" s="79"/>
      <c r="AJ71"/>
      <c r="AK71"/>
      <c r="AL71"/>
      <c r="AM71"/>
      <c r="AN71"/>
      <c r="AT71"/>
      <c r="AU71"/>
    </row>
    <row r="72" spans="1:47">
      <c r="A72">
        <v>69</v>
      </c>
      <c r="B72" s="54">
        <f t="shared" si="8"/>
        <v>10.5</v>
      </c>
      <c r="S72" s="79"/>
      <c r="U72" s="79"/>
      <c r="AJ72"/>
      <c r="AK72"/>
      <c r="AL72"/>
      <c r="AM72"/>
      <c r="AN72"/>
      <c r="AT72"/>
      <c r="AU72"/>
    </row>
    <row r="73" spans="1:47">
      <c r="A73">
        <v>70</v>
      </c>
      <c r="B73" s="54">
        <f t="shared" si="8"/>
        <v>10.6</v>
      </c>
      <c r="S73" s="79"/>
      <c r="U73" s="79"/>
      <c r="AJ73"/>
      <c r="AK73"/>
      <c r="AL73"/>
      <c r="AM73"/>
      <c r="AN73"/>
      <c r="AT73"/>
      <c r="AU73"/>
    </row>
    <row r="74" spans="1:47">
      <c r="A74">
        <v>71</v>
      </c>
      <c r="B74" s="54">
        <f t="shared" si="8"/>
        <v>10.8</v>
      </c>
      <c r="S74" s="79"/>
      <c r="U74" s="79"/>
      <c r="AJ74"/>
      <c r="AK74"/>
      <c r="AL74"/>
      <c r="AM74"/>
      <c r="AN74"/>
      <c r="AT74"/>
      <c r="AU74"/>
    </row>
    <row r="75" spans="1:47">
      <c r="A75">
        <v>72</v>
      </c>
      <c r="B75" s="54">
        <f t="shared" si="8"/>
        <v>10.8</v>
      </c>
      <c r="S75" s="79"/>
      <c r="U75" s="79"/>
      <c r="AJ75"/>
      <c r="AK75"/>
      <c r="AL75"/>
      <c r="AM75"/>
      <c r="AN75"/>
      <c r="AT75"/>
      <c r="AU75"/>
    </row>
    <row r="76" spans="1:47">
      <c r="A76">
        <v>73</v>
      </c>
      <c r="B76" s="54">
        <f t="shared" si="8"/>
        <v>11</v>
      </c>
      <c r="S76" s="79"/>
      <c r="U76" s="79"/>
      <c r="AJ76"/>
      <c r="AK76"/>
      <c r="AL76"/>
      <c r="AM76"/>
      <c r="AN76"/>
      <c r="AT76"/>
      <c r="AU76"/>
    </row>
    <row r="77" spans="1:47">
      <c r="A77">
        <v>74</v>
      </c>
      <c r="B77" s="54">
        <f t="shared" si="8"/>
        <v>11.2</v>
      </c>
      <c r="S77" s="79"/>
      <c r="U77" s="79"/>
      <c r="AJ77"/>
      <c r="AK77"/>
      <c r="AL77"/>
      <c r="AN77"/>
      <c r="AO77" s="62"/>
      <c r="AP77" s="62"/>
      <c r="AQ77" s="62"/>
      <c r="AU77"/>
    </row>
    <row r="78" spans="1:47">
      <c r="A78">
        <v>75</v>
      </c>
      <c r="B78" s="54">
        <f t="shared" si="8"/>
        <v>11.4</v>
      </c>
      <c r="S78" s="79"/>
      <c r="U78" s="79"/>
      <c r="AJ78"/>
      <c r="AK78"/>
      <c r="AL78"/>
      <c r="AU78"/>
    </row>
    <row r="79" spans="1:47">
      <c r="A79">
        <v>76</v>
      </c>
      <c r="B79" s="54">
        <f t="shared" si="8"/>
        <v>11.4</v>
      </c>
      <c r="S79" s="79"/>
      <c r="U79" s="79"/>
      <c r="AJ79"/>
      <c r="AK79"/>
      <c r="AP79" s="79"/>
      <c r="AQ79"/>
      <c r="AR79"/>
      <c r="AS79"/>
      <c r="AT79"/>
      <c r="AU79"/>
    </row>
    <row r="80" spans="1:47">
      <c r="A80">
        <v>77</v>
      </c>
      <c r="B80" s="54">
        <f t="shared" si="8"/>
        <v>11.75</v>
      </c>
      <c r="S80" s="79"/>
      <c r="U80" s="79"/>
      <c r="AJ80"/>
      <c r="AK80"/>
      <c r="AP80" s="79"/>
      <c r="AQ80"/>
      <c r="AR80"/>
      <c r="AS80"/>
      <c r="AT80"/>
      <c r="AU80"/>
    </row>
    <row r="81" spans="1:47">
      <c r="A81">
        <v>78</v>
      </c>
      <c r="B81" s="54">
        <f t="shared" si="8"/>
        <v>11.8</v>
      </c>
      <c r="S81" s="79"/>
      <c r="U81" s="79"/>
      <c r="AJ81"/>
      <c r="AK81"/>
      <c r="AP81" s="79"/>
      <c r="AQ81"/>
      <c r="AR81"/>
      <c r="AS81"/>
      <c r="AT81"/>
      <c r="AU81"/>
    </row>
    <row r="82" spans="1:47">
      <c r="A82">
        <v>79</v>
      </c>
      <c r="B82" s="54">
        <f t="shared" si="8"/>
        <v>12</v>
      </c>
      <c r="S82" s="79"/>
      <c r="U82" s="79"/>
      <c r="AJ82"/>
      <c r="AK82"/>
      <c r="AP82" s="79"/>
      <c r="AQ82"/>
      <c r="AR82"/>
      <c r="AS82"/>
      <c r="AT82"/>
      <c r="AU82"/>
    </row>
    <row r="83" spans="1:47">
      <c r="A83">
        <v>80</v>
      </c>
      <c r="B83" s="54">
        <f t="shared" si="8"/>
        <v>12</v>
      </c>
      <c r="S83" s="79"/>
      <c r="U83" s="79"/>
      <c r="AJ83"/>
      <c r="AK83"/>
      <c r="AP83" s="79"/>
      <c r="AQ83"/>
      <c r="AR83"/>
      <c r="AS83"/>
      <c r="AT83"/>
      <c r="AU83"/>
    </row>
    <row r="84" spans="1:47">
      <c r="A84">
        <v>81</v>
      </c>
      <c r="B84" s="54">
        <f t="shared" si="8"/>
        <v>12.2</v>
      </c>
      <c r="S84" s="79"/>
      <c r="U84" s="79"/>
      <c r="AJ84"/>
      <c r="AK84"/>
      <c r="AP84" s="79"/>
      <c r="AQ84"/>
      <c r="AR84"/>
      <c r="AS84"/>
      <c r="AT84"/>
      <c r="AU84"/>
    </row>
    <row r="85" spans="1:47">
      <c r="A85">
        <v>82</v>
      </c>
      <c r="B85" s="54">
        <f t="shared" si="8"/>
        <v>12.333333333333334</v>
      </c>
      <c r="S85" s="79"/>
      <c r="U85" s="79"/>
      <c r="AJ85"/>
      <c r="AK85"/>
      <c r="AP85" s="79"/>
      <c r="AQ85"/>
      <c r="AR85"/>
      <c r="AS85"/>
      <c r="AT85"/>
      <c r="AU85"/>
    </row>
    <row r="86" spans="1:47">
      <c r="A86">
        <v>83</v>
      </c>
      <c r="B86" s="54">
        <f t="shared" si="8"/>
        <v>12.6</v>
      </c>
      <c r="S86" s="79"/>
      <c r="U86" s="79"/>
      <c r="AJ86"/>
      <c r="AK86"/>
      <c r="AP86" s="79"/>
      <c r="AQ86"/>
      <c r="AR86"/>
      <c r="AS86"/>
      <c r="AT86"/>
      <c r="AU86"/>
    </row>
    <row r="87" spans="1:47">
      <c r="A87">
        <v>84</v>
      </c>
      <c r="B87" s="54">
        <f t="shared" si="8"/>
        <v>12.75</v>
      </c>
      <c r="AJ87"/>
      <c r="AK87"/>
      <c r="AP87" s="79"/>
      <c r="AQ87"/>
      <c r="AR87"/>
      <c r="AS87"/>
      <c r="AT87"/>
      <c r="AU87"/>
    </row>
    <row r="88" spans="1:47">
      <c r="A88">
        <v>85</v>
      </c>
      <c r="B88" s="54">
        <f t="shared" si="8"/>
        <v>12.8</v>
      </c>
      <c r="AJ88"/>
      <c r="AK88"/>
      <c r="AP88" s="79"/>
      <c r="AQ88"/>
      <c r="AR88"/>
      <c r="AS88"/>
      <c r="AT88"/>
      <c r="AU88"/>
    </row>
    <row r="89" spans="1:47">
      <c r="A89">
        <v>86</v>
      </c>
      <c r="B89" s="54">
        <f t="shared" si="8"/>
        <v>13</v>
      </c>
      <c r="AJ89"/>
      <c r="AK89"/>
      <c r="AP89" s="79"/>
      <c r="AQ89"/>
      <c r="AR89"/>
      <c r="AS89"/>
      <c r="AT89"/>
      <c r="AU89"/>
    </row>
    <row r="90" spans="1:47">
      <c r="A90">
        <v>87</v>
      </c>
      <c r="B90" s="54">
        <f t="shared" si="8"/>
        <v>13.2</v>
      </c>
      <c r="Y90"/>
      <c r="AK90"/>
      <c r="AR90"/>
      <c r="AS90"/>
      <c r="AT90"/>
      <c r="AU90"/>
    </row>
    <row r="91" spans="1:47">
      <c r="A91">
        <v>88</v>
      </c>
      <c r="B91" s="54">
        <f t="shared" si="8"/>
        <v>13.2</v>
      </c>
      <c r="C91"/>
      <c r="E91"/>
      <c r="F91"/>
      <c r="G91"/>
      <c r="M91"/>
      <c r="N91"/>
      <c r="T91"/>
      <c r="Y91"/>
      <c r="AR91"/>
      <c r="AS91"/>
      <c r="AT91"/>
      <c r="AU91"/>
    </row>
    <row r="92" spans="1:47">
      <c r="A92">
        <v>89</v>
      </c>
      <c r="B92" s="54">
        <f t="shared" si="8"/>
        <v>13.4</v>
      </c>
      <c r="E92"/>
      <c r="F92"/>
      <c r="G92"/>
      <c r="M92"/>
      <c r="N92"/>
      <c r="T92"/>
      <c r="Y92"/>
    </row>
    <row r="93" spans="1:47">
      <c r="A93">
        <v>90</v>
      </c>
      <c r="B93" s="54">
        <f t="shared" si="8"/>
        <v>13.666666666666666</v>
      </c>
      <c r="E93"/>
      <c r="F93"/>
      <c r="G93"/>
      <c r="M93"/>
      <c r="N93"/>
      <c r="T93"/>
      <c r="Y93"/>
    </row>
    <row r="94" spans="1:47">
      <c r="A94">
        <v>91</v>
      </c>
      <c r="B94" s="54">
        <f t="shared" si="8"/>
        <v>13.8</v>
      </c>
      <c r="D94" s="80"/>
      <c r="E94"/>
      <c r="F94"/>
      <c r="G94"/>
      <c r="M94"/>
      <c r="N94"/>
      <c r="T94"/>
      <c r="Y94"/>
    </row>
    <row r="95" spans="1:47">
      <c r="A95">
        <v>92</v>
      </c>
      <c r="B95" s="54">
        <f t="shared" si="8"/>
        <v>14</v>
      </c>
      <c r="E95"/>
      <c r="F95"/>
      <c r="G95"/>
      <c r="M95"/>
      <c r="N95"/>
      <c r="T95"/>
      <c r="Y95"/>
    </row>
    <row r="96" spans="1:47">
      <c r="A96">
        <v>93</v>
      </c>
      <c r="B96" s="54">
        <f t="shared" si="8"/>
        <v>14</v>
      </c>
      <c r="F96"/>
      <c r="M96"/>
      <c r="N96"/>
      <c r="T96"/>
      <c r="Y96"/>
    </row>
    <row r="97" spans="1:25">
      <c r="A97">
        <v>94</v>
      </c>
      <c r="B97" s="54">
        <f t="shared" si="8"/>
        <v>14.2</v>
      </c>
      <c r="F97"/>
      <c r="M97"/>
      <c r="N97"/>
      <c r="T97"/>
      <c r="Y97"/>
    </row>
    <row r="98" spans="1:25">
      <c r="A98">
        <v>95</v>
      </c>
      <c r="B98" s="54">
        <f t="shared" si="8"/>
        <v>14.4</v>
      </c>
      <c r="E98"/>
      <c r="F98"/>
      <c r="G98"/>
      <c r="M98"/>
      <c r="N98"/>
      <c r="T98"/>
      <c r="Y98"/>
    </row>
    <row r="99" spans="1:25">
      <c r="A99">
        <v>96</v>
      </c>
      <c r="B99" s="54">
        <f t="shared" si="8"/>
        <v>14.5</v>
      </c>
      <c r="E99"/>
      <c r="F99"/>
      <c r="G99"/>
      <c r="M99"/>
      <c r="N99"/>
      <c r="T99"/>
      <c r="Y99"/>
    </row>
    <row r="100" spans="1:25">
      <c r="A100">
        <v>97</v>
      </c>
      <c r="B100" s="54">
        <f t="shared" si="8"/>
        <v>14.75</v>
      </c>
      <c r="E100"/>
      <c r="F100"/>
      <c r="G100"/>
      <c r="M100"/>
      <c r="N100"/>
      <c r="T100"/>
      <c r="Y100"/>
    </row>
    <row r="101" spans="1:25">
      <c r="A101">
        <v>98</v>
      </c>
      <c r="B101" s="54">
        <f t="shared" si="8"/>
        <v>14.75</v>
      </c>
      <c r="E101"/>
      <c r="F101"/>
      <c r="G101"/>
      <c r="M101"/>
      <c r="N101"/>
      <c r="T101"/>
      <c r="Y101"/>
    </row>
    <row r="102" spans="1:25">
      <c r="A102">
        <v>99</v>
      </c>
      <c r="B102" s="54">
        <f t="shared" si="8"/>
        <v>15</v>
      </c>
      <c r="C102"/>
      <c r="D102"/>
      <c r="E102"/>
      <c r="F102"/>
      <c r="G102"/>
      <c r="H102"/>
      <c r="I102"/>
      <c r="J102"/>
      <c r="K102"/>
      <c r="L102"/>
      <c r="M102"/>
      <c r="N102"/>
      <c r="O102"/>
      <c r="P102"/>
      <c r="Q102"/>
      <c r="R102"/>
    </row>
    <row r="103" spans="1:25">
      <c r="B103"/>
      <c r="C103"/>
      <c r="D103"/>
      <c r="F103" s="77"/>
    </row>
    <row r="104" spans="1:25">
      <c r="B104"/>
      <c r="C104"/>
      <c r="D104"/>
      <c r="F104" s="77"/>
    </row>
    <row r="105" spans="1:25">
      <c r="B105"/>
      <c r="C105"/>
      <c r="D105"/>
    </row>
  </sheetData>
  <sheetProtection selectLockedCells="1" selectUnlockedCells="1"/>
  <pageMargins left="0.78749999999999998" right="0.78749999999999998" top="1.0527777777777778" bottom="1.0527777777777778" header="0.78749999999999998" footer="0.78749999999999998"/>
  <pageSetup paperSize="9" firstPageNumber="0" orientation="portrait" horizontalDpi="300" verticalDpi="300"/>
  <headerFooter alignWithMargins="0">
    <oddHeader>&amp;C&amp;"Times New Roman,Normal"&amp;12&amp;A</oddHeader>
    <oddFooter>&amp;C&amp;"Times New Roman,Normal"&amp;12Page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108"/>
  <sheetViews>
    <sheetView workbookViewId="0">
      <selection activeCell="AA8" sqref="AA8"/>
    </sheetView>
  </sheetViews>
  <sheetFormatPr baseColWidth="10" defaultColWidth="11.5546875" defaultRowHeight="13.2"/>
  <cols>
    <col min="1" max="1" width="9" customWidth="1"/>
    <col min="2" max="35" width="4.33203125" style="4" customWidth="1"/>
    <col min="36" max="36" width="3.109375" style="4" customWidth="1"/>
    <col min="37" max="37" width="3.6640625" style="4" customWidth="1"/>
    <col min="38" max="38" width="3" style="4" customWidth="1"/>
    <col min="39" max="39" width="4.5546875" style="4" customWidth="1"/>
    <col min="40" max="40" width="4.109375" style="4" customWidth="1"/>
    <col min="41" max="41" width="4.44140625" style="4" customWidth="1"/>
    <col min="42" max="42" width="4.33203125" style="4" customWidth="1"/>
    <col min="43" max="70" width="3.5546875" style="4" customWidth="1"/>
  </cols>
  <sheetData>
    <row r="1" spans="1:41">
      <c r="A1" t="s">
        <v>521</v>
      </c>
      <c r="B1" s="4">
        <v>4</v>
      </c>
      <c r="C1" s="4">
        <v>5</v>
      </c>
      <c r="D1" s="4">
        <v>5</v>
      </c>
      <c r="E1" s="4">
        <v>6</v>
      </c>
      <c r="F1" s="4">
        <v>6</v>
      </c>
      <c r="G1" s="4">
        <v>7</v>
      </c>
      <c r="H1" s="4">
        <v>7</v>
      </c>
      <c r="I1" s="4">
        <v>8</v>
      </c>
      <c r="J1" s="4">
        <v>8</v>
      </c>
      <c r="K1" s="4">
        <v>9</v>
      </c>
      <c r="L1" s="4">
        <v>9</v>
      </c>
      <c r="M1" s="4">
        <v>10</v>
      </c>
      <c r="N1" s="4">
        <v>10</v>
      </c>
      <c r="O1" s="4">
        <v>11</v>
      </c>
      <c r="P1" s="4">
        <v>11</v>
      </c>
      <c r="Q1" s="4">
        <v>12</v>
      </c>
      <c r="R1" s="4">
        <v>12</v>
      </c>
      <c r="S1" s="4">
        <v>13</v>
      </c>
      <c r="T1" s="4">
        <v>13</v>
      </c>
      <c r="U1" s="4">
        <v>14</v>
      </c>
      <c r="W1" s="4">
        <v>15</v>
      </c>
      <c r="X1" s="4">
        <v>15</v>
      </c>
      <c r="Y1" s="4">
        <v>16</v>
      </c>
      <c r="Z1" s="4">
        <v>16</v>
      </c>
      <c r="AA1" s="4">
        <v>17</v>
      </c>
      <c r="AM1" s="4" t="s">
        <v>140</v>
      </c>
      <c r="AN1" s="4" t="s">
        <v>141</v>
      </c>
      <c r="AO1" s="4" t="s">
        <v>142</v>
      </c>
    </row>
    <row r="2" spans="1:41">
      <c r="A2" t="s">
        <v>54</v>
      </c>
      <c r="B2" s="4">
        <v>4</v>
      </c>
      <c r="C2" s="4">
        <v>3</v>
      </c>
      <c r="D2" s="4">
        <v>3</v>
      </c>
      <c r="E2" s="4">
        <v>4</v>
      </c>
      <c r="F2" s="4">
        <v>4</v>
      </c>
      <c r="G2" s="4">
        <v>4</v>
      </c>
      <c r="H2" s="4">
        <v>4</v>
      </c>
      <c r="I2" s="4">
        <v>4</v>
      </c>
      <c r="J2" s="4">
        <v>4</v>
      </c>
      <c r="K2" s="4">
        <v>4</v>
      </c>
      <c r="L2" s="4">
        <v>4</v>
      </c>
      <c r="M2" s="4">
        <v>4</v>
      </c>
      <c r="N2" s="4">
        <v>4</v>
      </c>
      <c r="O2" s="4">
        <v>4</v>
      </c>
      <c r="P2" s="4">
        <v>4</v>
      </c>
      <c r="Q2" s="4">
        <v>4</v>
      </c>
      <c r="R2" s="4">
        <v>4</v>
      </c>
      <c r="S2" s="4">
        <v>4</v>
      </c>
      <c r="T2" s="4">
        <v>4</v>
      </c>
      <c r="U2" s="4">
        <v>4</v>
      </c>
      <c r="W2" s="4">
        <v>4</v>
      </c>
      <c r="X2" s="4">
        <v>4</v>
      </c>
      <c r="Y2" s="4">
        <v>4</v>
      </c>
      <c r="Z2" s="4">
        <v>4</v>
      </c>
      <c r="AA2" s="4">
        <v>5</v>
      </c>
      <c r="AK2" t="s">
        <v>54</v>
      </c>
      <c r="AM2" s="4">
        <v>0.60000000000000009</v>
      </c>
      <c r="AN2" s="4">
        <v>1.7000000000000002</v>
      </c>
      <c r="AO2" s="4">
        <v>1.6</v>
      </c>
    </row>
    <row r="3" spans="1:41">
      <c r="A3" t="s">
        <v>63</v>
      </c>
      <c r="B3" s="4">
        <v>3</v>
      </c>
      <c r="C3" s="4">
        <v>3</v>
      </c>
      <c r="D3" s="4">
        <v>3</v>
      </c>
      <c r="E3" s="4">
        <v>4</v>
      </c>
      <c r="F3" s="4">
        <v>4</v>
      </c>
      <c r="G3" s="4">
        <v>4</v>
      </c>
      <c r="H3" s="4">
        <v>4</v>
      </c>
      <c r="I3" s="4">
        <v>3</v>
      </c>
      <c r="J3" s="4">
        <v>3</v>
      </c>
      <c r="K3" s="4">
        <v>4</v>
      </c>
      <c r="L3" s="4">
        <v>4</v>
      </c>
      <c r="M3" s="4">
        <v>4</v>
      </c>
      <c r="N3" s="4">
        <v>4</v>
      </c>
      <c r="O3" s="4">
        <v>3</v>
      </c>
      <c r="P3" s="4">
        <v>3</v>
      </c>
      <c r="Q3" s="4">
        <v>4</v>
      </c>
      <c r="R3" s="4">
        <v>4</v>
      </c>
      <c r="S3" s="4">
        <v>4</v>
      </c>
      <c r="T3" s="4">
        <v>4</v>
      </c>
      <c r="U3" s="4">
        <v>4</v>
      </c>
      <c r="W3" s="4">
        <v>4</v>
      </c>
      <c r="X3" s="4">
        <v>4</v>
      </c>
      <c r="Y3" s="4">
        <v>4</v>
      </c>
      <c r="Z3" s="4">
        <v>4</v>
      </c>
      <c r="AA3" s="4">
        <v>4</v>
      </c>
      <c r="AK3" t="s">
        <v>63</v>
      </c>
      <c r="AM3" s="4">
        <v>5.9</v>
      </c>
      <c r="AN3" s="4">
        <v>0.7</v>
      </c>
      <c r="AO3" s="4">
        <v>2.2000000000000002</v>
      </c>
    </row>
    <row r="4" spans="1:41">
      <c r="A4" t="s">
        <v>188</v>
      </c>
      <c r="B4" s="4">
        <v>3</v>
      </c>
      <c r="C4" s="4">
        <v>4</v>
      </c>
      <c r="D4" s="4">
        <v>4</v>
      </c>
      <c r="E4" s="4">
        <v>4</v>
      </c>
      <c r="F4" s="4">
        <v>4</v>
      </c>
      <c r="G4" s="4">
        <v>4</v>
      </c>
      <c r="H4" s="4">
        <v>4</v>
      </c>
      <c r="I4" s="4">
        <v>4</v>
      </c>
      <c r="J4" s="4">
        <v>4</v>
      </c>
      <c r="K4" s="4">
        <v>4</v>
      </c>
      <c r="L4" s="4">
        <v>4</v>
      </c>
      <c r="M4" s="4">
        <v>4</v>
      </c>
      <c r="N4" s="4">
        <v>4</v>
      </c>
      <c r="O4" s="4">
        <v>4</v>
      </c>
      <c r="P4" s="4">
        <v>4</v>
      </c>
      <c r="Q4" s="4">
        <v>4</v>
      </c>
      <c r="R4" s="4">
        <v>4</v>
      </c>
      <c r="S4" s="4">
        <v>3</v>
      </c>
      <c r="T4" s="4">
        <v>3</v>
      </c>
      <c r="U4" s="4">
        <v>4</v>
      </c>
      <c r="W4" s="4">
        <v>4</v>
      </c>
      <c r="X4" s="4">
        <v>4</v>
      </c>
      <c r="Y4" s="4">
        <v>4</v>
      </c>
      <c r="Z4" s="4">
        <v>4</v>
      </c>
      <c r="AA4" s="4">
        <v>4</v>
      </c>
      <c r="AK4" t="s">
        <v>188</v>
      </c>
      <c r="AM4" s="4">
        <v>0.9</v>
      </c>
      <c r="AN4" s="4">
        <v>2.9</v>
      </c>
      <c r="AO4" s="4">
        <v>0.1</v>
      </c>
    </row>
    <row r="5" spans="1:41">
      <c r="A5" t="s">
        <v>522</v>
      </c>
      <c r="B5" s="4">
        <v>4</v>
      </c>
      <c r="C5" s="4">
        <v>4</v>
      </c>
      <c r="D5" s="4">
        <v>4</v>
      </c>
      <c r="E5" s="4">
        <v>4</v>
      </c>
      <c r="F5" s="4">
        <v>4</v>
      </c>
      <c r="G5" s="4">
        <v>4</v>
      </c>
      <c r="H5" s="4">
        <v>4</v>
      </c>
      <c r="I5" s="4">
        <v>4</v>
      </c>
      <c r="J5" s="4">
        <v>4</v>
      </c>
      <c r="K5" s="4">
        <v>4</v>
      </c>
      <c r="L5" s="4">
        <v>4</v>
      </c>
      <c r="M5" s="4">
        <v>4</v>
      </c>
      <c r="N5" s="4">
        <v>4</v>
      </c>
      <c r="O5" s="4">
        <v>4</v>
      </c>
      <c r="P5" s="4">
        <v>4</v>
      </c>
      <c r="Q5" s="4">
        <v>4</v>
      </c>
      <c r="R5" s="4">
        <v>4</v>
      </c>
      <c r="S5" s="4">
        <v>4</v>
      </c>
      <c r="T5" s="4">
        <v>4</v>
      </c>
      <c r="U5" s="4">
        <v>4</v>
      </c>
      <c r="W5" s="4">
        <v>4</v>
      </c>
      <c r="X5" s="4">
        <v>4</v>
      </c>
      <c r="Y5" s="4">
        <v>4</v>
      </c>
      <c r="Z5" s="4">
        <v>4</v>
      </c>
      <c r="AA5" s="4">
        <v>4</v>
      </c>
      <c r="AK5" t="s">
        <v>522</v>
      </c>
      <c r="AM5" s="4">
        <v>0.1</v>
      </c>
      <c r="AN5" s="4">
        <v>1.9</v>
      </c>
      <c r="AO5" s="4">
        <v>2.2999999999999998</v>
      </c>
    </row>
    <row r="6" spans="1:41">
      <c r="A6" t="s">
        <v>69</v>
      </c>
      <c r="B6" s="4">
        <v>4</v>
      </c>
      <c r="C6" s="4">
        <v>3</v>
      </c>
      <c r="D6" s="4">
        <v>3</v>
      </c>
      <c r="E6" s="4">
        <v>4</v>
      </c>
      <c r="F6" s="4">
        <v>4</v>
      </c>
      <c r="G6" s="4">
        <v>4</v>
      </c>
      <c r="H6" s="4">
        <v>4</v>
      </c>
      <c r="I6" s="4">
        <v>4</v>
      </c>
      <c r="J6" s="4">
        <v>4</v>
      </c>
      <c r="K6" s="4">
        <v>3</v>
      </c>
      <c r="L6" s="4">
        <v>3</v>
      </c>
      <c r="M6" s="4">
        <v>4</v>
      </c>
      <c r="N6" s="4">
        <v>4</v>
      </c>
      <c r="O6" s="4">
        <v>4</v>
      </c>
      <c r="P6" s="4">
        <v>4</v>
      </c>
      <c r="Q6" s="4">
        <v>4</v>
      </c>
      <c r="R6" s="4">
        <v>4</v>
      </c>
      <c r="S6" s="4">
        <v>4</v>
      </c>
      <c r="T6" s="4">
        <v>4</v>
      </c>
      <c r="U6" s="4">
        <v>4</v>
      </c>
      <c r="W6" s="4">
        <v>4</v>
      </c>
      <c r="X6" s="4">
        <v>4</v>
      </c>
      <c r="Y6" s="4">
        <v>4</v>
      </c>
      <c r="Z6" s="4">
        <v>4</v>
      </c>
      <c r="AA6" s="4">
        <v>4</v>
      </c>
      <c r="AK6" t="s">
        <v>69</v>
      </c>
      <c r="AM6" s="4">
        <v>0.30000000000000004</v>
      </c>
      <c r="AN6" s="4">
        <v>0.60000000000000009</v>
      </c>
      <c r="AO6" s="4">
        <v>0.2</v>
      </c>
    </row>
    <row r="7" spans="1:41">
      <c r="A7" t="s">
        <v>70</v>
      </c>
      <c r="B7" s="4">
        <v>4</v>
      </c>
      <c r="C7" s="4">
        <v>4</v>
      </c>
      <c r="D7" s="4">
        <v>4</v>
      </c>
      <c r="E7" s="4">
        <v>4</v>
      </c>
      <c r="F7" s="4">
        <v>4</v>
      </c>
      <c r="G7" s="4">
        <v>4</v>
      </c>
      <c r="H7" s="4">
        <v>4</v>
      </c>
      <c r="I7" s="4">
        <v>4</v>
      </c>
      <c r="J7" s="4">
        <v>4</v>
      </c>
      <c r="K7" s="4">
        <v>4</v>
      </c>
      <c r="L7" s="4">
        <v>4</v>
      </c>
      <c r="M7" s="4">
        <v>4</v>
      </c>
      <c r="N7" s="4">
        <v>4</v>
      </c>
      <c r="O7" s="4">
        <v>4</v>
      </c>
      <c r="P7" s="4">
        <v>4</v>
      </c>
      <c r="Q7" s="4">
        <v>4</v>
      </c>
      <c r="R7" s="4">
        <v>4</v>
      </c>
      <c r="S7" s="4">
        <v>4</v>
      </c>
      <c r="T7" s="4">
        <v>4</v>
      </c>
      <c r="U7" s="4">
        <v>4</v>
      </c>
      <c r="W7" s="4">
        <v>4</v>
      </c>
      <c r="X7" s="4">
        <v>4</v>
      </c>
      <c r="Y7" s="4">
        <v>3</v>
      </c>
      <c r="Z7" s="4">
        <v>3</v>
      </c>
      <c r="AA7" s="4">
        <v>4</v>
      </c>
      <c r="AK7" t="s">
        <v>70</v>
      </c>
      <c r="AM7" s="4">
        <v>0.30000000000000004</v>
      </c>
      <c r="AN7" s="4">
        <v>0.60000000000000009</v>
      </c>
      <c r="AO7" s="4">
        <v>0.2</v>
      </c>
    </row>
    <row r="8" spans="1:41">
      <c r="A8" t="s">
        <v>220</v>
      </c>
      <c r="B8" s="4">
        <v>4</v>
      </c>
      <c r="C8" s="4">
        <v>4</v>
      </c>
      <c r="D8" s="4">
        <v>4</v>
      </c>
      <c r="E8" s="4">
        <v>4</v>
      </c>
      <c r="F8" s="4">
        <v>4</v>
      </c>
      <c r="G8" s="4">
        <v>4</v>
      </c>
      <c r="H8" s="4">
        <v>4</v>
      </c>
      <c r="I8" s="4">
        <v>4</v>
      </c>
      <c r="J8" s="4">
        <v>4</v>
      </c>
      <c r="K8" s="4">
        <v>4</v>
      </c>
      <c r="L8" s="4">
        <v>4</v>
      </c>
      <c r="M8" s="4">
        <v>3</v>
      </c>
      <c r="N8" s="4">
        <v>3</v>
      </c>
      <c r="O8" s="4">
        <v>4</v>
      </c>
      <c r="P8" s="4">
        <v>4</v>
      </c>
      <c r="Q8" s="4">
        <v>4</v>
      </c>
      <c r="R8" s="4">
        <v>4</v>
      </c>
      <c r="S8" s="4">
        <v>4</v>
      </c>
      <c r="T8" s="4">
        <v>4</v>
      </c>
      <c r="U8" s="4">
        <v>4</v>
      </c>
      <c r="W8" s="4">
        <v>4</v>
      </c>
      <c r="X8" s="4">
        <v>4</v>
      </c>
      <c r="Y8" s="4">
        <v>4</v>
      </c>
      <c r="Z8" s="4">
        <v>4</v>
      </c>
      <c r="AA8" s="4">
        <v>4</v>
      </c>
      <c r="AK8" t="s">
        <v>220</v>
      </c>
      <c r="AM8" s="4">
        <v>1.6</v>
      </c>
      <c r="AN8" s="4">
        <v>0.1</v>
      </c>
      <c r="AO8" s="4">
        <v>0.1</v>
      </c>
    </row>
    <row r="9" spans="1:41">
      <c r="A9" t="s">
        <v>523</v>
      </c>
      <c r="B9" s="4">
        <v>4</v>
      </c>
      <c r="C9" s="4">
        <v>4</v>
      </c>
      <c r="D9" s="4">
        <v>4</v>
      </c>
      <c r="E9" s="4">
        <v>4</v>
      </c>
      <c r="F9" s="4">
        <v>4</v>
      </c>
      <c r="G9" s="4">
        <v>4</v>
      </c>
      <c r="H9" s="4">
        <v>4</v>
      </c>
      <c r="I9" s="4">
        <v>4</v>
      </c>
      <c r="J9" s="4">
        <v>4</v>
      </c>
      <c r="K9" s="4">
        <v>4</v>
      </c>
      <c r="L9" s="4">
        <v>4</v>
      </c>
      <c r="M9" s="4">
        <v>4</v>
      </c>
      <c r="N9" s="4">
        <v>4</v>
      </c>
      <c r="O9" s="4">
        <v>4</v>
      </c>
      <c r="P9" s="4">
        <v>4</v>
      </c>
      <c r="Q9" s="4">
        <v>4</v>
      </c>
      <c r="R9" s="4">
        <v>4</v>
      </c>
      <c r="S9" s="4">
        <v>4</v>
      </c>
      <c r="T9" s="4">
        <v>4</v>
      </c>
      <c r="U9" s="4">
        <v>4</v>
      </c>
      <c r="W9" s="4">
        <v>4</v>
      </c>
      <c r="X9" s="4">
        <v>4</v>
      </c>
      <c r="Y9" s="4">
        <v>4</v>
      </c>
      <c r="Z9" s="4">
        <v>4</v>
      </c>
      <c r="AA9" s="4">
        <v>4</v>
      </c>
      <c r="AK9" t="s">
        <v>523</v>
      </c>
      <c r="AM9" s="4">
        <v>2.4</v>
      </c>
      <c r="AN9" s="4">
        <v>0.9</v>
      </c>
      <c r="AO9" s="4">
        <v>3.6</v>
      </c>
    </row>
    <row r="10" spans="1:41">
      <c r="A10" t="s">
        <v>237</v>
      </c>
      <c r="B10" s="4">
        <v>4</v>
      </c>
      <c r="C10" s="4">
        <v>4</v>
      </c>
      <c r="D10" s="4">
        <v>4</v>
      </c>
      <c r="E10" s="4">
        <v>3</v>
      </c>
      <c r="F10" s="4">
        <v>3</v>
      </c>
      <c r="G10" s="4">
        <v>4</v>
      </c>
      <c r="H10" s="4">
        <v>4</v>
      </c>
      <c r="I10" s="4">
        <v>4</v>
      </c>
      <c r="J10" s="4">
        <v>4</v>
      </c>
      <c r="K10" s="4">
        <v>4</v>
      </c>
      <c r="L10" s="4">
        <v>4</v>
      </c>
      <c r="M10" s="4">
        <v>4</v>
      </c>
      <c r="N10" s="4">
        <v>4</v>
      </c>
      <c r="O10" s="4">
        <v>3</v>
      </c>
      <c r="P10" s="4">
        <v>3</v>
      </c>
      <c r="Q10" s="4">
        <v>4</v>
      </c>
      <c r="R10" s="4">
        <v>4</v>
      </c>
      <c r="S10" s="4">
        <v>4</v>
      </c>
      <c r="T10" s="4">
        <v>4</v>
      </c>
      <c r="U10" s="4">
        <v>4</v>
      </c>
      <c r="W10" s="4">
        <v>4</v>
      </c>
      <c r="X10" s="4">
        <v>4</v>
      </c>
      <c r="Y10" s="4">
        <v>4</v>
      </c>
      <c r="Z10" s="4">
        <v>4</v>
      </c>
      <c r="AA10" s="4">
        <v>4</v>
      </c>
      <c r="AK10" t="s">
        <v>237</v>
      </c>
      <c r="AM10" s="4">
        <v>0.2</v>
      </c>
      <c r="AN10" s="4">
        <v>1.8</v>
      </c>
      <c r="AO10" s="4">
        <v>0.1</v>
      </c>
    </row>
    <row r="11" spans="1:41">
      <c r="A11" t="s">
        <v>524</v>
      </c>
      <c r="B11" s="4">
        <v>4</v>
      </c>
      <c r="C11" s="4">
        <v>4</v>
      </c>
      <c r="D11" s="4">
        <v>4</v>
      </c>
      <c r="E11" s="4">
        <v>3</v>
      </c>
      <c r="F11" s="4">
        <v>3</v>
      </c>
      <c r="G11" s="4">
        <v>4</v>
      </c>
      <c r="H11" s="4">
        <v>4</v>
      </c>
      <c r="I11" s="4">
        <v>4</v>
      </c>
      <c r="J11" s="4">
        <v>4</v>
      </c>
      <c r="K11" s="4">
        <v>4</v>
      </c>
      <c r="L11" s="4">
        <v>4</v>
      </c>
      <c r="M11" s="4">
        <v>4</v>
      </c>
      <c r="N11" s="4">
        <v>4</v>
      </c>
      <c r="O11" s="4">
        <v>4</v>
      </c>
      <c r="P11" s="4">
        <v>4</v>
      </c>
      <c r="Q11" s="4">
        <v>4</v>
      </c>
      <c r="R11" s="4">
        <v>4</v>
      </c>
      <c r="S11" s="4">
        <v>4</v>
      </c>
      <c r="T11" s="4">
        <v>4</v>
      </c>
      <c r="U11" s="4">
        <v>4</v>
      </c>
      <c r="W11" s="4">
        <v>4</v>
      </c>
      <c r="X11" s="4">
        <v>4</v>
      </c>
      <c r="Y11" s="4">
        <v>4</v>
      </c>
      <c r="Z11" s="4">
        <v>4</v>
      </c>
      <c r="AA11" s="4">
        <v>4</v>
      </c>
      <c r="AK11" t="s">
        <v>524</v>
      </c>
      <c r="AM11" s="4">
        <v>0.1</v>
      </c>
      <c r="AN11" s="4">
        <v>2.1</v>
      </c>
      <c r="AO11" s="4">
        <v>1.6</v>
      </c>
    </row>
    <row r="12" spans="1:41">
      <c r="A12" t="s">
        <v>525</v>
      </c>
      <c r="B12" s="4">
        <v>4</v>
      </c>
      <c r="C12" s="4">
        <v>4</v>
      </c>
      <c r="D12" s="4">
        <v>4</v>
      </c>
      <c r="E12" s="4">
        <v>3</v>
      </c>
      <c r="F12" s="4">
        <v>3</v>
      </c>
      <c r="G12" s="4">
        <v>4</v>
      </c>
      <c r="H12" s="4">
        <v>4</v>
      </c>
      <c r="I12" s="4">
        <v>4</v>
      </c>
      <c r="J12" s="4">
        <v>4</v>
      </c>
      <c r="K12" s="4">
        <v>4</v>
      </c>
      <c r="L12" s="4">
        <v>4</v>
      </c>
      <c r="M12" s="4">
        <v>4</v>
      </c>
      <c r="N12" s="4">
        <v>4</v>
      </c>
      <c r="O12" s="4">
        <v>4</v>
      </c>
      <c r="P12" s="4">
        <v>4</v>
      </c>
      <c r="Q12" s="4">
        <v>3</v>
      </c>
      <c r="R12" s="4">
        <v>3</v>
      </c>
      <c r="S12" s="4">
        <v>4</v>
      </c>
      <c r="T12" s="4">
        <v>4</v>
      </c>
      <c r="U12" s="4">
        <v>4</v>
      </c>
      <c r="W12" s="4">
        <v>4</v>
      </c>
      <c r="X12" s="4">
        <v>4</v>
      </c>
      <c r="Y12" s="4">
        <v>4</v>
      </c>
      <c r="Z12" s="4">
        <v>4</v>
      </c>
      <c r="AA12" s="4">
        <v>4</v>
      </c>
      <c r="AK12" t="s">
        <v>525</v>
      </c>
      <c r="AM12" s="4">
        <v>1</v>
      </c>
      <c r="AN12" s="4">
        <v>0.1</v>
      </c>
      <c r="AO12" s="4">
        <v>1.3</v>
      </c>
    </row>
    <row r="13" spans="1:41">
      <c r="B13" s="4" t="s">
        <v>526</v>
      </c>
      <c r="C13" s="4" t="s">
        <v>526</v>
      </c>
      <c r="D13" s="4" t="s">
        <v>526</v>
      </c>
      <c r="AM13" s="4">
        <f>SUM(AM2:AM12)</f>
        <v>13.399999999999999</v>
      </c>
      <c r="AN13" s="4">
        <f>SUM(AN2:AN12)</f>
        <v>13.4</v>
      </c>
      <c r="AO13" s="4">
        <f>SUM(AO2:AO12)</f>
        <v>13.3</v>
      </c>
    </row>
    <row r="14" spans="1:41">
      <c r="A14" t="s">
        <v>140</v>
      </c>
      <c r="B14" s="4">
        <v>61</v>
      </c>
      <c r="C14" s="4">
        <v>60</v>
      </c>
      <c r="D14" s="4">
        <v>60</v>
      </c>
      <c r="E14" s="4">
        <v>65</v>
      </c>
      <c r="F14" s="4">
        <v>65</v>
      </c>
      <c r="G14" s="4">
        <v>67</v>
      </c>
      <c r="H14" s="4">
        <v>66</v>
      </c>
      <c r="I14" s="4">
        <v>60</v>
      </c>
      <c r="J14" s="4">
        <v>59</v>
      </c>
      <c r="K14" s="4">
        <v>65</v>
      </c>
      <c r="L14" s="4">
        <v>69</v>
      </c>
      <c r="M14" s="4">
        <v>67</v>
      </c>
      <c r="N14" s="4">
        <v>66</v>
      </c>
      <c r="O14" s="4">
        <v>62</v>
      </c>
      <c r="P14" s="4">
        <v>62</v>
      </c>
      <c r="Q14" s="4">
        <v>66</v>
      </c>
      <c r="R14" s="4">
        <v>66</v>
      </c>
      <c r="S14" s="4">
        <v>67</v>
      </c>
      <c r="T14" s="4">
        <v>66</v>
      </c>
      <c r="U14" s="4">
        <v>67</v>
      </c>
      <c r="W14" s="4">
        <v>66</v>
      </c>
      <c r="X14" s="4">
        <v>66</v>
      </c>
      <c r="Y14" s="4">
        <v>65</v>
      </c>
      <c r="Z14" s="4">
        <v>65</v>
      </c>
      <c r="AA14" s="4">
        <v>66</v>
      </c>
    </row>
    <row r="15" spans="1:41">
      <c r="A15" t="s">
        <v>141</v>
      </c>
      <c r="B15" s="4">
        <v>65</v>
      </c>
      <c r="C15" s="4">
        <v>64</v>
      </c>
      <c r="D15" s="4">
        <v>64</v>
      </c>
      <c r="E15" s="4">
        <v>64</v>
      </c>
      <c r="F15" s="4">
        <v>63</v>
      </c>
      <c r="G15" s="4">
        <v>67</v>
      </c>
      <c r="H15" s="4">
        <v>67</v>
      </c>
      <c r="I15" s="4">
        <v>66</v>
      </c>
      <c r="J15" s="4">
        <v>65</v>
      </c>
      <c r="K15" s="4">
        <v>65</v>
      </c>
      <c r="L15" s="4">
        <v>65</v>
      </c>
      <c r="M15" s="4">
        <v>66</v>
      </c>
      <c r="N15" s="4">
        <v>65</v>
      </c>
      <c r="O15" s="4">
        <v>62</v>
      </c>
      <c r="P15" s="4">
        <v>62</v>
      </c>
      <c r="Q15" s="4">
        <v>65</v>
      </c>
      <c r="R15" s="4">
        <v>69</v>
      </c>
      <c r="S15" s="4">
        <v>66</v>
      </c>
      <c r="T15" s="4">
        <v>65</v>
      </c>
      <c r="U15" s="4">
        <v>68</v>
      </c>
      <c r="W15" s="4">
        <v>67</v>
      </c>
      <c r="X15" s="4">
        <v>67</v>
      </c>
      <c r="Y15" s="4">
        <v>66</v>
      </c>
      <c r="Z15" s="4">
        <v>66</v>
      </c>
      <c r="AA15" s="4">
        <v>68</v>
      </c>
    </row>
    <row r="16" spans="1:41">
      <c r="A16" t="s">
        <v>142</v>
      </c>
      <c r="B16" s="4">
        <v>64</v>
      </c>
      <c r="C16" s="4">
        <v>61</v>
      </c>
      <c r="D16" s="4">
        <v>60</v>
      </c>
      <c r="E16" s="4">
        <v>61</v>
      </c>
      <c r="F16" s="4">
        <v>65</v>
      </c>
      <c r="G16" s="4">
        <v>68</v>
      </c>
      <c r="H16" s="4">
        <v>68</v>
      </c>
      <c r="I16" s="4">
        <v>66</v>
      </c>
      <c r="J16" s="4">
        <v>65</v>
      </c>
      <c r="K16" s="4">
        <v>67</v>
      </c>
      <c r="L16" s="4">
        <v>67</v>
      </c>
      <c r="M16" s="4">
        <v>67</v>
      </c>
      <c r="N16" s="4">
        <v>66</v>
      </c>
      <c r="O16" s="4">
        <v>64</v>
      </c>
      <c r="P16" s="4">
        <v>63</v>
      </c>
      <c r="Q16" s="4">
        <v>64</v>
      </c>
      <c r="R16" s="4">
        <v>64</v>
      </c>
      <c r="S16" s="4">
        <v>65</v>
      </c>
      <c r="T16" s="4">
        <v>65</v>
      </c>
      <c r="U16" s="4">
        <v>65</v>
      </c>
      <c r="W16" s="4">
        <v>64</v>
      </c>
      <c r="X16" s="4">
        <v>68</v>
      </c>
      <c r="Y16" s="4">
        <v>68</v>
      </c>
      <c r="Z16" s="4">
        <v>67</v>
      </c>
      <c r="AA16" s="4">
        <v>68</v>
      </c>
    </row>
    <row r="17" spans="1:45">
      <c r="B17" s="4">
        <v>14</v>
      </c>
      <c r="C17" s="4">
        <v>13</v>
      </c>
      <c r="D17" s="4">
        <v>13</v>
      </c>
      <c r="E17" s="4">
        <v>13</v>
      </c>
      <c r="F17" s="4">
        <v>13</v>
      </c>
      <c r="G17" s="4">
        <v>13</v>
      </c>
      <c r="H17" s="4">
        <v>12</v>
      </c>
      <c r="I17" s="4">
        <v>12</v>
      </c>
      <c r="J17" s="4">
        <v>11</v>
      </c>
      <c r="K17" s="4">
        <v>11</v>
      </c>
      <c r="L17" s="4">
        <v>15</v>
      </c>
      <c r="M17" s="4">
        <v>15</v>
      </c>
      <c r="N17" s="4">
        <v>14</v>
      </c>
      <c r="O17" s="4">
        <v>14</v>
      </c>
      <c r="P17" s="4">
        <v>14</v>
      </c>
      <c r="Q17" s="4">
        <v>14</v>
      </c>
      <c r="R17" s="4">
        <v>14</v>
      </c>
      <c r="S17" s="4">
        <v>14</v>
      </c>
      <c r="T17" s="4">
        <v>13</v>
      </c>
      <c r="U17" s="4">
        <v>13</v>
      </c>
      <c r="W17" s="4">
        <v>12</v>
      </c>
      <c r="X17" s="4">
        <v>12</v>
      </c>
      <c r="Y17" s="4">
        <v>12</v>
      </c>
      <c r="Z17" s="4">
        <v>12</v>
      </c>
      <c r="AA17" s="4">
        <v>12</v>
      </c>
    </row>
    <row r="18" spans="1:45">
      <c r="B18" s="4">
        <v>15</v>
      </c>
      <c r="C18" s="4">
        <v>14</v>
      </c>
      <c r="D18" s="4">
        <v>14</v>
      </c>
      <c r="E18" s="4">
        <v>14</v>
      </c>
      <c r="F18" s="4">
        <v>13</v>
      </c>
      <c r="G18" s="4">
        <v>13</v>
      </c>
      <c r="H18" s="4">
        <v>13</v>
      </c>
      <c r="I18" s="4">
        <v>13</v>
      </c>
      <c r="J18" s="4">
        <v>12</v>
      </c>
      <c r="K18" s="4">
        <v>12</v>
      </c>
      <c r="L18" s="4">
        <v>12</v>
      </c>
      <c r="M18" s="4">
        <v>12</v>
      </c>
      <c r="N18" s="4">
        <v>11</v>
      </c>
      <c r="O18" s="4">
        <v>11</v>
      </c>
      <c r="P18" s="4">
        <v>11</v>
      </c>
      <c r="Q18" s="4">
        <v>11</v>
      </c>
      <c r="R18" s="4">
        <v>15</v>
      </c>
      <c r="S18" s="4">
        <v>15</v>
      </c>
      <c r="T18" s="4">
        <v>14</v>
      </c>
      <c r="U18" s="4">
        <v>14</v>
      </c>
      <c r="W18" s="4">
        <v>13</v>
      </c>
      <c r="X18" s="4">
        <v>13</v>
      </c>
      <c r="Y18" s="4">
        <v>13</v>
      </c>
      <c r="Z18" s="4">
        <v>13</v>
      </c>
      <c r="AA18" s="4">
        <v>13</v>
      </c>
    </row>
    <row r="19" spans="1:45">
      <c r="B19" s="4">
        <v>13</v>
      </c>
      <c r="C19" s="4">
        <v>12</v>
      </c>
      <c r="D19" s="4">
        <v>11</v>
      </c>
      <c r="E19" s="4">
        <v>11</v>
      </c>
      <c r="F19" s="4">
        <v>15</v>
      </c>
      <c r="G19" s="4">
        <v>15</v>
      </c>
      <c r="H19" s="4">
        <v>15</v>
      </c>
      <c r="I19" s="4">
        <v>15</v>
      </c>
      <c r="J19" s="4">
        <v>14</v>
      </c>
      <c r="K19" s="4">
        <v>14</v>
      </c>
      <c r="L19" s="4">
        <v>14</v>
      </c>
      <c r="M19" s="4">
        <v>14</v>
      </c>
      <c r="N19" s="4">
        <v>13</v>
      </c>
      <c r="O19" s="4">
        <v>13</v>
      </c>
      <c r="P19" s="4">
        <v>12</v>
      </c>
      <c r="Q19" s="4">
        <v>12</v>
      </c>
      <c r="R19" s="4">
        <v>12</v>
      </c>
      <c r="S19" s="4">
        <v>12</v>
      </c>
      <c r="T19" s="4">
        <v>12</v>
      </c>
      <c r="U19" s="4">
        <v>12</v>
      </c>
      <c r="W19" s="4">
        <v>11</v>
      </c>
      <c r="X19" s="4">
        <v>15</v>
      </c>
      <c r="Y19" s="4">
        <v>15</v>
      </c>
      <c r="Z19" s="4">
        <v>14</v>
      </c>
      <c r="AA19" s="4">
        <v>14</v>
      </c>
    </row>
    <row r="20" spans="1:45">
      <c r="A20" t="s">
        <v>140</v>
      </c>
      <c r="B20" s="4">
        <f t="shared" ref="B20:U20" si="0">B14-B17</f>
        <v>47</v>
      </c>
      <c r="C20" s="4">
        <f t="shared" si="0"/>
        <v>47</v>
      </c>
      <c r="D20" s="4">
        <f t="shared" si="0"/>
        <v>47</v>
      </c>
      <c r="E20" s="4">
        <f t="shared" si="0"/>
        <v>52</v>
      </c>
      <c r="F20" s="4">
        <f t="shared" si="0"/>
        <v>52</v>
      </c>
      <c r="G20" s="4">
        <f t="shared" si="0"/>
        <v>54</v>
      </c>
      <c r="H20" s="4">
        <f t="shared" si="0"/>
        <v>54</v>
      </c>
      <c r="I20" s="4">
        <f t="shared" si="0"/>
        <v>48</v>
      </c>
      <c r="J20" s="4">
        <f t="shared" si="0"/>
        <v>48</v>
      </c>
      <c r="K20" s="4">
        <f t="shared" si="0"/>
        <v>54</v>
      </c>
      <c r="L20" s="4">
        <f t="shared" si="0"/>
        <v>54</v>
      </c>
      <c r="M20" s="4">
        <f t="shared" si="0"/>
        <v>52</v>
      </c>
      <c r="N20" s="4">
        <f t="shared" si="0"/>
        <v>52</v>
      </c>
      <c r="O20" s="4">
        <f t="shared" si="0"/>
        <v>48</v>
      </c>
      <c r="P20" s="4">
        <f t="shared" si="0"/>
        <v>48</v>
      </c>
      <c r="Q20" s="4">
        <f t="shared" si="0"/>
        <v>52</v>
      </c>
      <c r="R20" s="4">
        <f t="shared" si="0"/>
        <v>52</v>
      </c>
      <c r="S20" s="4">
        <f t="shared" si="0"/>
        <v>53</v>
      </c>
      <c r="T20" s="4">
        <f t="shared" si="0"/>
        <v>53</v>
      </c>
      <c r="U20" s="4">
        <f t="shared" si="0"/>
        <v>54</v>
      </c>
      <c r="W20" s="4">
        <f t="shared" ref="W20:AS20" si="1">W14-W17</f>
        <v>54</v>
      </c>
      <c r="X20" s="4">
        <f t="shared" si="1"/>
        <v>54</v>
      </c>
      <c r="Y20" s="4">
        <f t="shared" si="1"/>
        <v>53</v>
      </c>
      <c r="Z20" s="4">
        <f t="shared" si="1"/>
        <v>53</v>
      </c>
      <c r="AA20" s="4">
        <f t="shared" si="1"/>
        <v>54</v>
      </c>
      <c r="AB20" s="4">
        <f t="shared" si="1"/>
        <v>0</v>
      </c>
      <c r="AC20" s="4">
        <f t="shared" si="1"/>
        <v>0</v>
      </c>
      <c r="AD20" s="4">
        <f t="shared" si="1"/>
        <v>0</v>
      </c>
      <c r="AE20" s="4">
        <f t="shared" si="1"/>
        <v>0</v>
      </c>
      <c r="AF20" s="4">
        <f t="shared" si="1"/>
        <v>0</v>
      </c>
      <c r="AG20" s="4">
        <f t="shared" si="1"/>
        <v>0</v>
      </c>
      <c r="AH20" s="4">
        <f t="shared" si="1"/>
        <v>0</v>
      </c>
      <c r="AI20" s="4">
        <f t="shared" si="1"/>
        <v>0</v>
      </c>
      <c r="AJ20" s="4">
        <f t="shared" si="1"/>
        <v>0</v>
      </c>
      <c r="AK20" s="4">
        <f t="shared" si="1"/>
        <v>0</v>
      </c>
      <c r="AL20" s="4">
        <f t="shared" si="1"/>
        <v>0</v>
      </c>
      <c r="AM20" s="4">
        <f t="shared" si="1"/>
        <v>0</v>
      </c>
      <c r="AN20" s="4">
        <f t="shared" si="1"/>
        <v>0</v>
      </c>
      <c r="AO20" s="4">
        <f t="shared" si="1"/>
        <v>0</v>
      </c>
      <c r="AP20" s="4">
        <f t="shared" si="1"/>
        <v>0</v>
      </c>
      <c r="AQ20" s="4">
        <f t="shared" si="1"/>
        <v>0</v>
      </c>
      <c r="AR20" s="4">
        <f t="shared" si="1"/>
        <v>0</v>
      </c>
      <c r="AS20" s="4">
        <f t="shared" si="1"/>
        <v>0</v>
      </c>
    </row>
    <row r="21" spans="1:45">
      <c r="A21" t="s">
        <v>141</v>
      </c>
      <c r="B21" s="4">
        <f t="shared" ref="B21:U21" si="2">B15-B18</f>
        <v>50</v>
      </c>
      <c r="C21" s="4">
        <f t="shared" si="2"/>
        <v>50</v>
      </c>
      <c r="D21" s="4">
        <f t="shared" si="2"/>
        <v>50</v>
      </c>
      <c r="E21" s="4">
        <f t="shared" si="2"/>
        <v>50</v>
      </c>
      <c r="F21" s="4">
        <f t="shared" si="2"/>
        <v>50</v>
      </c>
      <c r="G21" s="4">
        <f t="shared" si="2"/>
        <v>54</v>
      </c>
      <c r="H21" s="4">
        <f t="shared" si="2"/>
        <v>54</v>
      </c>
      <c r="I21" s="4">
        <f t="shared" si="2"/>
        <v>53</v>
      </c>
      <c r="J21" s="4">
        <f t="shared" si="2"/>
        <v>53</v>
      </c>
      <c r="K21" s="4">
        <f t="shared" si="2"/>
        <v>53</v>
      </c>
      <c r="L21" s="4">
        <f t="shared" si="2"/>
        <v>53</v>
      </c>
      <c r="M21" s="4">
        <f t="shared" si="2"/>
        <v>54</v>
      </c>
      <c r="N21" s="4">
        <f t="shared" si="2"/>
        <v>54</v>
      </c>
      <c r="O21" s="4">
        <f t="shared" si="2"/>
        <v>51</v>
      </c>
      <c r="P21" s="4">
        <f t="shared" si="2"/>
        <v>51</v>
      </c>
      <c r="Q21" s="4">
        <f t="shared" si="2"/>
        <v>54</v>
      </c>
      <c r="R21" s="4">
        <f t="shared" si="2"/>
        <v>54</v>
      </c>
      <c r="S21" s="4">
        <f t="shared" si="2"/>
        <v>51</v>
      </c>
      <c r="T21" s="4">
        <f t="shared" si="2"/>
        <v>51</v>
      </c>
      <c r="U21" s="4">
        <f t="shared" si="2"/>
        <v>54</v>
      </c>
      <c r="W21" s="4">
        <f t="shared" ref="W21:AS21" si="3">W15-W18</f>
        <v>54</v>
      </c>
      <c r="X21" s="4">
        <f t="shared" si="3"/>
        <v>54</v>
      </c>
      <c r="Y21" s="4">
        <f t="shared" si="3"/>
        <v>53</v>
      </c>
      <c r="Z21" s="4">
        <f t="shared" si="3"/>
        <v>53</v>
      </c>
      <c r="AA21" s="4">
        <f t="shared" si="3"/>
        <v>55</v>
      </c>
      <c r="AB21" s="4">
        <f t="shared" si="3"/>
        <v>0</v>
      </c>
      <c r="AC21" s="4">
        <f t="shared" si="3"/>
        <v>0</v>
      </c>
      <c r="AD21" s="4">
        <f t="shared" si="3"/>
        <v>0</v>
      </c>
      <c r="AE21" s="4">
        <f t="shared" si="3"/>
        <v>0</v>
      </c>
      <c r="AF21" s="4">
        <f t="shared" si="3"/>
        <v>0</v>
      </c>
      <c r="AG21" s="4">
        <f t="shared" si="3"/>
        <v>0</v>
      </c>
      <c r="AH21" s="4">
        <f t="shared" si="3"/>
        <v>0</v>
      </c>
      <c r="AI21" s="4">
        <f t="shared" si="3"/>
        <v>0</v>
      </c>
      <c r="AJ21" s="4">
        <f t="shared" si="3"/>
        <v>0</v>
      </c>
      <c r="AK21" s="4">
        <f t="shared" si="3"/>
        <v>0</v>
      </c>
      <c r="AL21" s="4">
        <f t="shared" si="3"/>
        <v>0</v>
      </c>
      <c r="AM21" s="4">
        <f t="shared" si="3"/>
        <v>0</v>
      </c>
      <c r="AN21" s="4">
        <f t="shared" si="3"/>
        <v>0</v>
      </c>
      <c r="AO21" s="4">
        <f t="shared" si="3"/>
        <v>0</v>
      </c>
      <c r="AP21" s="4">
        <f t="shared" si="3"/>
        <v>0</v>
      </c>
      <c r="AQ21" s="4">
        <f t="shared" si="3"/>
        <v>0</v>
      </c>
      <c r="AR21" s="4">
        <f t="shared" si="3"/>
        <v>0</v>
      </c>
      <c r="AS21" s="4">
        <f t="shared" si="3"/>
        <v>0</v>
      </c>
    </row>
    <row r="22" spans="1:45">
      <c r="A22" t="s">
        <v>142</v>
      </c>
      <c r="B22" s="4">
        <f t="shared" ref="B22:U22" si="4">B16-B19</f>
        <v>51</v>
      </c>
      <c r="C22" s="4">
        <f t="shared" si="4"/>
        <v>49</v>
      </c>
      <c r="D22" s="4">
        <f t="shared" si="4"/>
        <v>49</v>
      </c>
      <c r="E22" s="4">
        <f t="shared" si="4"/>
        <v>50</v>
      </c>
      <c r="F22" s="4">
        <f t="shared" si="4"/>
        <v>50</v>
      </c>
      <c r="G22" s="4">
        <f t="shared" si="4"/>
        <v>53</v>
      </c>
      <c r="H22" s="4">
        <f t="shared" si="4"/>
        <v>53</v>
      </c>
      <c r="I22" s="4">
        <f t="shared" si="4"/>
        <v>51</v>
      </c>
      <c r="J22" s="4">
        <f t="shared" si="4"/>
        <v>51</v>
      </c>
      <c r="K22" s="4">
        <f t="shared" si="4"/>
        <v>53</v>
      </c>
      <c r="L22" s="4">
        <f t="shared" si="4"/>
        <v>53</v>
      </c>
      <c r="M22" s="4">
        <f t="shared" si="4"/>
        <v>53</v>
      </c>
      <c r="N22" s="4">
        <f t="shared" si="4"/>
        <v>53</v>
      </c>
      <c r="O22" s="4">
        <f t="shared" si="4"/>
        <v>51</v>
      </c>
      <c r="P22" s="4">
        <f t="shared" si="4"/>
        <v>51</v>
      </c>
      <c r="Q22" s="4">
        <f t="shared" si="4"/>
        <v>52</v>
      </c>
      <c r="R22" s="4">
        <f t="shared" si="4"/>
        <v>52</v>
      </c>
      <c r="S22" s="4">
        <f t="shared" si="4"/>
        <v>53</v>
      </c>
      <c r="T22" s="4">
        <f t="shared" si="4"/>
        <v>53</v>
      </c>
      <c r="U22" s="4">
        <f t="shared" si="4"/>
        <v>53</v>
      </c>
      <c r="W22" s="4">
        <f t="shared" ref="W22:AS22" si="5">W16-W19</f>
        <v>53</v>
      </c>
      <c r="X22" s="4">
        <f t="shared" si="5"/>
        <v>53</v>
      </c>
      <c r="Y22" s="4">
        <f t="shared" si="5"/>
        <v>53</v>
      </c>
      <c r="Z22" s="4">
        <f t="shared" si="5"/>
        <v>53</v>
      </c>
      <c r="AA22" s="4">
        <f t="shared" si="5"/>
        <v>54</v>
      </c>
      <c r="AB22" s="4">
        <f t="shared" si="5"/>
        <v>0</v>
      </c>
      <c r="AC22" s="4">
        <f t="shared" si="5"/>
        <v>0</v>
      </c>
      <c r="AD22" s="4">
        <f t="shared" si="5"/>
        <v>0</v>
      </c>
      <c r="AE22" s="4">
        <f t="shared" si="5"/>
        <v>0</v>
      </c>
      <c r="AF22" s="4">
        <f t="shared" si="5"/>
        <v>0</v>
      </c>
      <c r="AG22" s="4">
        <f t="shared" si="5"/>
        <v>0</v>
      </c>
      <c r="AH22" s="4">
        <f t="shared" si="5"/>
        <v>0</v>
      </c>
      <c r="AI22" s="4">
        <f t="shared" si="5"/>
        <v>0</v>
      </c>
      <c r="AJ22" s="4">
        <f t="shared" si="5"/>
        <v>0</v>
      </c>
      <c r="AK22" s="4">
        <f t="shared" si="5"/>
        <v>0</v>
      </c>
      <c r="AL22" s="4">
        <f t="shared" si="5"/>
        <v>0</v>
      </c>
      <c r="AM22" s="4">
        <f t="shared" si="5"/>
        <v>0</v>
      </c>
      <c r="AN22" s="4">
        <f t="shared" si="5"/>
        <v>0</v>
      </c>
      <c r="AO22" s="4">
        <f t="shared" si="5"/>
        <v>0</v>
      </c>
      <c r="AP22" s="4">
        <f t="shared" si="5"/>
        <v>0</v>
      </c>
      <c r="AQ22" s="4">
        <f t="shared" si="5"/>
        <v>0</v>
      </c>
      <c r="AR22" s="4">
        <f t="shared" si="5"/>
        <v>0</v>
      </c>
      <c r="AS22" s="4">
        <f t="shared" si="5"/>
        <v>0</v>
      </c>
    </row>
    <row r="23" spans="1:45">
      <c r="B23" s="4">
        <f t="shared" ref="B23:AJ23" si="6">B2*$AM2+B3*$AM3+B4*$AM4+B5*$AM5+B6*$AM6+B7*$AM7+B8*$AM8+B9*$AM9+B10*$AM10+B11*$AM11+B12*$AM12</f>
        <v>46.8</v>
      </c>
      <c r="C23" s="4">
        <f t="shared" si="6"/>
        <v>46.8</v>
      </c>
      <c r="D23" s="4">
        <f t="shared" si="6"/>
        <v>46.8</v>
      </c>
      <c r="E23" s="4">
        <f t="shared" si="6"/>
        <v>52.3</v>
      </c>
      <c r="F23" s="4">
        <f t="shared" si="6"/>
        <v>52.3</v>
      </c>
      <c r="G23" s="4">
        <f t="shared" si="6"/>
        <v>53.599999999999994</v>
      </c>
      <c r="H23" s="4">
        <f t="shared" si="6"/>
        <v>53.599999999999994</v>
      </c>
      <c r="I23" s="4">
        <f t="shared" si="6"/>
        <v>47.699999999999996</v>
      </c>
      <c r="J23" s="4">
        <f t="shared" si="6"/>
        <v>47.699999999999996</v>
      </c>
      <c r="K23" s="4">
        <f t="shared" si="6"/>
        <v>53.3</v>
      </c>
      <c r="L23" s="4">
        <f t="shared" si="6"/>
        <v>53.3</v>
      </c>
      <c r="M23" s="4">
        <f t="shared" si="6"/>
        <v>52</v>
      </c>
      <c r="N23" s="4">
        <f t="shared" si="6"/>
        <v>52</v>
      </c>
      <c r="O23" s="4">
        <f t="shared" si="6"/>
        <v>47.5</v>
      </c>
      <c r="P23" s="4">
        <f t="shared" si="6"/>
        <v>47.5</v>
      </c>
      <c r="Q23" s="4">
        <f t="shared" si="6"/>
        <v>52.599999999999994</v>
      </c>
      <c r="R23" s="4">
        <f t="shared" si="6"/>
        <v>52.599999999999994</v>
      </c>
      <c r="S23" s="4">
        <f t="shared" si="6"/>
        <v>52.699999999999996</v>
      </c>
      <c r="T23" s="4">
        <f t="shared" si="6"/>
        <v>52.699999999999996</v>
      </c>
      <c r="U23" s="4">
        <f t="shared" si="6"/>
        <v>53.599999999999994</v>
      </c>
      <c r="V23" s="4">
        <f t="shared" si="6"/>
        <v>0</v>
      </c>
      <c r="W23" s="4">
        <f t="shared" si="6"/>
        <v>53.599999999999994</v>
      </c>
      <c r="X23" s="4">
        <f t="shared" si="6"/>
        <v>53.599999999999994</v>
      </c>
      <c r="Y23" s="4">
        <f t="shared" si="6"/>
        <v>53.3</v>
      </c>
      <c r="Z23" s="4">
        <f t="shared" si="6"/>
        <v>53.3</v>
      </c>
      <c r="AA23" s="4">
        <f t="shared" si="6"/>
        <v>54.199999999999996</v>
      </c>
      <c r="AB23" s="4">
        <f t="shared" si="6"/>
        <v>0</v>
      </c>
      <c r="AC23" s="4">
        <f t="shared" si="6"/>
        <v>0</v>
      </c>
      <c r="AD23" s="4">
        <f t="shared" si="6"/>
        <v>0</v>
      </c>
      <c r="AE23" s="4">
        <f t="shared" si="6"/>
        <v>0</v>
      </c>
      <c r="AF23" s="4">
        <f t="shared" si="6"/>
        <v>0</v>
      </c>
      <c r="AG23" s="4">
        <f t="shared" si="6"/>
        <v>0</v>
      </c>
      <c r="AH23" s="4">
        <f t="shared" si="6"/>
        <v>0</v>
      </c>
      <c r="AI23" s="4">
        <f t="shared" si="6"/>
        <v>0</v>
      </c>
      <c r="AJ23" s="4">
        <f t="shared" si="6"/>
        <v>0</v>
      </c>
    </row>
    <row r="24" spans="1:45">
      <c r="B24" s="4">
        <f t="shared" ref="B24:AJ24" si="7">B2*$AN2+B3*$AN3+B4*$AN4+B5*$AN5+B6*$AN6+B7*$AN7+B8*$AN8+B9*$AN9+B10*$AN10+B11*$AN11+B12*$AN12</f>
        <v>50</v>
      </c>
      <c r="C24" s="4">
        <f t="shared" si="7"/>
        <v>50.6</v>
      </c>
      <c r="D24" s="4">
        <f t="shared" si="7"/>
        <v>50.6</v>
      </c>
      <c r="E24" s="4">
        <f t="shared" si="7"/>
        <v>49.599999999999994</v>
      </c>
      <c r="F24" s="4">
        <f t="shared" si="7"/>
        <v>49.599999999999994</v>
      </c>
      <c r="G24" s="4">
        <f t="shared" si="7"/>
        <v>53.6</v>
      </c>
      <c r="H24" s="4">
        <f t="shared" si="7"/>
        <v>53.6</v>
      </c>
      <c r="I24" s="4">
        <f t="shared" si="7"/>
        <v>52.9</v>
      </c>
      <c r="J24" s="4">
        <f t="shared" si="7"/>
        <v>52.9</v>
      </c>
      <c r="K24" s="4">
        <f t="shared" si="7"/>
        <v>53.000000000000007</v>
      </c>
      <c r="L24" s="4">
        <f t="shared" si="7"/>
        <v>53.000000000000007</v>
      </c>
      <c r="M24" s="4">
        <f t="shared" si="7"/>
        <v>53.5</v>
      </c>
      <c r="N24" s="4">
        <f t="shared" si="7"/>
        <v>53.5</v>
      </c>
      <c r="O24" s="4">
        <f t="shared" si="7"/>
        <v>51.099999999999994</v>
      </c>
      <c r="P24" s="4">
        <f t="shared" si="7"/>
        <v>51.099999999999994</v>
      </c>
      <c r="Q24" s="4">
        <f t="shared" si="7"/>
        <v>53.5</v>
      </c>
      <c r="R24" s="4">
        <f t="shared" si="7"/>
        <v>53.5</v>
      </c>
      <c r="S24" s="4">
        <f t="shared" si="7"/>
        <v>50.699999999999996</v>
      </c>
      <c r="T24" s="4">
        <f t="shared" si="7"/>
        <v>50.699999999999996</v>
      </c>
      <c r="U24" s="4">
        <f t="shared" si="7"/>
        <v>53.6</v>
      </c>
      <c r="V24" s="4">
        <f t="shared" si="7"/>
        <v>0</v>
      </c>
      <c r="W24" s="4">
        <f t="shared" si="7"/>
        <v>53.6</v>
      </c>
      <c r="X24" s="4">
        <f t="shared" si="7"/>
        <v>53.6</v>
      </c>
      <c r="Y24" s="4">
        <f t="shared" si="7"/>
        <v>53</v>
      </c>
      <c r="Z24" s="4">
        <f t="shared" si="7"/>
        <v>53</v>
      </c>
      <c r="AA24" s="4">
        <f t="shared" si="7"/>
        <v>55.3</v>
      </c>
      <c r="AB24" s="4">
        <f t="shared" si="7"/>
        <v>0</v>
      </c>
      <c r="AC24" s="4">
        <f t="shared" si="7"/>
        <v>0</v>
      </c>
      <c r="AD24" s="4">
        <f t="shared" si="7"/>
        <v>0</v>
      </c>
      <c r="AE24" s="4">
        <f t="shared" si="7"/>
        <v>0</v>
      </c>
      <c r="AF24" s="4">
        <f t="shared" si="7"/>
        <v>0</v>
      </c>
      <c r="AG24" s="4">
        <f t="shared" si="7"/>
        <v>0</v>
      </c>
      <c r="AH24" s="4">
        <f t="shared" si="7"/>
        <v>0</v>
      </c>
      <c r="AI24" s="4">
        <f t="shared" si="7"/>
        <v>0</v>
      </c>
      <c r="AJ24" s="4">
        <f t="shared" si="7"/>
        <v>0</v>
      </c>
    </row>
    <row r="25" spans="1:45">
      <c r="B25" s="4">
        <f t="shared" ref="B25:AJ25" si="8">B2*$AO2+B3*$AO3+B4*$AO4+B5*$AO5+B6*$AO6+B7*$AO7+B8*$AO8+B9*$AO9+B10*$AO10+B11*$AO11+B12*$AO12</f>
        <v>50.9</v>
      </c>
      <c r="C25" s="4">
        <f t="shared" si="8"/>
        <v>49.2</v>
      </c>
      <c r="D25" s="4">
        <f t="shared" si="8"/>
        <v>49.2</v>
      </c>
      <c r="E25" s="4">
        <f t="shared" si="8"/>
        <v>50.199999999999996</v>
      </c>
      <c r="F25" s="4">
        <f t="shared" si="8"/>
        <v>50.199999999999996</v>
      </c>
      <c r="G25" s="4">
        <f t="shared" si="8"/>
        <v>53.2</v>
      </c>
      <c r="H25" s="4">
        <f t="shared" si="8"/>
        <v>53.2</v>
      </c>
      <c r="I25" s="4">
        <f t="shared" si="8"/>
        <v>51</v>
      </c>
      <c r="J25" s="4">
        <f t="shared" si="8"/>
        <v>51</v>
      </c>
      <c r="K25" s="4">
        <f t="shared" si="8"/>
        <v>53</v>
      </c>
      <c r="L25" s="4">
        <f t="shared" si="8"/>
        <v>53</v>
      </c>
      <c r="M25" s="4">
        <f t="shared" si="8"/>
        <v>53.1</v>
      </c>
      <c r="N25" s="4">
        <f t="shared" si="8"/>
        <v>53.1</v>
      </c>
      <c r="O25" s="4">
        <f t="shared" si="8"/>
        <v>50.9</v>
      </c>
      <c r="P25" s="4">
        <f t="shared" si="8"/>
        <v>50.9</v>
      </c>
      <c r="Q25" s="4">
        <f t="shared" si="8"/>
        <v>51.9</v>
      </c>
      <c r="R25" s="4">
        <f t="shared" si="8"/>
        <v>51.9</v>
      </c>
      <c r="S25" s="4">
        <f t="shared" si="8"/>
        <v>53.1</v>
      </c>
      <c r="T25" s="4">
        <f t="shared" si="8"/>
        <v>53.1</v>
      </c>
      <c r="U25" s="4">
        <f t="shared" si="8"/>
        <v>53.2</v>
      </c>
      <c r="V25" s="4">
        <f t="shared" si="8"/>
        <v>0</v>
      </c>
      <c r="W25" s="4">
        <f t="shared" si="8"/>
        <v>53.2</v>
      </c>
      <c r="X25" s="4">
        <f t="shared" si="8"/>
        <v>53.2</v>
      </c>
      <c r="Y25" s="4">
        <f t="shared" si="8"/>
        <v>53</v>
      </c>
      <c r="Z25" s="4">
        <f t="shared" si="8"/>
        <v>53</v>
      </c>
      <c r="AA25" s="4">
        <f t="shared" si="8"/>
        <v>54.8</v>
      </c>
      <c r="AB25" s="4">
        <f t="shared" si="8"/>
        <v>0</v>
      </c>
      <c r="AC25" s="4">
        <f t="shared" si="8"/>
        <v>0</v>
      </c>
      <c r="AD25" s="4">
        <f t="shared" si="8"/>
        <v>0</v>
      </c>
      <c r="AE25" s="4">
        <f t="shared" si="8"/>
        <v>0</v>
      </c>
      <c r="AF25" s="4">
        <f t="shared" si="8"/>
        <v>0</v>
      </c>
      <c r="AG25" s="4">
        <f t="shared" si="8"/>
        <v>0</v>
      </c>
      <c r="AH25" s="4">
        <f t="shared" si="8"/>
        <v>0</v>
      </c>
      <c r="AI25" s="4">
        <f t="shared" si="8"/>
        <v>0</v>
      </c>
      <c r="AJ25" s="4">
        <f t="shared" si="8"/>
        <v>0</v>
      </c>
    </row>
    <row r="26" spans="1:45">
      <c r="A26" s="58" t="s">
        <v>527</v>
      </c>
      <c r="C26" s="4" t="s">
        <v>1</v>
      </c>
      <c r="F26" s="79" t="s">
        <v>528</v>
      </c>
      <c r="L26" s="79" t="s">
        <v>529</v>
      </c>
      <c r="R26" s="79" t="s">
        <v>530</v>
      </c>
      <c r="AA26" s="4" t="s">
        <v>531</v>
      </c>
    </row>
    <row r="27" spans="1:45">
      <c r="A27" t="s">
        <v>54</v>
      </c>
      <c r="B27" s="4">
        <v>1</v>
      </c>
      <c r="C27" t="s">
        <v>532</v>
      </c>
      <c r="D27" s="4">
        <v>1</v>
      </c>
      <c r="E27"/>
      <c r="F27" t="s">
        <v>54</v>
      </c>
      <c r="G27"/>
      <c r="H27" s="4">
        <v>0</v>
      </c>
      <c r="I27" s="4">
        <v>2</v>
      </c>
      <c r="J27" s="4">
        <v>1</v>
      </c>
      <c r="L27" t="s">
        <v>54</v>
      </c>
      <c r="M27"/>
      <c r="N27" s="4">
        <v>1</v>
      </c>
      <c r="O27" s="4">
        <v>2</v>
      </c>
      <c r="P27" s="4">
        <v>2</v>
      </c>
      <c r="R27" t="s">
        <v>54</v>
      </c>
      <c r="T27" s="4">
        <v>0</v>
      </c>
      <c r="U27" s="4">
        <v>1</v>
      </c>
      <c r="V27" s="4">
        <v>1</v>
      </c>
      <c r="W27" s="4" t="s">
        <v>533</v>
      </c>
      <c r="X27" s="4" t="s">
        <v>532</v>
      </c>
      <c r="Y27" s="4">
        <v>1</v>
      </c>
      <c r="AA27" s="4">
        <v>55</v>
      </c>
    </row>
    <row r="28" spans="1:45">
      <c r="A28" t="s">
        <v>63</v>
      </c>
      <c r="B28" s="4">
        <v>6</v>
      </c>
      <c r="C28" s="4">
        <v>1</v>
      </c>
      <c r="D28" s="4">
        <v>2</v>
      </c>
      <c r="E28"/>
      <c r="F28" t="s">
        <v>63</v>
      </c>
      <c r="G28"/>
      <c r="H28" s="4">
        <v>6</v>
      </c>
      <c r="I28" s="4">
        <v>1</v>
      </c>
      <c r="J28" s="4">
        <v>2</v>
      </c>
      <c r="L28" t="s">
        <v>63</v>
      </c>
      <c r="M28"/>
      <c r="N28" s="4">
        <v>6</v>
      </c>
      <c r="O28" s="4">
        <v>1</v>
      </c>
      <c r="P28" s="4">
        <v>2</v>
      </c>
      <c r="R28" t="s">
        <v>63</v>
      </c>
      <c r="T28" s="4">
        <v>6</v>
      </c>
      <c r="U28" s="4">
        <v>0</v>
      </c>
      <c r="V28" s="4">
        <v>2</v>
      </c>
      <c r="AA28" s="4">
        <v>56</v>
      </c>
    </row>
    <row r="29" spans="1:45">
      <c r="A29" t="s">
        <v>188</v>
      </c>
      <c r="B29" s="4">
        <v>1</v>
      </c>
      <c r="C29" s="4" t="s">
        <v>534</v>
      </c>
      <c r="D29" s="4">
        <v>0</v>
      </c>
      <c r="E29"/>
      <c r="F29" t="s">
        <v>188</v>
      </c>
      <c r="G29"/>
      <c r="H29" s="4" t="s">
        <v>533</v>
      </c>
      <c r="I29" s="4">
        <v>3</v>
      </c>
      <c r="J29" s="4">
        <v>0</v>
      </c>
      <c r="L29" t="s">
        <v>188</v>
      </c>
      <c r="M29"/>
      <c r="N29" s="4">
        <v>1</v>
      </c>
      <c r="O29" s="4">
        <v>3</v>
      </c>
      <c r="P29" s="4">
        <v>0</v>
      </c>
      <c r="R29" t="s">
        <v>188</v>
      </c>
      <c r="AA29" s="4">
        <v>55</v>
      </c>
    </row>
    <row r="30" spans="1:45">
      <c r="A30" t="s">
        <v>522</v>
      </c>
      <c r="B30" s="4">
        <v>0</v>
      </c>
      <c r="C30" s="4">
        <v>2</v>
      </c>
      <c r="D30" s="80" t="s">
        <v>534</v>
      </c>
      <c r="E30"/>
      <c r="F30" t="s">
        <v>522</v>
      </c>
      <c r="G30"/>
      <c r="H30" s="4">
        <v>0</v>
      </c>
      <c r="I30" s="4">
        <v>2</v>
      </c>
      <c r="J30" s="4" t="s">
        <v>534</v>
      </c>
      <c r="L30" t="s">
        <v>522</v>
      </c>
      <c r="M30"/>
      <c r="N30" s="4">
        <v>0</v>
      </c>
      <c r="O30" s="4">
        <v>2</v>
      </c>
      <c r="P30" s="4">
        <v>3</v>
      </c>
      <c r="R30" t="s">
        <v>522</v>
      </c>
    </row>
    <row r="31" spans="1:45">
      <c r="A31" t="s">
        <v>69</v>
      </c>
      <c r="B31" s="4">
        <v>0</v>
      </c>
      <c r="C31" s="4">
        <v>1</v>
      </c>
      <c r="D31" s="4">
        <v>1</v>
      </c>
      <c r="E31"/>
      <c r="F31" t="s">
        <v>69</v>
      </c>
      <c r="G31"/>
      <c r="H31" s="4">
        <v>0</v>
      </c>
      <c r="I31" s="4">
        <v>1</v>
      </c>
      <c r="J31" s="4">
        <v>0</v>
      </c>
      <c r="L31" t="s">
        <v>69</v>
      </c>
      <c r="M31"/>
      <c r="N31" s="4">
        <v>0</v>
      </c>
      <c r="O31" s="4">
        <v>1</v>
      </c>
      <c r="P31" s="4">
        <v>0</v>
      </c>
      <c r="R31" t="s">
        <v>69</v>
      </c>
      <c r="T31" s="4">
        <v>0</v>
      </c>
      <c r="U31" s="4" t="s">
        <v>533</v>
      </c>
      <c r="V31" s="4">
        <v>0</v>
      </c>
      <c r="W31" s="4">
        <v>0</v>
      </c>
      <c r="X31" s="4" t="s">
        <v>533</v>
      </c>
      <c r="Y31" s="4">
        <v>0</v>
      </c>
    </row>
    <row r="32" spans="1:45">
      <c r="A32" t="s">
        <v>70</v>
      </c>
      <c r="B32" s="4">
        <v>1</v>
      </c>
      <c r="C32" s="4">
        <v>0</v>
      </c>
      <c r="D32" s="4">
        <v>0</v>
      </c>
      <c r="F32" t="s">
        <v>70</v>
      </c>
      <c r="H32" s="4">
        <v>1</v>
      </c>
      <c r="I32" s="4">
        <v>0</v>
      </c>
      <c r="J32" s="4">
        <v>0</v>
      </c>
      <c r="L32" t="s">
        <v>70</v>
      </c>
      <c r="M32"/>
      <c r="N32" s="4">
        <v>1</v>
      </c>
      <c r="O32" s="4">
        <v>1</v>
      </c>
      <c r="P32" s="4">
        <v>0</v>
      </c>
      <c r="R32" t="s">
        <v>70</v>
      </c>
      <c r="T32" s="4">
        <v>0</v>
      </c>
      <c r="U32" s="4" t="s">
        <v>533</v>
      </c>
      <c r="V32" s="4">
        <v>0</v>
      </c>
      <c r="W32" s="4">
        <v>0</v>
      </c>
      <c r="X32" s="4" t="s">
        <v>533</v>
      </c>
      <c r="Y32" s="4">
        <v>0</v>
      </c>
    </row>
    <row r="33" spans="1:46">
      <c r="A33" t="s">
        <v>220</v>
      </c>
      <c r="B33" s="4">
        <v>1</v>
      </c>
      <c r="C33" s="4">
        <v>0</v>
      </c>
      <c r="D33" s="4">
        <v>0</v>
      </c>
      <c r="F33" t="s">
        <v>220</v>
      </c>
      <c r="H33" s="4">
        <v>1</v>
      </c>
      <c r="I33" s="4">
        <v>0</v>
      </c>
      <c r="J33" s="4">
        <v>0</v>
      </c>
      <c r="L33" t="s">
        <v>220</v>
      </c>
      <c r="M33"/>
      <c r="N33" s="4">
        <v>2</v>
      </c>
      <c r="O33" s="4">
        <v>0</v>
      </c>
      <c r="P33" s="4">
        <v>0</v>
      </c>
      <c r="R33" t="s">
        <v>220</v>
      </c>
    </row>
    <row r="34" spans="1:46">
      <c r="A34" t="s">
        <v>523</v>
      </c>
      <c r="B34" s="4">
        <v>3</v>
      </c>
      <c r="C34" s="4">
        <v>1</v>
      </c>
      <c r="D34" s="4" t="s">
        <v>535</v>
      </c>
      <c r="E34"/>
      <c r="F34" t="s">
        <v>523</v>
      </c>
      <c r="G34"/>
      <c r="H34" s="4" t="s">
        <v>534</v>
      </c>
      <c r="I34" s="4">
        <v>1</v>
      </c>
      <c r="J34" s="4" t="s">
        <v>535</v>
      </c>
      <c r="L34" t="s">
        <v>523</v>
      </c>
      <c r="M34"/>
      <c r="N34" s="4">
        <v>3</v>
      </c>
      <c r="O34" s="4">
        <v>1</v>
      </c>
      <c r="P34" s="4">
        <v>4</v>
      </c>
      <c r="R34" t="s">
        <v>523</v>
      </c>
    </row>
    <row r="35" spans="1:46">
      <c r="A35" t="s">
        <v>237</v>
      </c>
      <c r="B35" s="4">
        <v>0</v>
      </c>
      <c r="C35" s="4">
        <v>2</v>
      </c>
      <c r="D35" s="4">
        <v>0</v>
      </c>
      <c r="E35"/>
      <c r="F35" t="s">
        <v>237</v>
      </c>
      <c r="G35"/>
      <c r="H35" s="4">
        <v>0</v>
      </c>
      <c r="I35" s="4">
        <v>2</v>
      </c>
      <c r="J35" s="4">
        <v>0</v>
      </c>
      <c r="L35" t="s">
        <v>237</v>
      </c>
      <c r="M35"/>
      <c r="N35" s="4">
        <v>0</v>
      </c>
      <c r="O35" s="4">
        <v>2</v>
      </c>
      <c r="P35" s="4">
        <v>0</v>
      </c>
      <c r="R35" t="s">
        <v>237</v>
      </c>
    </row>
    <row r="36" spans="1:46">
      <c r="A36" t="s">
        <v>524</v>
      </c>
      <c r="B36" s="4">
        <v>0</v>
      </c>
      <c r="C36" s="4">
        <v>2</v>
      </c>
      <c r="D36" s="4" t="s">
        <v>532</v>
      </c>
      <c r="E36"/>
      <c r="F36" t="s">
        <v>524</v>
      </c>
      <c r="G36"/>
      <c r="H36" s="4">
        <v>0</v>
      </c>
      <c r="I36" s="4">
        <v>2</v>
      </c>
      <c r="J36" s="4" t="s">
        <v>532</v>
      </c>
      <c r="L36" t="s">
        <v>524</v>
      </c>
      <c r="M36"/>
      <c r="N36" s="4">
        <v>0</v>
      </c>
      <c r="O36" s="4">
        <v>2</v>
      </c>
      <c r="P36" s="4">
        <v>2</v>
      </c>
      <c r="R36" t="s">
        <v>524</v>
      </c>
    </row>
    <row r="37" spans="1:46">
      <c r="A37" t="s">
        <v>525</v>
      </c>
      <c r="B37" s="4">
        <v>2</v>
      </c>
      <c r="C37" s="4">
        <v>0</v>
      </c>
      <c r="D37" s="4">
        <v>2</v>
      </c>
      <c r="E37"/>
      <c r="F37" t="s">
        <v>525</v>
      </c>
      <c r="G37"/>
      <c r="H37" s="4">
        <v>1</v>
      </c>
      <c r="I37" s="4">
        <v>0</v>
      </c>
      <c r="J37" s="4">
        <v>2</v>
      </c>
      <c r="L37" t="s">
        <v>525</v>
      </c>
      <c r="M37"/>
      <c r="N37" s="4">
        <v>2</v>
      </c>
      <c r="O37" s="4">
        <v>0</v>
      </c>
      <c r="P37" s="4">
        <v>1</v>
      </c>
      <c r="R37" t="s">
        <v>525</v>
      </c>
    </row>
    <row r="38" spans="1:46">
      <c r="A38" t="s">
        <v>529</v>
      </c>
      <c r="B38" s="4">
        <f>SUM(B27:B37)*3+13</f>
        <v>58</v>
      </c>
      <c r="C38" s="4">
        <f>SUM(C27:C37)*3+13</f>
        <v>40</v>
      </c>
      <c r="D38" s="4">
        <f>SUM(D27:D37)*3+13</f>
        <v>31</v>
      </c>
      <c r="F38" s="77" t="s">
        <v>530</v>
      </c>
      <c r="I38" s="4" t="s">
        <v>1</v>
      </c>
    </row>
    <row r="39" spans="1:46">
      <c r="A39" t="s">
        <v>528</v>
      </c>
      <c r="B39" s="4">
        <f>SUM(B27:B37)*2+13</f>
        <v>43</v>
      </c>
      <c r="C39" s="4">
        <f>SUM(C27:C37)*2+13</f>
        <v>31</v>
      </c>
      <c r="D39" s="4">
        <f>SUM(D27:D37)*2+13</f>
        <v>25</v>
      </c>
      <c r="F39" s="77"/>
    </row>
    <row r="40" spans="1:46">
      <c r="A40" t="s">
        <v>527</v>
      </c>
      <c r="B40" s="4">
        <f>SUM(B27:B37)*1+13</f>
        <v>28</v>
      </c>
      <c r="C40" s="4">
        <f>SUM(C27:C37)*1+13</f>
        <v>22</v>
      </c>
      <c r="D40" s="4">
        <f>SUM(D27:D37)*1+13</f>
        <v>19</v>
      </c>
      <c r="F40" s="77"/>
    </row>
    <row r="41" spans="1:46">
      <c r="A41" t="s">
        <v>536</v>
      </c>
      <c r="E41" s="4" t="s">
        <v>537</v>
      </c>
      <c r="F41"/>
      <c r="G41"/>
      <c r="I41" s="4" t="s">
        <v>538</v>
      </c>
      <c r="N41" s="4" t="s">
        <v>1</v>
      </c>
      <c r="P41" s="4" t="s">
        <v>539</v>
      </c>
      <c r="R41" s="4" t="s">
        <v>1</v>
      </c>
      <c r="U41" s="4" t="s">
        <v>526</v>
      </c>
      <c r="V41" s="4" t="s">
        <v>526</v>
      </c>
      <c r="Y41" s="4" t="s">
        <v>1</v>
      </c>
      <c r="Z41" s="4" t="s">
        <v>526</v>
      </c>
      <c r="AC41" s="4" t="s">
        <v>540</v>
      </c>
      <c r="AF41" s="4" t="s">
        <v>526</v>
      </c>
    </row>
    <row r="42" spans="1:46">
      <c r="A42" t="s">
        <v>171</v>
      </c>
      <c r="B42" s="4">
        <v>1</v>
      </c>
      <c r="C42" s="4">
        <v>2</v>
      </c>
      <c r="D42" s="4">
        <v>4</v>
      </c>
      <c r="E42" s="4">
        <v>14</v>
      </c>
      <c r="F42" s="4">
        <v>15</v>
      </c>
      <c r="G42" s="4">
        <v>16</v>
      </c>
      <c r="H42" s="4">
        <v>17</v>
      </c>
      <c r="I42" s="4">
        <v>1</v>
      </c>
      <c r="J42" s="4">
        <v>4</v>
      </c>
      <c r="K42" s="4">
        <v>12</v>
      </c>
      <c r="L42" s="4">
        <v>14</v>
      </c>
      <c r="M42" s="4">
        <v>15</v>
      </c>
      <c r="N42" s="4">
        <v>16</v>
      </c>
      <c r="O42" s="4">
        <v>17</v>
      </c>
      <c r="P42" s="4">
        <v>3</v>
      </c>
      <c r="Q42" s="4">
        <v>4</v>
      </c>
      <c r="R42" s="4">
        <v>5</v>
      </c>
      <c r="S42" s="4">
        <v>6</v>
      </c>
      <c r="T42" s="4">
        <v>8</v>
      </c>
      <c r="U42" s="4">
        <v>9</v>
      </c>
      <c r="V42" s="4">
        <v>10</v>
      </c>
      <c r="W42" s="4">
        <v>11</v>
      </c>
      <c r="X42" s="4">
        <v>12</v>
      </c>
      <c r="Y42" s="4">
        <v>13</v>
      </c>
      <c r="Z42" s="4">
        <v>15</v>
      </c>
      <c r="AA42" s="4">
        <v>16</v>
      </c>
      <c r="AB42" s="4">
        <v>17</v>
      </c>
      <c r="AC42" s="4">
        <v>1</v>
      </c>
      <c r="AD42" s="4">
        <v>2</v>
      </c>
      <c r="AE42" s="4">
        <v>3</v>
      </c>
      <c r="AF42" s="4">
        <v>4</v>
      </c>
      <c r="AG42" s="4">
        <v>5</v>
      </c>
      <c r="AH42" s="4">
        <v>6</v>
      </c>
      <c r="AI42" s="4">
        <v>7</v>
      </c>
      <c r="AM42" s="4" t="s">
        <v>140</v>
      </c>
      <c r="AN42" s="4" t="s">
        <v>141</v>
      </c>
      <c r="AO42" s="4" t="s">
        <v>142</v>
      </c>
    </row>
    <row r="43" spans="1:46">
      <c r="A43" t="s">
        <v>54</v>
      </c>
      <c r="B43" s="4">
        <v>4</v>
      </c>
      <c r="C43" s="4">
        <v>4</v>
      </c>
      <c r="D43" s="4">
        <v>4</v>
      </c>
      <c r="E43" s="4">
        <v>4</v>
      </c>
      <c r="F43" s="4">
        <v>4</v>
      </c>
      <c r="G43" s="4">
        <v>5</v>
      </c>
      <c r="H43" s="4">
        <v>5</v>
      </c>
      <c r="I43" s="4">
        <v>5</v>
      </c>
      <c r="J43" s="4">
        <v>6</v>
      </c>
      <c r="K43" s="4">
        <v>6</v>
      </c>
      <c r="L43" s="79">
        <v>4</v>
      </c>
      <c r="M43" s="4">
        <v>4</v>
      </c>
      <c r="N43" s="4">
        <v>4</v>
      </c>
      <c r="O43" s="4">
        <v>4</v>
      </c>
      <c r="P43" s="4">
        <v>4</v>
      </c>
      <c r="Q43" s="4">
        <v>3</v>
      </c>
      <c r="R43" s="4">
        <v>3</v>
      </c>
      <c r="S43" s="79">
        <v>3</v>
      </c>
      <c r="T43" s="4">
        <v>4</v>
      </c>
      <c r="U43" s="4">
        <v>4</v>
      </c>
      <c r="V43" s="4">
        <v>4</v>
      </c>
      <c r="W43" s="4">
        <v>4</v>
      </c>
      <c r="X43" s="4">
        <v>4</v>
      </c>
      <c r="Y43" s="4">
        <v>4</v>
      </c>
      <c r="Z43" s="4">
        <v>4</v>
      </c>
      <c r="AA43" s="4">
        <v>4</v>
      </c>
      <c r="AB43" s="4">
        <v>4</v>
      </c>
      <c r="AC43" s="4">
        <v>4</v>
      </c>
      <c r="AD43" s="4">
        <v>4</v>
      </c>
      <c r="AE43" s="4">
        <v>4</v>
      </c>
      <c r="AF43" s="4">
        <v>4</v>
      </c>
      <c r="AG43" s="4">
        <v>3</v>
      </c>
      <c r="AH43" s="4">
        <v>4</v>
      </c>
      <c r="AI43" s="79">
        <v>4</v>
      </c>
      <c r="AJ43" s="4">
        <v>1</v>
      </c>
      <c r="AK43" t="s">
        <v>54</v>
      </c>
      <c r="AM43" s="4">
        <v>0.60000000000000009</v>
      </c>
      <c r="AN43" s="4">
        <v>1.7000000000000002</v>
      </c>
      <c r="AO43" s="4">
        <v>1.6</v>
      </c>
      <c r="AT43"/>
    </row>
    <row r="44" spans="1:46">
      <c r="A44" t="s">
        <v>63</v>
      </c>
      <c r="B44" s="4">
        <v>5</v>
      </c>
      <c r="C44" s="4">
        <v>5</v>
      </c>
      <c r="D44" s="4">
        <v>4</v>
      </c>
      <c r="E44" s="4">
        <v>4</v>
      </c>
      <c r="F44" s="4">
        <v>4</v>
      </c>
      <c r="G44" s="4">
        <v>4</v>
      </c>
      <c r="H44" s="4">
        <v>4</v>
      </c>
      <c r="I44" s="4">
        <v>4</v>
      </c>
      <c r="J44" s="4">
        <v>4</v>
      </c>
      <c r="K44" s="4">
        <v>4</v>
      </c>
      <c r="L44" s="79">
        <v>4</v>
      </c>
      <c r="M44" s="4">
        <v>3</v>
      </c>
      <c r="N44" s="4">
        <v>3</v>
      </c>
      <c r="O44" s="4">
        <v>3</v>
      </c>
      <c r="P44" s="4">
        <v>3</v>
      </c>
      <c r="Q44" s="4">
        <v>3</v>
      </c>
      <c r="R44" s="4">
        <v>3</v>
      </c>
      <c r="S44" s="79">
        <v>3</v>
      </c>
      <c r="T44" s="4">
        <v>3</v>
      </c>
      <c r="U44" s="4">
        <v>3</v>
      </c>
      <c r="V44" s="4">
        <v>3</v>
      </c>
      <c r="W44" s="4">
        <v>3</v>
      </c>
      <c r="X44" s="4">
        <v>3</v>
      </c>
      <c r="Y44" s="4">
        <v>3</v>
      </c>
      <c r="Z44" s="4">
        <v>3</v>
      </c>
      <c r="AA44" s="4">
        <v>3</v>
      </c>
      <c r="AB44" s="4">
        <v>3</v>
      </c>
      <c r="AC44" s="4">
        <v>3</v>
      </c>
      <c r="AD44" s="4">
        <v>3</v>
      </c>
      <c r="AE44" s="4">
        <v>2</v>
      </c>
      <c r="AF44" s="4">
        <v>3</v>
      </c>
      <c r="AG44" s="4">
        <v>3</v>
      </c>
      <c r="AH44" s="4">
        <v>4</v>
      </c>
      <c r="AI44" s="79">
        <v>4</v>
      </c>
      <c r="AJ44" s="4">
        <v>1</v>
      </c>
      <c r="AK44" t="s">
        <v>63</v>
      </c>
      <c r="AM44" s="4">
        <v>5.9</v>
      </c>
      <c r="AN44" s="4">
        <v>0.7</v>
      </c>
      <c r="AO44" s="4">
        <v>2.2000000000000002</v>
      </c>
      <c r="AT44"/>
    </row>
    <row r="45" spans="1:46">
      <c r="A45" t="s">
        <v>188</v>
      </c>
      <c r="B45" s="4">
        <v>4</v>
      </c>
      <c r="C45" s="4">
        <v>4</v>
      </c>
      <c r="D45" s="4">
        <v>4</v>
      </c>
      <c r="E45" s="4">
        <v>4</v>
      </c>
      <c r="F45" s="4">
        <v>4</v>
      </c>
      <c r="G45" s="4">
        <v>4</v>
      </c>
      <c r="H45" s="4">
        <v>4</v>
      </c>
      <c r="I45" s="4">
        <v>4</v>
      </c>
      <c r="J45" s="4">
        <v>4</v>
      </c>
      <c r="K45" s="4">
        <v>4</v>
      </c>
      <c r="L45" s="79">
        <v>4</v>
      </c>
      <c r="M45" s="4">
        <v>4</v>
      </c>
      <c r="N45" s="4">
        <v>4</v>
      </c>
      <c r="O45" s="4">
        <v>4</v>
      </c>
      <c r="P45" s="4">
        <v>4</v>
      </c>
      <c r="Q45" s="4">
        <v>3</v>
      </c>
      <c r="R45" s="4">
        <v>3</v>
      </c>
      <c r="S45" s="79">
        <v>3</v>
      </c>
      <c r="T45" s="4">
        <v>3</v>
      </c>
      <c r="U45" s="4">
        <v>3</v>
      </c>
      <c r="V45" s="4">
        <v>3</v>
      </c>
      <c r="W45" s="4">
        <v>3</v>
      </c>
      <c r="X45" s="4">
        <v>3</v>
      </c>
      <c r="Y45" s="4">
        <v>3</v>
      </c>
      <c r="Z45" s="4">
        <v>3</v>
      </c>
      <c r="AA45" s="4">
        <v>4</v>
      </c>
      <c r="AB45" s="4">
        <v>4</v>
      </c>
      <c r="AC45" s="4">
        <v>4</v>
      </c>
      <c r="AD45" s="4">
        <v>4</v>
      </c>
      <c r="AE45" s="4">
        <v>4</v>
      </c>
      <c r="AF45" s="4">
        <v>3</v>
      </c>
      <c r="AG45" s="4">
        <v>4</v>
      </c>
      <c r="AH45" s="4">
        <v>4</v>
      </c>
      <c r="AI45" s="79">
        <v>4</v>
      </c>
      <c r="AJ45" s="4">
        <v>1</v>
      </c>
      <c r="AK45" t="s">
        <v>188</v>
      </c>
      <c r="AM45" s="4">
        <v>0.9</v>
      </c>
      <c r="AN45" s="4">
        <v>2.9</v>
      </c>
      <c r="AO45" s="4">
        <v>0.1</v>
      </c>
      <c r="AT45"/>
    </row>
    <row r="46" spans="1:46">
      <c r="A46" t="s">
        <v>522</v>
      </c>
      <c r="B46" s="4">
        <v>4</v>
      </c>
      <c r="C46" s="4">
        <v>4</v>
      </c>
      <c r="D46" s="4">
        <v>4</v>
      </c>
      <c r="E46" s="4">
        <v>4</v>
      </c>
      <c r="F46" s="4">
        <v>4</v>
      </c>
      <c r="G46" s="4">
        <v>4</v>
      </c>
      <c r="H46" s="4">
        <v>4</v>
      </c>
      <c r="I46" s="4">
        <v>4</v>
      </c>
      <c r="J46" s="4">
        <v>4</v>
      </c>
      <c r="K46" s="4">
        <v>4</v>
      </c>
      <c r="L46" s="79">
        <v>4</v>
      </c>
      <c r="M46" s="4">
        <v>4</v>
      </c>
      <c r="N46" s="4">
        <v>4</v>
      </c>
      <c r="O46" s="4">
        <v>4</v>
      </c>
      <c r="P46" s="4">
        <v>4</v>
      </c>
      <c r="Q46" s="4">
        <v>3</v>
      </c>
      <c r="R46" s="4">
        <v>3</v>
      </c>
      <c r="S46" s="79">
        <v>3</v>
      </c>
      <c r="T46" s="4">
        <v>3</v>
      </c>
      <c r="U46" s="4">
        <v>3</v>
      </c>
      <c r="V46" s="4">
        <v>3</v>
      </c>
      <c r="W46" s="4">
        <v>3</v>
      </c>
      <c r="X46" s="4">
        <v>3</v>
      </c>
      <c r="Y46" s="4">
        <v>3</v>
      </c>
      <c r="Z46" s="4">
        <v>3</v>
      </c>
      <c r="AA46" s="4">
        <v>4</v>
      </c>
      <c r="AB46" s="4">
        <v>4</v>
      </c>
      <c r="AC46" s="4">
        <v>4</v>
      </c>
      <c r="AD46" s="4">
        <v>4</v>
      </c>
      <c r="AE46" s="4">
        <v>4</v>
      </c>
      <c r="AF46" s="4">
        <v>4</v>
      </c>
      <c r="AG46" s="4">
        <v>4</v>
      </c>
      <c r="AH46" s="4">
        <v>4</v>
      </c>
      <c r="AI46" s="79">
        <v>4</v>
      </c>
      <c r="AJ46" s="4">
        <v>1</v>
      </c>
      <c r="AK46" t="s">
        <v>522</v>
      </c>
      <c r="AM46" s="4">
        <v>0.1</v>
      </c>
      <c r="AN46" s="4">
        <v>1.9</v>
      </c>
      <c r="AO46" s="4">
        <v>2.2999999999999998</v>
      </c>
      <c r="AT46"/>
    </row>
    <row r="47" spans="1:46">
      <c r="A47" t="s">
        <v>69</v>
      </c>
      <c r="B47" s="4">
        <v>4</v>
      </c>
      <c r="C47" s="4">
        <v>4</v>
      </c>
      <c r="D47" s="4">
        <v>4</v>
      </c>
      <c r="E47" s="4">
        <v>4</v>
      </c>
      <c r="F47" s="4">
        <v>5</v>
      </c>
      <c r="G47" s="4">
        <v>5</v>
      </c>
      <c r="H47" s="4">
        <v>5</v>
      </c>
      <c r="I47" s="4">
        <v>5</v>
      </c>
      <c r="J47" s="4">
        <v>6</v>
      </c>
      <c r="K47" s="4">
        <v>4</v>
      </c>
      <c r="L47" s="79">
        <v>4</v>
      </c>
      <c r="M47" s="4">
        <v>4</v>
      </c>
      <c r="N47" s="4">
        <v>4</v>
      </c>
      <c r="O47" s="4">
        <v>4</v>
      </c>
      <c r="P47" s="4">
        <v>4</v>
      </c>
      <c r="Q47" s="4">
        <v>3</v>
      </c>
      <c r="R47" s="4">
        <v>3</v>
      </c>
      <c r="S47" s="79">
        <v>3</v>
      </c>
      <c r="T47" s="4">
        <v>4</v>
      </c>
      <c r="U47" s="4">
        <v>4</v>
      </c>
      <c r="V47" s="4">
        <v>4</v>
      </c>
      <c r="W47" s="4">
        <v>4</v>
      </c>
      <c r="X47" s="4">
        <v>4</v>
      </c>
      <c r="Y47" s="4">
        <v>4</v>
      </c>
      <c r="Z47" s="4">
        <v>4</v>
      </c>
      <c r="AA47" s="4">
        <v>4</v>
      </c>
      <c r="AB47" s="4">
        <v>4</v>
      </c>
      <c r="AC47" s="4">
        <v>4</v>
      </c>
      <c r="AD47" s="4">
        <v>4</v>
      </c>
      <c r="AE47" s="4">
        <v>4</v>
      </c>
      <c r="AF47" s="4">
        <v>4</v>
      </c>
      <c r="AG47" s="4">
        <v>3</v>
      </c>
      <c r="AH47" s="4">
        <v>4</v>
      </c>
      <c r="AI47" s="79">
        <v>4</v>
      </c>
      <c r="AJ47" s="4">
        <v>1</v>
      </c>
      <c r="AK47" t="s">
        <v>69</v>
      </c>
      <c r="AM47" s="4">
        <v>0.30000000000000004</v>
      </c>
      <c r="AN47" s="4">
        <v>0.60000000000000009</v>
      </c>
      <c r="AO47" s="4">
        <v>0.2</v>
      </c>
      <c r="AT47"/>
    </row>
    <row r="48" spans="1:46">
      <c r="A48" t="s">
        <v>70</v>
      </c>
      <c r="B48" s="4">
        <v>4</v>
      </c>
      <c r="C48" s="4">
        <v>4</v>
      </c>
      <c r="D48" s="4">
        <v>4</v>
      </c>
      <c r="E48" s="4">
        <v>4</v>
      </c>
      <c r="F48" s="4">
        <v>5</v>
      </c>
      <c r="G48" s="4">
        <v>5</v>
      </c>
      <c r="H48" s="4">
        <v>5</v>
      </c>
      <c r="I48" s="4">
        <v>5</v>
      </c>
      <c r="J48" s="4">
        <v>5</v>
      </c>
      <c r="K48" s="4">
        <v>4</v>
      </c>
      <c r="L48" s="79">
        <v>4</v>
      </c>
      <c r="M48" s="4">
        <v>4</v>
      </c>
      <c r="N48" s="4">
        <v>4</v>
      </c>
      <c r="O48" s="4">
        <v>4</v>
      </c>
      <c r="P48" s="4">
        <v>4</v>
      </c>
      <c r="Q48" s="4">
        <v>4</v>
      </c>
      <c r="R48" s="4">
        <v>3</v>
      </c>
      <c r="S48" s="79">
        <v>3</v>
      </c>
      <c r="T48" s="4">
        <v>3</v>
      </c>
      <c r="U48" s="4">
        <v>4</v>
      </c>
      <c r="V48" s="4">
        <v>4</v>
      </c>
      <c r="W48" s="4">
        <v>4</v>
      </c>
      <c r="X48" s="4">
        <v>4</v>
      </c>
      <c r="Y48" s="4">
        <v>4</v>
      </c>
      <c r="Z48" s="4">
        <v>4</v>
      </c>
      <c r="AA48" s="4">
        <v>4</v>
      </c>
      <c r="AB48" s="4">
        <v>4</v>
      </c>
      <c r="AC48" s="4">
        <v>4</v>
      </c>
      <c r="AD48" s="4">
        <v>4</v>
      </c>
      <c r="AE48" s="4">
        <v>4</v>
      </c>
      <c r="AF48" s="4">
        <v>4</v>
      </c>
      <c r="AG48" s="4">
        <v>4</v>
      </c>
      <c r="AH48" s="4">
        <v>4</v>
      </c>
      <c r="AI48" s="79">
        <v>4</v>
      </c>
      <c r="AJ48" s="4">
        <v>1</v>
      </c>
      <c r="AK48" t="s">
        <v>70</v>
      </c>
      <c r="AM48" s="4">
        <v>0.30000000000000004</v>
      </c>
      <c r="AN48" s="4">
        <v>0.60000000000000009</v>
      </c>
      <c r="AO48" s="4">
        <v>0.2</v>
      </c>
      <c r="AT48"/>
    </row>
    <row r="49" spans="1:46">
      <c r="A49" t="s">
        <v>220</v>
      </c>
      <c r="B49" s="4">
        <v>4</v>
      </c>
      <c r="C49" s="4">
        <v>4</v>
      </c>
      <c r="D49" s="4">
        <v>4</v>
      </c>
      <c r="E49" s="4">
        <v>4</v>
      </c>
      <c r="F49" s="4">
        <v>4</v>
      </c>
      <c r="G49" s="4">
        <v>4</v>
      </c>
      <c r="H49" s="4">
        <v>4</v>
      </c>
      <c r="I49" s="4">
        <v>4</v>
      </c>
      <c r="J49" s="4">
        <v>5</v>
      </c>
      <c r="K49" s="4">
        <v>5</v>
      </c>
      <c r="L49" s="79">
        <v>4</v>
      </c>
      <c r="M49" s="4">
        <v>4</v>
      </c>
      <c r="N49" s="4">
        <v>4</v>
      </c>
      <c r="O49" s="4">
        <v>4</v>
      </c>
      <c r="P49" s="4">
        <v>4</v>
      </c>
      <c r="Q49" s="4">
        <v>4</v>
      </c>
      <c r="R49" s="4">
        <v>3</v>
      </c>
      <c r="S49" s="79">
        <v>3</v>
      </c>
      <c r="T49" s="4">
        <v>3</v>
      </c>
      <c r="U49" s="4">
        <v>3</v>
      </c>
      <c r="V49" s="4">
        <v>4</v>
      </c>
      <c r="W49" s="4">
        <v>4</v>
      </c>
      <c r="X49" s="4">
        <v>4</v>
      </c>
      <c r="Y49" s="4">
        <v>4</v>
      </c>
      <c r="Z49" s="4">
        <v>4</v>
      </c>
      <c r="AA49" s="4">
        <v>4</v>
      </c>
      <c r="AB49" s="4">
        <v>4</v>
      </c>
      <c r="AC49" s="4">
        <v>4</v>
      </c>
      <c r="AD49" s="4">
        <v>4</v>
      </c>
      <c r="AE49" s="4">
        <v>4</v>
      </c>
      <c r="AF49" s="4">
        <v>4</v>
      </c>
      <c r="AG49" s="4">
        <v>4</v>
      </c>
      <c r="AH49" s="4">
        <v>4</v>
      </c>
      <c r="AI49" s="79">
        <v>4</v>
      </c>
      <c r="AJ49" s="4">
        <v>1</v>
      </c>
      <c r="AK49" t="s">
        <v>220</v>
      </c>
      <c r="AM49" s="4">
        <v>1.6</v>
      </c>
      <c r="AN49" s="4">
        <v>0.1</v>
      </c>
      <c r="AO49" s="4">
        <v>0.1</v>
      </c>
      <c r="AT49"/>
    </row>
    <row r="50" spans="1:46">
      <c r="A50" t="s">
        <v>523</v>
      </c>
      <c r="B50" s="4">
        <v>4</v>
      </c>
      <c r="C50" s="4">
        <v>4</v>
      </c>
      <c r="D50" s="4">
        <v>4</v>
      </c>
      <c r="E50" s="4">
        <v>4</v>
      </c>
      <c r="F50" s="4">
        <v>4</v>
      </c>
      <c r="G50" s="4">
        <v>4</v>
      </c>
      <c r="H50" s="4">
        <v>4</v>
      </c>
      <c r="I50" s="4">
        <v>4</v>
      </c>
      <c r="J50" s="4">
        <v>4</v>
      </c>
      <c r="K50" s="4">
        <v>4</v>
      </c>
      <c r="L50" s="79">
        <v>4</v>
      </c>
      <c r="M50" s="4">
        <v>4</v>
      </c>
      <c r="N50" s="4">
        <v>3</v>
      </c>
      <c r="O50" s="4">
        <v>3</v>
      </c>
      <c r="P50" s="4">
        <v>3</v>
      </c>
      <c r="Q50" s="4">
        <v>3</v>
      </c>
      <c r="R50" s="4">
        <v>3</v>
      </c>
      <c r="S50" s="79">
        <v>3</v>
      </c>
      <c r="T50" s="4">
        <v>3</v>
      </c>
      <c r="U50" s="4">
        <v>3</v>
      </c>
      <c r="V50" s="4">
        <v>3</v>
      </c>
      <c r="W50" s="4">
        <v>3</v>
      </c>
      <c r="X50" s="4">
        <v>3</v>
      </c>
      <c r="Y50" s="4">
        <v>3</v>
      </c>
      <c r="Z50" s="4">
        <v>3</v>
      </c>
      <c r="AA50" s="4">
        <v>3</v>
      </c>
      <c r="AB50" s="4">
        <v>4</v>
      </c>
      <c r="AC50" s="4">
        <v>4</v>
      </c>
      <c r="AD50" s="4">
        <v>4</v>
      </c>
      <c r="AE50" s="4">
        <v>4</v>
      </c>
      <c r="AF50" s="4">
        <v>4</v>
      </c>
      <c r="AG50" s="4">
        <v>4</v>
      </c>
      <c r="AH50" s="4">
        <v>4</v>
      </c>
      <c r="AI50" s="79">
        <v>4</v>
      </c>
      <c r="AJ50" s="4">
        <v>1</v>
      </c>
      <c r="AK50" t="s">
        <v>523</v>
      </c>
      <c r="AM50" s="4">
        <v>2.4</v>
      </c>
      <c r="AN50" s="4">
        <v>0.9</v>
      </c>
      <c r="AO50" s="4">
        <v>3.6</v>
      </c>
      <c r="AT50"/>
    </row>
    <row r="51" spans="1:46">
      <c r="A51" t="s">
        <v>237</v>
      </c>
      <c r="B51" s="4">
        <v>4</v>
      </c>
      <c r="C51" s="4">
        <v>4</v>
      </c>
      <c r="D51" s="4">
        <v>4</v>
      </c>
      <c r="E51" s="4">
        <v>4</v>
      </c>
      <c r="F51" s="4">
        <v>4</v>
      </c>
      <c r="G51" s="4">
        <v>4</v>
      </c>
      <c r="H51" s="4">
        <v>4</v>
      </c>
      <c r="I51" s="4">
        <v>4</v>
      </c>
      <c r="J51" s="4">
        <v>4</v>
      </c>
      <c r="K51" s="4">
        <v>4</v>
      </c>
      <c r="L51" s="79">
        <v>4</v>
      </c>
      <c r="M51" s="4">
        <v>4</v>
      </c>
      <c r="N51" s="4">
        <v>3</v>
      </c>
      <c r="O51" s="4">
        <v>3</v>
      </c>
      <c r="P51" s="4">
        <v>3</v>
      </c>
      <c r="Q51" s="4">
        <v>3</v>
      </c>
      <c r="R51" s="4">
        <v>3</v>
      </c>
      <c r="S51" s="79">
        <v>3</v>
      </c>
      <c r="T51" s="4">
        <v>3</v>
      </c>
      <c r="U51" s="4">
        <v>3</v>
      </c>
      <c r="V51" s="4">
        <v>3</v>
      </c>
      <c r="W51" s="4">
        <v>3</v>
      </c>
      <c r="X51" s="4">
        <v>3</v>
      </c>
      <c r="Y51" s="4">
        <v>3</v>
      </c>
      <c r="Z51" s="4">
        <v>3</v>
      </c>
      <c r="AA51" s="4">
        <v>3</v>
      </c>
      <c r="AB51" s="4">
        <v>4</v>
      </c>
      <c r="AC51" s="4">
        <v>4</v>
      </c>
      <c r="AD51" s="4">
        <v>4</v>
      </c>
      <c r="AE51" s="4">
        <v>4</v>
      </c>
      <c r="AF51" s="4">
        <v>4</v>
      </c>
      <c r="AG51" s="4">
        <v>4</v>
      </c>
      <c r="AH51" s="4">
        <v>3</v>
      </c>
      <c r="AI51" s="79">
        <v>4</v>
      </c>
      <c r="AJ51" s="4">
        <v>1</v>
      </c>
      <c r="AK51" t="s">
        <v>237</v>
      </c>
      <c r="AM51" s="4">
        <v>0.2</v>
      </c>
      <c r="AN51" s="4">
        <v>1.8</v>
      </c>
      <c r="AO51" s="4">
        <v>0.1</v>
      </c>
      <c r="AT51"/>
    </row>
    <row r="52" spans="1:46">
      <c r="A52" t="s">
        <v>524</v>
      </c>
      <c r="B52" s="4">
        <v>4</v>
      </c>
      <c r="C52" s="4">
        <v>4</v>
      </c>
      <c r="D52" s="4">
        <v>4</v>
      </c>
      <c r="E52" s="4">
        <v>4</v>
      </c>
      <c r="F52" s="4">
        <v>4</v>
      </c>
      <c r="G52" s="4">
        <v>4</v>
      </c>
      <c r="H52" s="4">
        <v>4</v>
      </c>
      <c r="I52" s="4">
        <v>4</v>
      </c>
      <c r="J52" s="4">
        <v>4</v>
      </c>
      <c r="K52" s="4">
        <v>4</v>
      </c>
      <c r="L52" s="79">
        <v>4</v>
      </c>
      <c r="M52" s="4">
        <v>4</v>
      </c>
      <c r="N52" s="4">
        <v>4</v>
      </c>
      <c r="O52" s="4">
        <v>4</v>
      </c>
      <c r="P52" s="4">
        <v>3</v>
      </c>
      <c r="Q52" s="4">
        <v>3</v>
      </c>
      <c r="R52" s="4">
        <v>3</v>
      </c>
      <c r="S52" s="79">
        <v>3</v>
      </c>
      <c r="T52" s="4">
        <v>3</v>
      </c>
      <c r="U52" s="4">
        <v>3</v>
      </c>
      <c r="V52" s="4">
        <v>3</v>
      </c>
      <c r="W52" s="4">
        <v>3</v>
      </c>
      <c r="X52" s="4">
        <v>3</v>
      </c>
      <c r="Y52" s="4">
        <v>3</v>
      </c>
      <c r="Z52" s="4">
        <v>4</v>
      </c>
      <c r="AA52" s="4">
        <v>4</v>
      </c>
      <c r="AB52" s="4">
        <v>4</v>
      </c>
      <c r="AC52" s="4">
        <v>4</v>
      </c>
      <c r="AD52" s="4">
        <v>4</v>
      </c>
      <c r="AE52" s="4">
        <v>4</v>
      </c>
      <c r="AF52" s="4">
        <v>4</v>
      </c>
      <c r="AG52" s="4">
        <v>4</v>
      </c>
      <c r="AH52" s="4">
        <v>3</v>
      </c>
      <c r="AI52" s="79">
        <v>4</v>
      </c>
      <c r="AJ52" s="4">
        <v>1</v>
      </c>
      <c r="AK52" t="s">
        <v>524</v>
      </c>
      <c r="AM52" s="4">
        <v>0.1</v>
      </c>
      <c r="AN52" s="4">
        <v>2.1</v>
      </c>
      <c r="AO52" s="4">
        <v>1.6</v>
      </c>
      <c r="AT52"/>
    </row>
    <row r="53" spans="1:46">
      <c r="A53" t="s">
        <v>525</v>
      </c>
      <c r="B53" s="4">
        <v>4</v>
      </c>
      <c r="C53" s="4">
        <v>4</v>
      </c>
      <c r="D53" s="4">
        <v>4</v>
      </c>
      <c r="E53" s="4">
        <v>4</v>
      </c>
      <c r="F53" s="4">
        <v>4</v>
      </c>
      <c r="G53" s="4">
        <v>4</v>
      </c>
      <c r="H53" s="4">
        <v>4</v>
      </c>
      <c r="I53" s="4">
        <v>4</v>
      </c>
      <c r="J53" s="4">
        <v>4</v>
      </c>
      <c r="K53" s="4">
        <v>4</v>
      </c>
      <c r="L53" s="79">
        <v>4</v>
      </c>
      <c r="M53" s="4">
        <v>4</v>
      </c>
      <c r="N53" s="4">
        <v>4</v>
      </c>
      <c r="O53" s="4">
        <v>4</v>
      </c>
      <c r="P53" s="4">
        <v>4</v>
      </c>
      <c r="Q53" s="4">
        <v>4</v>
      </c>
      <c r="R53" s="4">
        <v>4</v>
      </c>
      <c r="S53" s="79">
        <v>3</v>
      </c>
      <c r="T53" s="4">
        <v>3</v>
      </c>
      <c r="U53" s="4">
        <v>3</v>
      </c>
      <c r="V53" s="4">
        <v>3</v>
      </c>
      <c r="W53" s="4">
        <v>4</v>
      </c>
      <c r="X53" s="4">
        <v>4</v>
      </c>
      <c r="Y53" s="4">
        <v>4</v>
      </c>
      <c r="Z53" s="4">
        <v>4</v>
      </c>
      <c r="AA53" s="4">
        <v>4</v>
      </c>
      <c r="AB53" s="4">
        <v>4</v>
      </c>
      <c r="AC53" s="4">
        <v>4</v>
      </c>
      <c r="AD53" s="4">
        <v>4</v>
      </c>
      <c r="AE53" s="4">
        <v>4</v>
      </c>
      <c r="AF53" s="4">
        <v>4</v>
      </c>
      <c r="AG53" s="4">
        <v>4</v>
      </c>
      <c r="AH53" s="4">
        <v>3</v>
      </c>
      <c r="AI53" s="79">
        <v>4</v>
      </c>
      <c r="AJ53" s="4">
        <v>1</v>
      </c>
      <c r="AK53" t="s">
        <v>525</v>
      </c>
      <c r="AM53" s="4">
        <v>1</v>
      </c>
      <c r="AN53" s="4">
        <v>0.1</v>
      </c>
      <c r="AO53" s="4">
        <v>1.3</v>
      </c>
      <c r="AT53"/>
    </row>
    <row r="54" spans="1:46">
      <c r="B54" s="4" t="s">
        <v>1</v>
      </c>
      <c r="C54" s="4" t="s">
        <v>1</v>
      </c>
      <c r="D54" s="4" t="s">
        <v>1</v>
      </c>
      <c r="E54" s="4" t="s">
        <v>1</v>
      </c>
      <c r="L54" s="79"/>
      <c r="S54" s="79"/>
      <c r="AI54" s="79"/>
      <c r="AM54" s="4">
        <f>SUM(AM43:AM53)</f>
        <v>13.399999999999999</v>
      </c>
      <c r="AN54" s="4">
        <f>SUM(AN43:AN53)</f>
        <v>13.4</v>
      </c>
      <c r="AO54" s="4">
        <f>SUM(AO43:AO53)</f>
        <v>13.3</v>
      </c>
    </row>
    <row r="55" spans="1:46">
      <c r="A55" t="s">
        <v>140</v>
      </c>
      <c r="B55" s="4">
        <v>66</v>
      </c>
      <c r="C55" s="4">
        <v>66</v>
      </c>
      <c r="D55" s="4">
        <v>63</v>
      </c>
      <c r="E55" s="4">
        <v>65</v>
      </c>
      <c r="F55" s="4">
        <v>65</v>
      </c>
      <c r="G55" s="4">
        <v>67</v>
      </c>
      <c r="H55" s="4">
        <v>66</v>
      </c>
      <c r="I55" s="4">
        <v>66</v>
      </c>
      <c r="J55" s="4">
        <v>72</v>
      </c>
      <c r="K55" s="4">
        <v>71</v>
      </c>
      <c r="L55" s="79">
        <v>68</v>
      </c>
      <c r="M55" s="4">
        <v>61</v>
      </c>
      <c r="N55" s="4">
        <v>57</v>
      </c>
      <c r="O55" s="4">
        <v>57</v>
      </c>
      <c r="P55" s="4">
        <v>60</v>
      </c>
      <c r="Q55" s="4">
        <v>57</v>
      </c>
      <c r="R55" s="4">
        <v>55</v>
      </c>
      <c r="S55" s="79">
        <v>53</v>
      </c>
      <c r="T55" s="4">
        <v>53</v>
      </c>
      <c r="U55" s="4">
        <v>54</v>
      </c>
      <c r="V55" s="4">
        <v>59</v>
      </c>
      <c r="W55" s="4">
        <v>59</v>
      </c>
      <c r="X55" s="4">
        <v>58</v>
      </c>
      <c r="Y55" s="4">
        <v>58</v>
      </c>
      <c r="Z55" s="4">
        <v>56</v>
      </c>
      <c r="AA55" s="4">
        <v>57</v>
      </c>
      <c r="AB55" s="4">
        <v>60</v>
      </c>
      <c r="AC55" s="4">
        <v>59</v>
      </c>
      <c r="AD55" s="4">
        <v>63</v>
      </c>
      <c r="AE55" s="4">
        <v>56</v>
      </c>
      <c r="AF55" s="4">
        <v>61</v>
      </c>
      <c r="AG55" s="4">
        <v>60</v>
      </c>
      <c r="AH55" s="4">
        <v>65</v>
      </c>
      <c r="AI55" s="79">
        <v>67</v>
      </c>
    </row>
    <row r="56" spans="1:46">
      <c r="A56" t="s">
        <v>141</v>
      </c>
      <c r="B56" s="4">
        <v>61</v>
      </c>
      <c r="C56" s="4">
        <v>61</v>
      </c>
      <c r="D56" s="4">
        <v>64</v>
      </c>
      <c r="E56" s="4">
        <v>65</v>
      </c>
      <c r="F56" s="4">
        <v>66</v>
      </c>
      <c r="G56" s="4">
        <v>69</v>
      </c>
      <c r="H56" s="4">
        <v>69</v>
      </c>
      <c r="I56" s="4">
        <v>68</v>
      </c>
      <c r="J56" s="4">
        <v>71</v>
      </c>
      <c r="K56" s="4">
        <v>69</v>
      </c>
      <c r="L56" s="79">
        <v>69</v>
      </c>
      <c r="M56" s="4">
        <v>68</v>
      </c>
      <c r="N56" s="4">
        <v>64</v>
      </c>
      <c r="O56" s="4">
        <v>64</v>
      </c>
      <c r="P56" s="4">
        <v>60</v>
      </c>
      <c r="Q56" s="4">
        <v>57</v>
      </c>
      <c r="R56" s="4">
        <v>55</v>
      </c>
      <c r="S56" s="79">
        <v>54</v>
      </c>
      <c r="T56" s="4">
        <v>56</v>
      </c>
      <c r="U56" s="4">
        <v>56</v>
      </c>
      <c r="V56" s="4">
        <v>56</v>
      </c>
      <c r="W56" s="4">
        <v>55</v>
      </c>
      <c r="X56" s="4">
        <v>54</v>
      </c>
      <c r="Y56" s="4">
        <v>58</v>
      </c>
      <c r="Z56" s="4">
        <v>59</v>
      </c>
      <c r="AA56" s="4">
        <v>64</v>
      </c>
      <c r="AB56" s="4">
        <v>66</v>
      </c>
      <c r="AC56" s="4">
        <v>65</v>
      </c>
      <c r="AD56" s="4">
        <v>65</v>
      </c>
      <c r="AE56" s="4">
        <v>64</v>
      </c>
      <c r="AF56" s="4">
        <v>65</v>
      </c>
      <c r="AG56" s="4">
        <v>64</v>
      </c>
      <c r="AH56" s="4">
        <v>64</v>
      </c>
      <c r="AI56" s="79">
        <v>67</v>
      </c>
    </row>
    <row r="57" spans="1:46">
      <c r="A57" t="s">
        <v>142</v>
      </c>
      <c r="B57" s="4">
        <v>62</v>
      </c>
      <c r="C57" s="4">
        <v>62</v>
      </c>
      <c r="D57" s="4">
        <v>63</v>
      </c>
      <c r="E57" s="4">
        <v>64</v>
      </c>
      <c r="F57" s="4">
        <v>64</v>
      </c>
      <c r="G57" s="4">
        <v>67</v>
      </c>
      <c r="H57" s="4">
        <v>67</v>
      </c>
      <c r="I57" s="4">
        <v>66</v>
      </c>
      <c r="J57" s="4">
        <v>69</v>
      </c>
      <c r="K57" s="4">
        <v>69</v>
      </c>
      <c r="L57" s="79">
        <v>65</v>
      </c>
      <c r="M57" s="4">
        <v>62</v>
      </c>
      <c r="N57" s="4">
        <v>58</v>
      </c>
      <c r="O57" s="4">
        <v>62</v>
      </c>
      <c r="P57" s="4">
        <v>58</v>
      </c>
      <c r="Q57" s="4">
        <v>54</v>
      </c>
      <c r="R57" s="4">
        <v>53</v>
      </c>
      <c r="S57" s="79">
        <v>52</v>
      </c>
      <c r="T57" s="4">
        <v>57</v>
      </c>
      <c r="U57" s="4">
        <v>57</v>
      </c>
      <c r="V57" s="4">
        <v>56</v>
      </c>
      <c r="W57" s="4">
        <v>56</v>
      </c>
      <c r="X57" s="4">
        <v>56</v>
      </c>
      <c r="Y57" s="4">
        <v>56</v>
      </c>
      <c r="Z57" s="4">
        <v>55</v>
      </c>
      <c r="AA57" s="4">
        <v>62</v>
      </c>
      <c r="AB57" s="4">
        <v>65</v>
      </c>
      <c r="AC57" s="4">
        <v>65</v>
      </c>
      <c r="AD57" s="4">
        <v>64</v>
      </c>
      <c r="AE57" s="4">
        <v>62</v>
      </c>
      <c r="AF57" s="4">
        <v>64</v>
      </c>
      <c r="AG57" s="4">
        <v>61</v>
      </c>
      <c r="AH57" s="4">
        <v>61</v>
      </c>
      <c r="AI57" s="79">
        <v>68</v>
      </c>
    </row>
    <row r="58" spans="1:46">
      <c r="B58" s="4">
        <v>6</v>
      </c>
      <c r="C58" s="4">
        <v>6</v>
      </c>
      <c r="D58" s="4">
        <v>9</v>
      </c>
      <c r="E58" s="4">
        <v>11</v>
      </c>
      <c r="F58" s="4">
        <v>11</v>
      </c>
      <c r="G58" s="4">
        <v>12</v>
      </c>
      <c r="H58" s="4">
        <v>11</v>
      </c>
      <c r="I58" s="4">
        <v>11</v>
      </c>
      <c r="J58" s="4">
        <v>15</v>
      </c>
      <c r="K58" s="4">
        <v>15</v>
      </c>
      <c r="L58" s="79">
        <v>14</v>
      </c>
      <c r="M58" s="4">
        <v>13</v>
      </c>
      <c r="N58" s="4">
        <v>12</v>
      </c>
      <c r="O58" s="4">
        <v>12</v>
      </c>
      <c r="P58" s="4">
        <v>15</v>
      </c>
      <c r="Q58" s="4">
        <v>14</v>
      </c>
      <c r="R58" s="4">
        <v>14</v>
      </c>
      <c r="S58" s="79">
        <v>13</v>
      </c>
      <c r="T58" s="4">
        <v>12</v>
      </c>
      <c r="U58" s="4">
        <v>12</v>
      </c>
      <c r="V58" s="4">
        <v>16</v>
      </c>
      <c r="W58" s="4">
        <v>15</v>
      </c>
      <c r="X58" s="4">
        <v>14</v>
      </c>
      <c r="Y58" s="4">
        <v>14</v>
      </c>
      <c r="Z58" s="4">
        <v>12</v>
      </c>
      <c r="AA58" s="4">
        <v>12</v>
      </c>
      <c r="AB58" s="4">
        <v>12</v>
      </c>
      <c r="AC58" s="4">
        <v>11</v>
      </c>
      <c r="AD58" s="4">
        <v>15</v>
      </c>
      <c r="AE58" s="4">
        <v>14</v>
      </c>
      <c r="AF58" s="4">
        <v>14</v>
      </c>
      <c r="AG58" s="4">
        <v>13</v>
      </c>
      <c r="AH58" s="4">
        <v>13</v>
      </c>
      <c r="AI58" s="79">
        <v>13</v>
      </c>
    </row>
    <row r="59" spans="1:46">
      <c r="B59" s="4">
        <v>7</v>
      </c>
      <c r="C59" s="4">
        <v>7</v>
      </c>
      <c r="D59" s="4">
        <v>10</v>
      </c>
      <c r="E59" s="4">
        <v>11</v>
      </c>
      <c r="F59" s="4">
        <v>11</v>
      </c>
      <c r="G59" s="4">
        <v>12</v>
      </c>
      <c r="H59" s="4">
        <v>12</v>
      </c>
      <c r="I59" s="4">
        <v>11</v>
      </c>
      <c r="J59" s="4">
        <v>12</v>
      </c>
      <c r="K59" s="4">
        <v>12</v>
      </c>
      <c r="L59" s="79">
        <v>15</v>
      </c>
      <c r="M59" s="4">
        <v>15</v>
      </c>
      <c r="N59" s="4">
        <v>14</v>
      </c>
      <c r="O59" s="4">
        <v>14</v>
      </c>
      <c r="P59" s="4">
        <v>12</v>
      </c>
      <c r="Q59" s="4">
        <v>16</v>
      </c>
      <c r="R59" s="4">
        <v>15</v>
      </c>
      <c r="S59" s="79">
        <v>14</v>
      </c>
      <c r="T59" s="4">
        <v>13</v>
      </c>
      <c r="U59" s="4">
        <v>13</v>
      </c>
      <c r="V59" s="4">
        <v>13</v>
      </c>
      <c r="W59" s="4">
        <v>12</v>
      </c>
      <c r="X59" s="4">
        <v>11</v>
      </c>
      <c r="Y59" s="4">
        <v>15</v>
      </c>
      <c r="Z59" s="4">
        <v>14</v>
      </c>
      <c r="AA59" s="4">
        <v>14</v>
      </c>
      <c r="AB59" s="4">
        <v>13</v>
      </c>
      <c r="AC59" s="4">
        <v>12</v>
      </c>
      <c r="AD59" s="4">
        <v>12</v>
      </c>
      <c r="AE59" s="4">
        <v>12</v>
      </c>
      <c r="AF59" s="4">
        <v>15</v>
      </c>
      <c r="AG59" s="4">
        <v>14</v>
      </c>
      <c r="AH59" s="4">
        <v>14</v>
      </c>
      <c r="AI59" s="79">
        <v>13</v>
      </c>
    </row>
    <row r="60" spans="1:46">
      <c r="B60" s="4">
        <v>7</v>
      </c>
      <c r="C60" s="4">
        <v>7</v>
      </c>
      <c r="D60" s="4">
        <v>10</v>
      </c>
      <c r="E60" s="4">
        <v>11</v>
      </c>
      <c r="F60" s="4">
        <v>11</v>
      </c>
      <c r="G60" s="4">
        <v>12</v>
      </c>
      <c r="H60" s="4">
        <v>12</v>
      </c>
      <c r="I60" s="4">
        <v>11</v>
      </c>
      <c r="J60" s="4">
        <v>12</v>
      </c>
      <c r="K60" s="4">
        <v>13</v>
      </c>
      <c r="L60" s="79">
        <v>12</v>
      </c>
      <c r="M60" s="4">
        <v>11</v>
      </c>
      <c r="N60" s="4">
        <v>11</v>
      </c>
      <c r="O60" s="4">
        <v>15</v>
      </c>
      <c r="P60" s="4">
        <v>13</v>
      </c>
      <c r="Q60" s="4">
        <v>13</v>
      </c>
      <c r="R60" s="4">
        <v>12</v>
      </c>
      <c r="S60" s="79">
        <v>12</v>
      </c>
      <c r="T60" s="4">
        <v>15</v>
      </c>
      <c r="U60" s="4">
        <v>15</v>
      </c>
      <c r="V60" s="4">
        <v>14</v>
      </c>
      <c r="W60" s="4">
        <v>13</v>
      </c>
      <c r="X60" s="4">
        <v>13</v>
      </c>
      <c r="Y60" s="4">
        <v>13</v>
      </c>
      <c r="Z60" s="4">
        <v>11</v>
      </c>
      <c r="AA60" s="4">
        <v>15</v>
      </c>
      <c r="AB60" s="4">
        <v>14</v>
      </c>
      <c r="AC60" s="4">
        <v>14</v>
      </c>
      <c r="AD60" s="4">
        <v>13</v>
      </c>
      <c r="AE60" s="4">
        <v>13</v>
      </c>
      <c r="AF60" s="4">
        <v>13</v>
      </c>
      <c r="AG60" s="4">
        <v>12</v>
      </c>
      <c r="AH60" s="4">
        <v>11</v>
      </c>
      <c r="AI60" s="79">
        <v>15</v>
      </c>
    </row>
    <row r="61" spans="1:46">
      <c r="A61" t="s">
        <v>140</v>
      </c>
      <c r="B61" s="4">
        <f t="shared" ref="B61:AI61" si="9">B55-B58</f>
        <v>60</v>
      </c>
      <c r="C61" s="4">
        <f t="shared" si="9"/>
        <v>60</v>
      </c>
      <c r="D61" s="4">
        <f t="shared" si="9"/>
        <v>54</v>
      </c>
      <c r="E61" s="4">
        <f t="shared" si="9"/>
        <v>54</v>
      </c>
      <c r="F61" s="4">
        <f t="shared" si="9"/>
        <v>54</v>
      </c>
      <c r="G61" s="4">
        <f t="shared" si="9"/>
        <v>55</v>
      </c>
      <c r="H61" s="4">
        <f t="shared" si="9"/>
        <v>55</v>
      </c>
      <c r="I61" s="4">
        <f t="shared" si="9"/>
        <v>55</v>
      </c>
      <c r="J61" s="4">
        <f t="shared" si="9"/>
        <v>57</v>
      </c>
      <c r="K61" s="4">
        <f t="shared" si="9"/>
        <v>56</v>
      </c>
      <c r="L61" s="79">
        <f t="shared" si="9"/>
        <v>54</v>
      </c>
      <c r="M61" s="4">
        <f t="shared" si="9"/>
        <v>48</v>
      </c>
      <c r="N61" s="4">
        <f t="shared" si="9"/>
        <v>45</v>
      </c>
      <c r="O61" s="4">
        <f t="shared" si="9"/>
        <v>45</v>
      </c>
      <c r="P61" s="4">
        <f t="shared" si="9"/>
        <v>45</v>
      </c>
      <c r="Q61" s="4">
        <f t="shared" si="9"/>
        <v>43</v>
      </c>
      <c r="R61" s="4">
        <f t="shared" si="9"/>
        <v>41</v>
      </c>
      <c r="S61" s="79">
        <f t="shared" si="9"/>
        <v>40</v>
      </c>
      <c r="T61" s="4">
        <f t="shared" si="9"/>
        <v>41</v>
      </c>
      <c r="U61" s="4">
        <f t="shared" si="9"/>
        <v>42</v>
      </c>
      <c r="V61" s="4">
        <f t="shared" si="9"/>
        <v>43</v>
      </c>
      <c r="W61" s="4">
        <f t="shared" si="9"/>
        <v>44</v>
      </c>
      <c r="X61" s="4">
        <f t="shared" si="9"/>
        <v>44</v>
      </c>
      <c r="Y61" s="4">
        <f t="shared" si="9"/>
        <v>44</v>
      </c>
      <c r="Z61" s="4">
        <f t="shared" si="9"/>
        <v>44</v>
      </c>
      <c r="AA61" s="4">
        <f t="shared" si="9"/>
        <v>45</v>
      </c>
      <c r="AB61" s="4">
        <f t="shared" si="9"/>
        <v>48</v>
      </c>
      <c r="AC61" s="4">
        <f t="shared" si="9"/>
        <v>48</v>
      </c>
      <c r="AD61" s="4">
        <f t="shared" si="9"/>
        <v>48</v>
      </c>
      <c r="AE61" s="4">
        <f t="shared" si="9"/>
        <v>42</v>
      </c>
      <c r="AF61" s="4">
        <f t="shared" si="9"/>
        <v>47</v>
      </c>
      <c r="AG61" s="4">
        <f t="shared" si="9"/>
        <v>47</v>
      </c>
      <c r="AH61" s="4">
        <f t="shared" si="9"/>
        <v>52</v>
      </c>
      <c r="AI61" s="79">
        <f t="shared" si="9"/>
        <v>54</v>
      </c>
      <c r="AJ61" s="79">
        <v>13</v>
      </c>
      <c r="AK61" s="4">
        <f t="shared" ref="AK61:AS61" si="10">AK55-AK58</f>
        <v>0</v>
      </c>
      <c r="AL61" s="4">
        <f t="shared" si="10"/>
        <v>0</v>
      </c>
      <c r="AM61" s="4">
        <f t="shared" si="10"/>
        <v>0</v>
      </c>
      <c r="AN61" s="4">
        <f t="shared" si="10"/>
        <v>0</v>
      </c>
      <c r="AO61" s="4">
        <f t="shared" si="10"/>
        <v>0</v>
      </c>
      <c r="AP61" s="4">
        <f t="shared" si="10"/>
        <v>0</v>
      </c>
      <c r="AQ61" s="4">
        <f t="shared" si="10"/>
        <v>0</v>
      </c>
      <c r="AR61" s="4">
        <f t="shared" si="10"/>
        <v>0</v>
      </c>
      <c r="AS61" s="4">
        <f t="shared" si="10"/>
        <v>0</v>
      </c>
    </row>
    <row r="62" spans="1:46">
      <c r="A62" t="s">
        <v>141</v>
      </c>
      <c r="B62" s="4">
        <f t="shared" ref="B62:AI62" si="11">B56-B59</f>
        <v>54</v>
      </c>
      <c r="C62" s="4">
        <f t="shared" si="11"/>
        <v>54</v>
      </c>
      <c r="D62" s="4">
        <f t="shared" si="11"/>
        <v>54</v>
      </c>
      <c r="E62" s="4">
        <f t="shared" si="11"/>
        <v>54</v>
      </c>
      <c r="F62" s="4">
        <f t="shared" si="11"/>
        <v>55</v>
      </c>
      <c r="G62" s="4">
        <f t="shared" si="11"/>
        <v>57</v>
      </c>
      <c r="H62" s="4">
        <f t="shared" si="11"/>
        <v>57</v>
      </c>
      <c r="I62" s="4">
        <f t="shared" si="11"/>
        <v>57</v>
      </c>
      <c r="J62" s="4">
        <f t="shared" si="11"/>
        <v>59</v>
      </c>
      <c r="K62" s="4">
        <f t="shared" si="11"/>
        <v>57</v>
      </c>
      <c r="L62" s="79">
        <f t="shared" si="11"/>
        <v>54</v>
      </c>
      <c r="M62" s="4">
        <f t="shared" si="11"/>
        <v>53</v>
      </c>
      <c r="N62" s="4">
        <f t="shared" si="11"/>
        <v>50</v>
      </c>
      <c r="O62" s="4">
        <f t="shared" si="11"/>
        <v>50</v>
      </c>
      <c r="P62" s="4">
        <f t="shared" si="11"/>
        <v>48</v>
      </c>
      <c r="Q62" s="4">
        <f t="shared" si="11"/>
        <v>41</v>
      </c>
      <c r="R62" s="4">
        <f t="shared" si="11"/>
        <v>40</v>
      </c>
      <c r="S62" s="79">
        <f t="shared" si="11"/>
        <v>40</v>
      </c>
      <c r="T62" s="4">
        <f t="shared" si="11"/>
        <v>43</v>
      </c>
      <c r="U62" s="4">
        <f t="shared" si="11"/>
        <v>43</v>
      </c>
      <c r="V62" s="4">
        <f t="shared" si="11"/>
        <v>43</v>
      </c>
      <c r="W62" s="4">
        <f t="shared" si="11"/>
        <v>43</v>
      </c>
      <c r="X62" s="4">
        <f t="shared" si="11"/>
        <v>43</v>
      </c>
      <c r="Y62" s="4">
        <f t="shared" si="11"/>
        <v>43</v>
      </c>
      <c r="Z62" s="4">
        <f t="shared" si="11"/>
        <v>45</v>
      </c>
      <c r="AA62" s="4">
        <f t="shared" si="11"/>
        <v>50</v>
      </c>
      <c r="AB62" s="4">
        <f t="shared" si="11"/>
        <v>53</v>
      </c>
      <c r="AC62" s="4">
        <f t="shared" si="11"/>
        <v>53</v>
      </c>
      <c r="AD62" s="4">
        <f t="shared" si="11"/>
        <v>53</v>
      </c>
      <c r="AE62" s="4">
        <f t="shared" si="11"/>
        <v>52</v>
      </c>
      <c r="AF62" s="4">
        <f t="shared" si="11"/>
        <v>50</v>
      </c>
      <c r="AG62" s="4">
        <f t="shared" si="11"/>
        <v>50</v>
      </c>
      <c r="AH62" s="4">
        <f t="shared" si="11"/>
        <v>50</v>
      </c>
      <c r="AI62" s="79">
        <f t="shared" si="11"/>
        <v>54</v>
      </c>
      <c r="AJ62" s="79">
        <v>13</v>
      </c>
      <c r="AK62" s="4">
        <f t="shared" ref="AK62:AS62" si="12">AK56-AK59</f>
        <v>0</v>
      </c>
      <c r="AL62" s="4">
        <f t="shared" si="12"/>
        <v>0</v>
      </c>
      <c r="AM62" s="4">
        <f t="shared" si="12"/>
        <v>0</v>
      </c>
      <c r="AN62" s="4">
        <f t="shared" si="12"/>
        <v>0</v>
      </c>
      <c r="AO62" s="4">
        <f t="shared" si="12"/>
        <v>0</v>
      </c>
      <c r="AP62" s="4">
        <f t="shared" si="12"/>
        <v>0</v>
      </c>
      <c r="AQ62" s="4">
        <f t="shared" si="12"/>
        <v>0</v>
      </c>
      <c r="AR62" s="4">
        <f t="shared" si="12"/>
        <v>0</v>
      </c>
      <c r="AS62" s="4">
        <f t="shared" si="12"/>
        <v>0</v>
      </c>
    </row>
    <row r="63" spans="1:46">
      <c r="A63" t="s">
        <v>142</v>
      </c>
      <c r="B63" s="4">
        <f t="shared" ref="B63:AI63" si="13">B57-B60</f>
        <v>55</v>
      </c>
      <c r="C63" s="4">
        <f t="shared" si="13"/>
        <v>55</v>
      </c>
      <c r="D63" s="4">
        <f t="shared" si="13"/>
        <v>53</v>
      </c>
      <c r="E63" s="4">
        <f t="shared" si="13"/>
        <v>53</v>
      </c>
      <c r="F63" s="4">
        <f t="shared" si="13"/>
        <v>53</v>
      </c>
      <c r="G63" s="4">
        <f t="shared" si="13"/>
        <v>55</v>
      </c>
      <c r="H63" s="4">
        <f t="shared" si="13"/>
        <v>55</v>
      </c>
      <c r="I63" s="4">
        <f t="shared" si="13"/>
        <v>55</v>
      </c>
      <c r="J63" s="4">
        <f t="shared" si="13"/>
        <v>57</v>
      </c>
      <c r="K63" s="4">
        <f t="shared" si="13"/>
        <v>56</v>
      </c>
      <c r="L63" s="79">
        <f t="shared" si="13"/>
        <v>53</v>
      </c>
      <c r="M63" s="4">
        <f t="shared" si="13"/>
        <v>51</v>
      </c>
      <c r="N63" s="4">
        <f t="shared" si="13"/>
        <v>47</v>
      </c>
      <c r="O63" s="4">
        <f t="shared" si="13"/>
        <v>47</v>
      </c>
      <c r="P63" s="4">
        <f t="shared" si="13"/>
        <v>45</v>
      </c>
      <c r="Q63" s="4">
        <f t="shared" si="13"/>
        <v>41</v>
      </c>
      <c r="R63" s="4">
        <f t="shared" si="13"/>
        <v>41</v>
      </c>
      <c r="S63" s="79">
        <f t="shared" si="13"/>
        <v>40</v>
      </c>
      <c r="T63" s="4">
        <f t="shared" si="13"/>
        <v>42</v>
      </c>
      <c r="U63" s="4">
        <f t="shared" si="13"/>
        <v>42</v>
      </c>
      <c r="V63" s="4">
        <f t="shared" si="13"/>
        <v>42</v>
      </c>
      <c r="W63" s="4">
        <f t="shared" si="13"/>
        <v>43</v>
      </c>
      <c r="X63" s="4">
        <f t="shared" si="13"/>
        <v>43</v>
      </c>
      <c r="Y63" s="4">
        <f t="shared" si="13"/>
        <v>43</v>
      </c>
      <c r="Z63" s="4">
        <f t="shared" si="13"/>
        <v>44</v>
      </c>
      <c r="AA63" s="4">
        <f t="shared" si="13"/>
        <v>47</v>
      </c>
      <c r="AB63" s="4">
        <f t="shared" si="13"/>
        <v>51</v>
      </c>
      <c r="AC63" s="4">
        <f t="shared" si="13"/>
        <v>51</v>
      </c>
      <c r="AD63" s="4">
        <f t="shared" si="13"/>
        <v>51</v>
      </c>
      <c r="AE63" s="4">
        <f t="shared" si="13"/>
        <v>49</v>
      </c>
      <c r="AF63" s="4">
        <f t="shared" si="13"/>
        <v>51</v>
      </c>
      <c r="AG63" s="4">
        <f t="shared" si="13"/>
        <v>49</v>
      </c>
      <c r="AH63" s="4">
        <f t="shared" si="13"/>
        <v>50</v>
      </c>
      <c r="AI63" s="79">
        <f t="shared" si="13"/>
        <v>53</v>
      </c>
      <c r="AJ63" s="79">
        <v>13</v>
      </c>
      <c r="AK63" s="4">
        <f t="shared" ref="AK63:AS63" si="14">AK57-AK60</f>
        <v>0</v>
      </c>
      <c r="AL63" s="4">
        <f t="shared" si="14"/>
        <v>0</v>
      </c>
      <c r="AM63" s="4">
        <f t="shared" si="14"/>
        <v>0</v>
      </c>
      <c r="AN63" s="4">
        <f t="shared" si="14"/>
        <v>0</v>
      </c>
      <c r="AO63" s="4">
        <f t="shared" si="14"/>
        <v>0</v>
      </c>
      <c r="AP63" s="4">
        <f t="shared" si="14"/>
        <v>0</v>
      </c>
      <c r="AQ63" s="4">
        <f t="shared" si="14"/>
        <v>0</v>
      </c>
      <c r="AR63" s="4">
        <f t="shared" si="14"/>
        <v>0</v>
      </c>
      <c r="AS63" s="4">
        <f t="shared" si="14"/>
        <v>0</v>
      </c>
    </row>
    <row r="64" spans="1:46">
      <c r="B64" s="4">
        <f t="shared" ref="B64:AI64" si="15">B43*$AM43+B44*$AM44+B45*$AM45+B46*$AM46+B47*$AM47+B48*$AM48+B49*$AM49+B50*$AM50+B51*$AM51+B52*$AM52+B53*$AM53</f>
        <v>59.5</v>
      </c>
      <c r="C64" s="4">
        <f t="shared" si="15"/>
        <v>59.5</v>
      </c>
      <c r="D64" s="4">
        <f t="shared" si="15"/>
        <v>53.599999999999994</v>
      </c>
      <c r="E64" s="4">
        <f t="shared" si="15"/>
        <v>53.599999999999994</v>
      </c>
      <c r="F64" s="4">
        <f t="shared" si="15"/>
        <v>54.199999999999996</v>
      </c>
      <c r="G64" s="4">
        <f t="shared" si="15"/>
        <v>54.8</v>
      </c>
      <c r="H64" s="4">
        <f t="shared" si="15"/>
        <v>54.8</v>
      </c>
      <c r="I64" s="4">
        <f t="shared" si="15"/>
        <v>54.8</v>
      </c>
      <c r="J64" s="4">
        <f t="shared" si="15"/>
        <v>57.3</v>
      </c>
      <c r="K64" s="4">
        <f t="shared" si="15"/>
        <v>56.400000000000006</v>
      </c>
      <c r="L64" s="4">
        <f t="shared" si="15"/>
        <v>53.599999999999994</v>
      </c>
      <c r="M64" s="4">
        <f t="shared" si="15"/>
        <v>47.699999999999996</v>
      </c>
      <c r="N64" s="4">
        <f t="shared" si="15"/>
        <v>45.099999999999994</v>
      </c>
      <c r="O64" s="4">
        <f t="shared" si="15"/>
        <v>45.099999999999994</v>
      </c>
      <c r="P64" s="4">
        <f t="shared" si="15"/>
        <v>44.999999999999993</v>
      </c>
      <c r="Q64" s="4">
        <f t="shared" si="15"/>
        <v>43.1</v>
      </c>
      <c r="R64" s="4">
        <f t="shared" si="15"/>
        <v>41.199999999999996</v>
      </c>
      <c r="S64" s="4">
        <f t="shared" si="15"/>
        <v>40.199999999999996</v>
      </c>
      <c r="T64" s="4">
        <f t="shared" si="15"/>
        <v>41.1</v>
      </c>
      <c r="U64" s="4">
        <f t="shared" si="15"/>
        <v>41.4</v>
      </c>
      <c r="V64" s="4">
        <f t="shared" si="15"/>
        <v>42.999999999999993</v>
      </c>
      <c r="W64" s="4">
        <f t="shared" si="15"/>
        <v>43.999999999999993</v>
      </c>
      <c r="X64" s="4">
        <f t="shared" si="15"/>
        <v>43.999999999999993</v>
      </c>
      <c r="Y64" s="4">
        <f t="shared" si="15"/>
        <v>43.999999999999993</v>
      </c>
      <c r="Z64" s="4">
        <f t="shared" si="15"/>
        <v>44.099999999999994</v>
      </c>
      <c r="AA64" s="4">
        <f t="shared" si="15"/>
        <v>45.099999999999994</v>
      </c>
      <c r="AB64" s="4">
        <f t="shared" si="15"/>
        <v>47.699999999999996</v>
      </c>
      <c r="AC64" s="4">
        <f t="shared" si="15"/>
        <v>47.699999999999996</v>
      </c>
      <c r="AD64" s="4">
        <f t="shared" si="15"/>
        <v>47.699999999999996</v>
      </c>
      <c r="AE64" s="4">
        <f t="shared" si="15"/>
        <v>41.8</v>
      </c>
      <c r="AF64" s="4">
        <f t="shared" si="15"/>
        <v>46.8</v>
      </c>
      <c r="AG64" s="4">
        <f t="shared" si="15"/>
        <v>46.8</v>
      </c>
      <c r="AH64" s="4">
        <f t="shared" si="15"/>
        <v>52.3</v>
      </c>
      <c r="AI64" s="4">
        <f t="shared" si="15"/>
        <v>53.599999999999994</v>
      </c>
    </row>
    <row r="65" spans="1:45">
      <c r="B65" s="4">
        <f t="shared" ref="B65:AI65" si="16">B43*$AN43+B44*$AN44+B45*$AN45+B46*$AN46+B47*$AN47+B48*$AN48+B49*$AN49+B50*$AN50+B51*$AN51+B52*$AN52+B53*$AN53</f>
        <v>54.3</v>
      </c>
      <c r="C65" s="4">
        <f t="shared" si="16"/>
        <v>54.3</v>
      </c>
      <c r="D65" s="4">
        <f t="shared" si="16"/>
        <v>53.6</v>
      </c>
      <c r="E65" s="4">
        <f t="shared" si="16"/>
        <v>53.6</v>
      </c>
      <c r="F65" s="4">
        <f t="shared" si="16"/>
        <v>54.800000000000004</v>
      </c>
      <c r="G65" s="4">
        <f t="shared" si="16"/>
        <v>56.5</v>
      </c>
      <c r="H65" s="4">
        <f t="shared" si="16"/>
        <v>56.5</v>
      </c>
      <c r="I65" s="4">
        <f t="shared" si="16"/>
        <v>56.5</v>
      </c>
      <c r="J65" s="4">
        <f t="shared" si="16"/>
        <v>58.900000000000006</v>
      </c>
      <c r="K65" s="4">
        <f t="shared" si="16"/>
        <v>57.1</v>
      </c>
      <c r="L65" s="4">
        <f t="shared" si="16"/>
        <v>53.6</v>
      </c>
      <c r="M65" s="4">
        <f t="shared" si="16"/>
        <v>52.9</v>
      </c>
      <c r="N65" s="4">
        <f t="shared" si="16"/>
        <v>50.199999999999996</v>
      </c>
      <c r="O65" s="4">
        <f t="shared" si="16"/>
        <v>50.199999999999996</v>
      </c>
      <c r="P65" s="4">
        <f t="shared" si="16"/>
        <v>48.1</v>
      </c>
      <c r="Q65" s="4">
        <f t="shared" si="16"/>
        <v>40.999999999999993</v>
      </c>
      <c r="R65" s="4">
        <f t="shared" si="16"/>
        <v>40.300000000000004</v>
      </c>
      <c r="S65" s="4">
        <f t="shared" si="16"/>
        <v>40.200000000000003</v>
      </c>
      <c r="T65" s="4">
        <f t="shared" si="16"/>
        <v>42.5</v>
      </c>
      <c r="U65" s="4">
        <f t="shared" si="16"/>
        <v>43.099999999999994</v>
      </c>
      <c r="V65" s="4">
        <f t="shared" si="16"/>
        <v>43.2</v>
      </c>
      <c r="W65" s="4">
        <f t="shared" si="16"/>
        <v>43.300000000000004</v>
      </c>
      <c r="X65" s="4">
        <f t="shared" si="16"/>
        <v>43.300000000000004</v>
      </c>
      <c r="Y65" s="4">
        <f t="shared" si="16"/>
        <v>43.300000000000004</v>
      </c>
      <c r="Z65" s="4">
        <f t="shared" si="16"/>
        <v>45.4</v>
      </c>
      <c r="AA65" s="4">
        <f t="shared" si="16"/>
        <v>50.199999999999996</v>
      </c>
      <c r="AB65" s="4">
        <f t="shared" si="16"/>
        <v>52.9</v>
      </c>
      <c r="AC65" s="4">
        <f t="shared" si="16"/>
        <v>52.9</v>
      </c>
      <c r="AD65" s="4">
        <f t="shared" si="16"/>
        <v>52.9</v>
      </c>
      <c r="AE65" s="4">
        <f t="shared" si="16"/>
        <v>52.199999999999996</v>
      </c>
      <c r="AF65" s="4">
        <f t="shared" si="16"/>
        <v>50</v>
      </c>
      <c r="AG65" s="4">
        <f t="shared" si="16"/>
        <v>50.6</v>
      </c>
      <c r="AH65" s="4">
        <f t="shared" si="16"/>
        <v>49.599999999999994</v>
      </c>
      <c r="AI65" s="4">
        <f t="shared" si="16"/>
        <v>53.6</v>
      </c>
    </row>
    <row r="66" spans="1:45">
      <c r="B66" s="4">
        <f t="shared" ref="B66:AI66" si="17">B43*$AO43+B44*$AO44+B45*$AO45+B46*$AO46+B47*$AO47+B48*$AO48+B49*$AO49+B50*$AO50+B51*$AO51+B52*$AO52+B53*$AO53</f>
        <v>55.4</v>
      </c>
      <c r="C66" s="4">
        <f t="shared" si="17"/>
        <v>55.4</v>
      </c>
      <c r="D66" s="4">
        <f t="shared" si="17"/>
        <v>53.2</v>
      </c>
      <c r="E66" s="4">
        <f t="shared" si="17"/>
        <v>53.2</v>
      </c>
      <c r="F66" s="4">
        <f t="shared" si="17"/>
        <v>53.6</v>
      </c>
      <c r="G66" s="4">
        <f t="shared" si="17"/>
        <v>55.199999999999996</v>
      </c>
      <c r="H66" s="4">
        <f t="shared" si="17"/>
        <v>55.199999999999996</v>
      </c>
      <c r="I66" s="4">
        <f t="shared" si="17"/>
        <v>55.199999999999996</v>
      </c>
      <c r="J66" s="4">
        <f t="shared" si="17"/>
        <v>57.1</v>
      </c>
      <c r="K66" s="4">
        <f t="shared" si="17"/>
        <v>56.5</v>
      </c>
      <c r="L66" s="4">
        <f t="shared" si="17"/>
        <v>53.2</v>
      </c>
      <c r="M66" s="4">
        <f t="shared" si="17"/>
        <v>51</v>
      </c>
      <c r="N66" s="4">
        <f t="shared" si="17"/>
        <v>47.300000000000004</v>
      </c>
      <c r="O66" s="4">
        <f t="shared" si="17"/>
        <v>47.300000000000004</v>
      </c>
      <c r="P66" s="4">
        <f t="shared" si="17"/>
        <v>45.7</v>
      </c>
      <c r="Q66" s="4">
        <f t="shared" si="17"/>
        <v>41.500000000000007</v>
      </c>
      <c r="R66" s="4">
        <f t="shared" si="17"/>
        <v>41.20000000000001</v>
      </c>
      <c r="S66" s="4">
        <f t="shared" si="17"/>
        <v>39.900000000000006</v>
      </c>
      <c r="T66" s="4">
        <f t="shared" si="17"/>
        <v>41.699999999999996</v>
      </c>
      <c r="U66" s="4">
        <f t="shared" si="17"/>
        <v>41.9</v>
      </c>
      <c r="V66" s="4">
        <f t="shared" si="17"/>
        <v>41.999999999999993</v>
      </c>
      <c r="W66" s="4">
        <f t="shared" si="17"/>
        <v>43.3</v>
      </c>
      <c r="X66" s="4">
        <f t="shared" si="17"/>
        <v>43.3</v>
      </c>
      <c r="Y66" s="4">
        <f t="shared" si="17"/>
        <v>43.3</v>
      </c>
      <c r="Z66" s="4">
        <f t="shared" si="17"/>
        <v>44.9</v>
      </c>
      <c r="AA66" s="4">
        <f t="shared" si="17"/>
        <v>47.300000000000004</v>
      </c>
      <c r="AB66" s="4">
        <f t="shared" si="17"/>
        <v>51</v>
      </c>
      <c r="AC66" s="4">
        <f t="shared" si="17"/>
        <v>51</v>
      </c>
      <c r="AD66" s="4">
        <f t="shared" si="17"/>
        <v>51</v>
      </c>
      <c r="AE66" s="4">
        <f t="shared" si="17"/>
        <v>48.8</v>
      </c>
      <c r="AF66" s="4">
        <f t="shared" si="17"/>
        <v>50.9</v>
      </c>
      <c r="AG66" s="4">
        <f t="shared" si="17"/>
        <v>49.2</v>
      </c>
      <c r="AH66" s="4">
        <f t="shared" si="17"/>
        <v>50.199999999999996</v>
      </c>
      <c r="AI66" s="4">
        <f t="shared" si="17"/>
        <v>53.2</v>
      </c>
    </row>
    <row r="67" spans="1:45">
      <c r="A67" t="s">
        <v>536</v>
      </c>
      <c r="B67" s="4" t="s">
        <v>541</v>
      </c>
      <c r="D67" s="4" t="s">
        <v>542</v>
      </c>
      <c r="T67" s="4" t="s">
        <v>543</v>
      </c>
      <c r="AK67"/>
      <c r="AL67"/>
      <c r="AM67"/>
      <c r="AN67"/>
    </row>
    <row r="68" spans="1:45">
      <c r="A68" t="s">
        <v>171</v>
      </c>
      <c r="B68" s="4">
        <v>13</v>
      </c>
      <c r="C68" s="4">
        <v>17</v>
      </c>
      <c r="D68" s="4">
        <v>1</v>
      </c>
      <c r="E68" s="4">
        <v>3</v>
      </c>
      <c r="F68" s="4">
        <v>4</v>
      </c>
      <c r="G68" s="4">
        <v>5</v>
      </c>
      <c r="H68" s="4">
        <v>6</v>
      </c>
      <c r="I68" s="4">
        <v>7</v>
      </c>
      <c r="J68" s="4">
        <v>8</v>
      </c>
      <c r="K68" s="4">
        <v>9</v>
      </c>
      <c r="L68" s="4">
        <v>10</v>
      </c>
      <c r="M68" s="4">
        <v>11</v>
      </c>
      <c r="N68" s="4">
        <v>12</v>
      </c>
      <c r="O68" s="4">
        <v>13</v>
      </c>
      <c r="P68" s="4">
        <v>14</v>
      </c>
      <c r="Q68" s="4">
        <v>15</v>
      </c>
      <c r="R68" s="4">
        <v>16</v>
      </c>
      <c r="S68" s="4">
        <v>17</v>
      </c>
      <c r="T68" s="4">
        <v>4</v>
      </c>
      <c r="U68" s="4">
        <v>5</v>
      </c>
      <c r="V68" s="4">
        <v>6</v>
      </c>
      <c r="W68" s="4">
        <v>7</v>
      </c>
      <c r="X68" s="4">
        <v>8</v>
      </c>
      <c r="Y68" s="4">
        <v>9</v>
      </c>
      <c r="Z68" s="4">
        <v>10</v>
      </c>
      <c r="AA68" s="4">
        <v>11</v>
      </c>
      <c r="AB68" s="4">
        <v>12</v>
      </c>
      <c r="AC68" s="4">
        <v>13</v>
      </c>
      <c r="AD68" s="4">
        <v>14</v>
      </c>
      <c r="AE68" s="4">
        <v>15</v>
      </c>
      <c r="AF68" s="4">
        <v>17</v>
      </c>
      <c r="AG68" t="s">
        <v>1</v>
      </c>
      <c r="AH68"/>
      <c r="AI68"/>
      <c r="AJ68"/>
      <c r="AL68"/>
      <c r="AM68" s="4" t="s">
        <v>140</v>
      </c>
      <c r="AN68" s="4" t="s">
        <v>141</v>
      </c>
      <c r="AO68" s="4" t="s">
        <v>142</v>
      </c>
      <c r="AP68"/>
      <c r="AQ68" t="s">
        <v>544</v>
      </c>
      <c r="AR68"/>
      <c r="AS68"/>
    </row>
    <row r="69" spans="1:45">
      <c r="A69" t="s">
        <v>54</v>
      </c>
      <c r="B69" s="79">
        <v>1</v>
      </c>
      <c r="C69" s="4">
        <v>1</v>
      </c>
      <c r="D69" s="4">
        <v>1</v>
      </c>
      <c r="E69" s="4">
        <v>1</v>
      </c>
      <c r="F69" s="4">
        <v>1</v>
      </c>
      <c r="G69" s="4">
        <v>2</v>
      </c>
      <c r="H69" s="4">
        <v>2</v>
      </c>
      <c r="I69" s="4">
        <v>2</v>
      </c>
      <c r="J69" s="4">
        <v>2</v>
      </c>
      <c r="K69" s="4">
        <v>2</v>
      </c>
      <c r="L69" s="4">
        <v>3</v>
      </c>
      <c r="M69" s="4">
        <v>3</v>
      </c>
      <c r="N69" s="4">
        <v>3</v>
      </c>
      <c r="O69" s="4">
        <v>3</v>
      </c>
      <c r="P69" s="4">
        <v>3</v>
      </c>
      <c r="Q69" s="79">
        <v>3</v>
      </c>
      <c r="R69" s="4">
        <v>3</v>
      </c>
      <c r="S69" s="79">
        <v>4</v>
      </c>
      <c r="T69" s="4">
        <v>4</v>
      </c>
      <c r="U69" s="4">
        <v>4</v>
      </c>
      <c r="V69" s="4">
        <v>3</v>
      </c>
      <c r="W69" s="4">
        <v>3</v>
      </c>
      <c r="X69" s="4">
        <v>3</v>
      </c>
      <c r="Y69" s="4">
        <v>3</v>
      </c>
      <c r="Z69" s="4">
        <v>3</v>
      </c>
      <c r="AA69" s="4">
        <v>3</v>
      </c>
      <c r="AB69" s="4">
        <v>4</v>
      </c>
      <c r="AC69" s="4">
        <v>4</v>
      </c>
      <c r="AD69" s="4">
        <v>4</v>
      </c>
      <c r="AE69" s="4">
        <v>4</v>
      </c>
      <c r="AF69" s="4">
        <v>4</v>
      </c>
      <c r="AH69"/>
      <c r="AI69"/>
      <c r="AJ69"/>
      <c r="AK69" t="s">
        <v>54</v>
      </c>
      <c r="AL69"/>
      <c r="AM69" s="4">
        <v>0.5</v>
      </c>
      <c r="AN69" s="4">
        <v>1.5</v>
      </c>
      <c r="AO69" s="4">
        <v>1.5</v>
      </c>
      <c r="AQ69" s="4">
        <v>4</v>
      </c>
      <c r="AR69"/>
      <c r="AS69"/>
    </row>
    <row r="70" spans="1:45">
      <c r="A70" t="s">
        <v>63</v>
      </c>
      <c r="B70" s="79">
        <v>1</v>
      </c>
      <c r="C70" s="4">
        <v>1</v>
      </c>
      <c r="D70" s="4">
        <v>1</v>
      </c>
      <c r="E70" s="4">
        <v>2</v>
      </c>
      <c r="F70" s="4">
        <v>2</v>
      </c>
      <c r="G70" s="4">
        <v>2</v>
      </c>
      <c r="H70" s="4">
        <v>3</v>
      </c>
      <c r="I70" s="4">
        <v>3</v>
      </c>
      <c r="J70" s="4">
        <v>3</v>
      </c>
      <c r="K70" s="4">
        <v>3</v>
      </c>
      <c r="L70" s="4">
        <v>3</v>
      </c>
      <c r="M70" s="4">
        <v>3</v>
      </c>
      <c r="N70" s="4">
        <v>3</v>
      </c>
      <c r="O70" s="4">
        <v>3</v>
      </c>
      <c r="P70" s="4">
        <v>3</v>
      </c>
      <c r="Q70" s="79">
        <v>3</v>
      </c>
      <c r="R70" s="4">
        <v>3</v>
      </c>
      <c r="S70" s="79">
        <v>4</v>
      </c>
      <c r="T70" s="4">
        <v>1</v>
      </c>
      <c r="U70" s="4">
        <v>1</v>
      </c>
      <c r="V70" s="4">
        <v>1</v>
      </c>
      <c r="W70" s="4">
        <v>2</v>
      </c>
      <c r="X70" s="4">
        <v>2</v>
      </c>
      <c r="Y70" s="4">
        <v>2</v>
      </c>
      <c r="Z70" s="4">
        <v>3</v>
      </c>
      <c r="AA70" s="4">
        <v>3</v>
      </c>
      <c r="AB70" s="4">
        <v>3</v>
      </c>
      <c r="AC70" s="4">
        <v>4</v>
      </c>
      <c r="AD70" s="4">
        <v>4</v>
      </c>
      <c r="AE70" s="4">
        <v>5</v>
      </c>
      <c r="AF70" s="4">
        <v>5</v>
      </c>
      <c r="AH70"/>
      <c r="AI70"/>
      <c r="AJ70"/>
      <c r="AK70" t="s">
        <v>63</v>
      </c>
      <c r="AL70"/>
      <c r="AM70" s="4">
        <v>6</v>
      </c>
      <c r="AN70" s="4">
        <v>1</v>
      </c>
      <c r="AO70" s="4">
        <v>2</v>
      </c>
      <c r="AQ70" s="4">
        <v>4</v>
      </c>
      <c r="AR70"/>
      <c r="AS70"/>
    </row>
    <row r="71" spans="1:45">
      <c r="A71" t="s">
        <v>188</v>
      </c>
      <c r="B71" s="79">
        <v>1</v>
      </c>
      <c r="C71" s="4">
        <v>1</v>
      </c>
      <c r="D71" s="4">
        <v>1</v>
      </c>
      <c r="E71" s="4">
        <v>1</v>
      </c>
      <c r="F71" s="4">
        <v>1</v>
      </c>
      <c r="G71" s="4">
        <v>2</v>
      </c>
      <c r="H71" s="4">
        <v>2</v>
      </c>
      <c r="I71" s="4">
        <v>2</v>
      </c>
      <c r="J71" s="4">
        <v>3</v>
      </c>
      <c r="K71" s="4">
        <v>3</v>
      </c>
      <c r="L71" s="4">
        <v>3</v>
      </c>
      <c r="M71" s="4">
        <v>3</v>
      </c>
      <c r="N71" s="4">
        <v>3</v>
      </c>
      <c r="O71" s="4">
        <v>3</v>
      </c>
      <c r="P71" s="4">
        <v>3</v>
      </c>
      <c r="Q71" s="79">
        <v>3</v>
      </c>
      <c r="R71" s="4">
        <v>3</v>
      </c>
      <c r="S71" s="79">
        <v>4</v>
      </c>
      <c r="T71" s="4">
        <v>4</v>
      </c>
      <c r="U71" s="4">
        <v>3</v>
      </c>
      <c r="V71" s="4">
        <v>3</v>
      </c>
      <c r="W71" s="4">
        <v>3</v>
      </c>
      <c r="X71" s="4">
        <v>3</v>
      </c>
      <c r="Y71" s="4">
        <v>3</v>
      </c>
      <c r="Z71" s="4">
        <v>3</v>
      </c>
      <c r="AA71" s="4">
        <v>3</v>
      </c>
      <c r="AB71" s="4">
        <v>3</v>
      </c>
      <c r="AC71" s="4">
        <v>4</v>
      </c>
      <c r="AD71" s="4">
        <v>4</v>
      </c>
      <c r="AE71" s="4">
        <v>4</v>
      </c>
      <c r="AF71" s="4">
        <v>4</v>
      </c>
      <c r="AH71"/>
      <c r="AI71"/>
      <c r="AJ71"/>
      <c r="AK71" t="s">
        <v>188</v>
      </c>
      <c r="AL71"/>
      <c r="AM71" s="4">
        <v>1</v>
      </c>
      <c r="AN71" s="4">
        <v>3</v>
      </c>
      <c r="AO71" s="4">
        <v>0</v>
      </c>
      <c r="AQ71" s="4">
        <v>4</v>
      </c>
      <c r="AR71"/>
      <c r="AS71"/>
    </row>
    <row r="72" spans="1:45">
      <c r="A72" t="s">
        <v>522</v>
      </c>
      <c r="B72" s="79">
        <v>1</v>
      </c>
      <c r="C72" s="4">
        <v>1</v>
      </c>
      <c r="D72" s="4">
        <v>1</v>
      </c>
      <c r="E72" s="4">
        <v>1</v>
      </c>
      <c r="F72" s="4">
        <v>2</v>
      </c>
      <c r="G72" s="4">
        <v>2</v>
      </c>
      <c r="H72" s="4">
        <v>2</v>
      </c>
      <c r="I72" s="4">
        <v>2</v>
      </c>
      <c r="J72" s="4">
        <v>3</v>
      </c>
      <c r="K72" s="4">
        <v>3</v>
      </c>
      <c r="L72" s="4">
        <v>3</v>
      </c>
      <c r="M72" s="4">
        <v>3</v>
      </c>
      <c r="N72" s="4">
        <v>3</v>
      </c>
      <c r="O72" s="4">
        <v>3</v>
      </c>
      <c r="P72" s="4">
        <v>3</v>
      </c>
      <c r="Q72" s="79">
        <v>3</v>
      </c>
      <c r="R72" s="4">
        <v>3</v>
      </c>
      <c r="S72" s="79">
        <v>4</v>
      </c>
      <c r="T72" s="4">
        <v>4</v>
      </c>
      <c r="U72" s="4">
        <v>3</v>
      </c>
      <c r="V72" s="4">
        <v>3</v>
      </c>
      <c r="W72" s="4">
        <v>3</v>
      </c>
      <c r="X72" s="4">
        <v>3</v>
      </c>
      <c r="Y72" s="4">
        <v>3</v>
      </c>
      <c r="Z72" s="4">
        <v>3</v>
      </c>
      <c r="AA72" s="4">
        <v>3</v>
      </c>
      <c r="AB72" s="4">
        <v>3</v>
      </c>
      <c r="AC72" s="4">
        <v>4</v>
      </c>
      <c r="AD72" s="4">
        <v>4</v>
      </c>
      <c r="AE72" s="4">
        <v>4</v>
      </c>
      <c r="AF72" s="4">
        <v>4</v>
      </c>
      <c r="AH72"/>
      <c r="AI72"/>
      <c r="AJ72"/>
      <c r="AK72" t="s">
        <v>522</v>
      </c>
      <c r="AL72"/>
      <c r="AM72" s="4">
        <v>0</v>
      </c>
      <c r="AN72" s="4">
        <v>2</v>
      </c>
      <c r="AO72" s="4">
        <v>2.5</v>
      </c>
      <c r="AQ72" s="4">
        <v>4</v>
      </c>
      <c r="AR72"/>
      <c r="AS72"/>
    </row>
    <row r="73" spans="1:45">
      <c r="A73" t="s">
        <v>69</v>
      </c>
      <c r="B73" s="79">
        <v>1</v>
      </c>
      <c r="C73" s="4">
        <v>2</v>
      </c>
      <c r="D73" s="4">
        <v>1</v>
      </c>
      <c r="E73" s="4">
        <v>1</v>
      </c>
      <c r="F73" s="4">
        <v>1</v>
      </c>
      <c r="G73" s="4">
        <v>2</v>
      </c>
      <c r="H73" s="4">
        <v>2</v>
      </c>
      <c r="I73" s="4">
        <v>2</v>
      </c>
      <c r="J73" s="4">
        <v>2</v>
      </c>
      <c r="K73" s="4">
        <v>2</v>
      </c>
      <c r="L73" s="4">
        <v>3</v>
      </c>
      <c r="M73" s="4">
        <v>3</v>
      </c>
      <c r="N73" s="4">
        <v>3</v>
      </c>
      <c r="O73" s="4">
        <v>3</v>
      </c>
      <c r="P73" s="4">
        <v>3</v>
      </c>
      <c r="Q73" s="79">
        <v>3</v>
      </c>
      <c r="R73" s="4">
        <v>3</v>
      </c>
      <c r="S73" s="79">
        <v>4</v>
      </c>
      <c r="T73" s="4">
        <v>4</v>
      </c>
      <c r="U73" s="4">
        <v>4</v>
      </c>
      <c r="V73" s="4">
        <v>3</v>
      </c>
      <c r="W73" s="4">
        <v>3</v>
      </c>
      <c r="X73" s="4">
        <v>3</v>
      </c>
      <c r="Y73" s="4">
        <v>3</v>
      </c>
      <c r="Z73" s="4">
        <v>3</v>
      </c>
      <c r="AA73" s="4">
        <v>3</v>
      </c>
      <c r="AB73" s="4">
        <v>3</v>
      </c>
      <c r="AC73" s="4">
        <v>3</v>
      </c>
      <c r="AD73" s="4">
        <v>4</v>
      </c>
      <c r="AE73" s="4">
        <v>4</v>
      </c>
      <c r="AF73" s="4">
        <v>4</v>
      </c>
      <c r="AH73"/>
      <c r="AI73"/>
      <c r="AJ73"/>
      <c r="AK73" t="s">
        <v>69</v>
      </c>
      <c r="AL73"/>
      <c r="AM73" s="4">
        <v>0</v>
      </c>
      <c r="AN73" s="4">
        <v>0.5</v>
      </c>
      <c r="AO73" s="4">
        <v>0.5</v>
      </c>
      <c r="AQ73" s="4">
        <v>4</v>
      </c>
      <c r="AR73"/>
      <c r="AS73"/>
    </row>
    <row r="74" spans="1:45">
      <c r="A74" t="s">
        <v>70</v>
      </c>
      <c r="B74" s="79">
        <v>1</v>
      </c>
      <c r="C74" s="4">
        <v>1</v>
      </c>
      <c r="D74" s="4">
        <v>1</v>
      </c>
      <c r="E74" s="4">
        <v>1</v>
      </c>
      <c r="F74" s="4">
        <v>1</v>
      </c>
      <c r="G74" s="4">
        <v>1</v>
      </c>
      <c r="H74" s="4">
        <v>1</v>
      </c>
      <c r="I74" s="4">
        <v>2</v>
      </c>
      <c r="J74" s="4">
        <v>2</v>
      </c>
      <c r="K74" s="4">
        <v>2</v>
      </c>
      <c r="L74" s="4">
        <v>2</v>
      </c>
      <c r="M74" s="4">
        <v>2</v>
      </c>
      <c r="N74" s="4">
        <v>3</v>
      </c>
      <c r="O74" s="4">
        <v>3</v>
      </c>
      <c r="P74" s="4">
        <v>3</v>
      </c>
      <c r="Q74" s="79">
        <v>3</v>
      </c>
      <c r="R74" s="4">
        <v>3</v>
      </c>
      <c r="S74" s="79">
        <v>4</v>
      </c>
      <c r="T74" s="4">
        <v>4</v>
      </c>
      <c r="U74" s="4">
        <v>4</v>
      </c>
      <c r="V74" s="4">
        <v>4</v>
      </c>
      <c r="W74" s="4">
        <v>3</v>
      </c>
      <c r="X74" s="4">
        <v>3</v>
      </c>
      <c r="Y74" s="4">
        <v>3</v>
      </c>
      <c r="Z74" s="4">
        <v>3</v>
      </c>
      <c r="AA74" s="4">
        <v>3</v>
      </c>
      <c r="AB74" s="4">
        <v>3</v>
      </c>
      <c r="AC74" s="4">
        <v>4</v>
      </c>
      <c r="AD74" s="4">
        <v>4</v>
      </c>
      <c r="AE74" s="4">
        <v>4</v>
      </c>
      <c r="AF74" s="4">
        <v>4</v>
      </c>
      <c r="AH74"/>
      <c r="AI74"/>
      <c r="AJ74"/>
      <c r="AK74" t="s">
        <v>70</v>
      </c>
      <c r="AL74"/>
      <c r="AM74" s="4">
        <v>0.5</v>
      </c>
      <c r="AN74" s="4">
        <v>0.5</v>
      </c>
      <c r="AO74" s="4">
        <v>0</v>
      </c>
      <c r="AQ74" s="4">
        <v>4</v>
      </c>
      <c r="AR74"/>
      <c r="AS74"/>
    </row>
    <row r="75" spans="1:45">
      <c r="A75" t="s">
        <v>220</v>
      </c>
      <c r="B75" s="79">
        <v>1</v>
      </c>
      <c r="C75" s="4">
        <v>1</v>
      </c>
      <c r="D75" s="4">
        <v>1</v>
      </c>
      <c r="E75" s="4">
        <v>1</v>
      </c>
      <c r="F75" s="4">
        <v>1</v>
      </c>
      <c r="G75" s="4">
        <v>1</v>
      </c>
      <c r="H75" s="4">
        <v>1</v>
      </c>
      <c r="I75" s="4">
        <v>2</v>
      </c>
      <c r="J75" s="4">
        <v>2</v>
      </c>
      <c r="K75" s="4">
        <v>2</v>
      </c>
      <c r="L75" s="4">
        <v>2</v>
      </c>
      <c r="M75" s="4">
        <v>2</v>
      </c>
      <c r="N75" s="4">
        <v>2</v>
      </c>
      <c r="O75" s="4">
        <v>3</v>
      </c>
      <c r="P75" s="4">
        <v>3</v>
      </c>
      <c r="Q75" s="79">
        <v>3</v>
      </c>
      <c r="R75" s="4">
        <v>3</v>
      </c>
      <c r="S75" s="79">
        <v>4</v>
      </c>
      <c r="T75" s="4">
        <v>4</v>
      </c>
      <c r="U75" s="4">
        <v>4</v>
      </c>
      <c r="V75" s="4">
        <v>4</v>
      </c>
      <c r="W75" s="4">
        <v>4</v>
      </c>
      <c r="X75" s="4">
        <v>3</v>
      </c>
      <c r="Y75" s="4">
        <v>3</v>
      </c>
      <c r="Z75" s="4">
        <v>3</v>
      </c>
      <c r="AA75" s="4">
        <v>3</v>
      </c>
      <c r="AB75" s="4">
        <v>3</v>
      </c>
      <c r="AC75" s="4">
        <v>3</v>
      </c>
      <c r="AD75" s="4">
        <v>4</v>
      </c>
      <c r="AE75" s="4">
        <v>4</v>
      </c>
      <c r="AF75" s="4">
        <v>4</v>
      </c>
      <c r="AH75"/>
      <c r="AI75"/>
      <c r="AJ75"/>
      <c r="AK75" t="s">
        <v>220</v>
      </c>
      <c r="AL75"/>
      <c r="AM75" s="4">
        <v>2</v>
      </c>
      <c r="AN75" s="4">
        <v>0</v>
      </c>
      <c r="AO75" s="4">
        <v>0</v>
      </c>
      <c r="AQ75" s="4">
        <v>4</v>
      </c>
      <c r="AR75"/>
      <c r="AS75"/>
    </row>
    <row r="76" spans="1:45">
      <c r="A76" t="s">
        <v>523</v>
      </c>
      <c r="B76" s="79">
        <v>1</v>
      </c>
      <c r="C76" s="4">
        <v>1</v>
      </c>
      <c r="D76" s="4">
        <v>1</v>
      </c>
      <c r="E76" s="4">
        <v>1</v>
      </c>
      <c r="F76" s="4">
        <v>2</v>
      </c>
      <c r="G76" s="4">
        <v>2</v>
      </c>
      <c r="H76" s="4">
        <v>2</v>
      </c>
      <c r="I76" s="4">
        <v>2</v>
      </c>
      <c r="J76" s="4">
        <v>3</v>
      </c>
      <c r="K76" s="4">
        <v>3</v>
      </c>
      <c r="L76" s="4">
        <v>3</v>
      </c>
      <c r="M76" s="4">
        <v>3</v>
      </c>
      <c r="N76" s="4">
        <v>3</v>
      </c>
      <c r="O76" s="4">
        <v>3</v>
      </c>
      <c r="P76" s="4">
        <v>3</v>
      </c>
      <c r="Q76" s="79">
        <v>3</v>
      </c>
      <c r="R76" s="4">
        <v>3</v>
      </c>
      <c r="S76" s="79">
        <v>4</v>
      </c>
      <c r="T76" s="4">
        <v>4</v>
      </c>
      <c r="U76" s="4">
        <v>3</v>
      </c>
      <c r="V76" s="4">
        <v>3</v>
      </c>
      <c r="W76" s="4">
        <v>3</v>
      </c>
      <c r="X76" s="4">
        <v>3</v>
      </c>
      <c r="Y76" s="4">
        <v>3</v>
      </c>
      <c r="Z76" s="4">
        <v>3</v>
      </c>
      <c r="AA76" s="4">
        <v>3</v>
      </c>
      <c r="AB76" s="4">
        <v>3</v>
      </c>
      <c r="AC76" s="4">
        <v>4</v>
      </c>
      <c r="AD76" s="4">
        <v>4</v>
      </c>
      <c r="AE76" s="4">
        <v>4</v>
      </c>
      <c r="AF76" s="4">
        <v>4</v>
      </c>
      <c r="AH76"/>
      <c r="AI76"/>
      <c r="AJ76"/>
      <c r="AK76" t="s">
        <v>523</v>
      </c>
      <c r="AL76"/>
      <c r="AM76" s="4">
        <v>2.5</v>
      </c>
      <c r="AN76" s="4">
        <v>1</v>
      </c>
      <c r="AO76" s="4">
        <v>4</v>
      </c>
      <c r="AQ76" s="4">
        <v>4</v>
      </c>
      <c r="AR76"/>
      <c r="AS76"/>
    </row>
    <row r="77" spans="1:45">
      <c r="A77" t="s">
        <v>237</v>
      </c>
      <c r="B77" s="79">
        <v>1</v>
      </c>
      <c r="C77" s="4">
        <v>1</v>
      </c>
      <c r="D77" s="4">
        <v>1</v>
      </c>
      <c r="E77" s="4">
        <v>2</v>
      </c>
      <c r="F77" s="4">
        <v>2</v>
      </c>
      <c r="G77" s="4">
        <v>2</v>
      </c>
      <c r="H77" s="4">
        <v>3</v>
      </c>
      <c r="I77" s="4">
        <v>3</v>
      </c>
      <c r="J77" s="4">
        <v>3</v>
      </c>
      <c r="K77" s="4">
        <v>3</v>
      </c>
      <c r="L77" s="4">
        <v>3</v>
      </c>
      <c r="M77" s="4">
        <v>3</v>
      </c>
      <c r="N77" s="4">
        <v>3</v>
      </c>
      <c r="O77" s="4">
        <v>3</v>
      </c>
      <c r="P77" s="4">
        <v>3</v>
      </c>
      <c r="Q77" s="79">
        <v>3</v>
      </c>
      <c r="R77" s="4">
        <v>3</v>
      </c>
      <c r="S77" s="79">
        <v>4</v>
      </c>
      <c r="T77" s="4">
        <v>1</v>
      </c>
      <c r="U77" s="4">
        <v>1</v>
      </c>
      <c r="V77" s="4">
        <v>1</v>
      </c>
      <c r="W77" s="4">
        <v>1</v>
      </c>
      <c r="X77" s="4">
        <v>1</v>
      </c>
      <c r="Y77" s="4">
        <v>2</v>
      </c>
      <c r="Z77" s="4">
        <v>2</v>
      </c>
      <c r="AA77" s="4">
        <v>2</v>
      </c>
      <c r="AB77" s="4">
        <v>3</v>
      </c>
      <c r="AC77" s="4">
        <v>3</v>
      </c>
      <c r="AD77" s="4">
        <v>3</v>
      </c>
      <c r="AE77" s="4">
        <v>4</v>
      </c>
      <c r="AF77" s="4">
        <v>4</v>
      </c>
      <c r="AH77"/>
      <c r="AI77"/>
      <c r="AJ77"/>
      <c r="AK77" t="s">
        <v>237</v>
      </c>
      <c r="AL77"/>
      <c r="AM77" s="4">
        <v>0</v>
      </c>
      <c r="AN77" s="4">
        <v>2</v>
      </c>
      <c r="AO77" s="4">
        <v>0</v>
      </c>
      <c r="AQ77" s="4">
        <v>4</v>
      </c>
      <c r="AR77"/>
      <c r="AS77"/>
    </row>
    <row r="78" spans="1:45">
      <c r="A78" t="s">
        <v>524</v>
      </c>
      <c r="B78" s="79">
        <v>1</v>
      </c>
      <c r="C78" s="4">
        <v>1</v>
      </c>
      <c r="D78" s="4">
        <v>1</v>
      </c>
      <c r="E78" s="4">
        <v>1</v>
      </c>
      <c r="F78" s="4">
        <v>2</v>
      </c>
      <c r="G78" s="4">
        <v>2</v>
      </c>
      <c r="H78" s="4">
        <v>2</v>
      </c>
      <c r="I78" s="4">
        <v>2</v>
      </c>
      <c r="J78" s="4">
        <v>3</v>
      </c>
      <c r="K78" s="4">
        <v>3</v>
      </c>
      <c r="L78" s="4">
        <v>3</v>
      </c>
      <c r="M78" s="4">
        <v>3</v>
      </c>
      <c r="N78" s="4">
        <v>3</v>
      </c>
      <c r="O78" s="4">
        <v>3</v>
      </c>
      <c r="P78" s="4">
        <v>3</v>
      </c>
      <c r="Q78" s="79">
        <v>3</v>
      </c>
      <c r="R78" s="4">
        <v>3</v>
      </c>
      <c r="S78" s="79">
        <v>4</v>
      </c>
      <c r="T78" s="4">
        <v>4</v>
      </c>
      <c r="U78" s="4">
        <v>3</v>
      </c>
      <c r="V78" s="4">
        <v>3</v>
      </c>
      <c r="W78" s="4">
        <v>3</v>
      </c>
      <c r="X78" s="4">
        <v>3</v>
      </c>
      <c r="Y78" s="4">
        <v>3</v>
      </c>
      <c r="Z78" s="4">
        <v>3</v>
      </c>
      <c r="AA78" s="4">
        <v>3</v>
      </c>
      <c r="AB78" s="4">
        <v>3</v>
      </c>
      <c r="AC78" s="4">
        <v>3</v>
      </c>
      <c r="AD78" s="4">
        <v>4</v>
      </c>
      <c r="AE78" s="4">
        <v>4</v>
      </c>
      <c r="AF78" s="4">
        <v>4</v>
      </c>
      <c r="AH78"/>
      <c r="AI78"/>
      <c r="AJ78"/>
      <c r="AK78" t="s">
        <v>524</v>
      </c>
      <c r="AL78"/>
      <c r="AM78" s="4">
        <v>0</v>
      </c>
      <c r="AN78" s="4">
        <v>2</v>
      </c>
      <c r="AO78" s="4">
        <v>1.5</v>
      </c>
      <c r="AQ78" s="4">
        <v>4</v>
      </c>
      <c r="AR78"/>
      <c r="AS78"/>
    </row>
    <row r="79" spans="1:45">
      <c r="A79" t="s">
        <v>525</v>
      </c>
      <c r="B79" s="79">
        <v>1</v>
      </c>
      <c r="C79" s="4">
        <v>1</v>
      </c>
      <c r="D79" s="4">
        <v>1</v>
      </c>
      <c r="E79" s="4">
        <v>1</v>
      </c>
      <c r="F79" s="4">
        <v>1</v>
      </c>
      <c r="G79" s="4">
        <v>1</v>
      </c>
      <c r="H79" s="4">
        <v>1</v>
      </c>
      <c r="I79" s="4">
        <v>1</v>
      </c>
      <c r="J79" s="4">
        <v>1</v>
      </c>
      <c r="K79" s="4">
        <v>2</v>
      </c>
      <c r="L79" s="4">
        <v>2</v>
      </c>
      <c r="M79" s="4">
        <v>2</v>
      </c>
      <c r="N79" s="4">
        <v>2</v>
      </c>
      <c r="O79" s="4">
        <v>2</v>
      </c>
      <c r="P79" s="4">
        <v>2</v>
      </c>
      <c r="Q79" s="79">
        <v>3</v>
      </c>
      <c r="R79" s="4">
        <v>3</v>
      </c>
      <c r="S79" s="79">
        <v>4</v>
      </c>
      <c r="T79" s="4">
        <v>4</v>
      </c>
      <c r="U79" s="4">
        <v>4</v>
      </c>
      <c r="V79" s="4">
        <v>4</v>
      </c>
      <c r="W79" s="4">
        <v>4</v>
      </c>
      <c r="X79" s="4">
        <v>4</v>
      </c>
      <c r="Y79" s="4">
        <v>3</v>
      </c>
      <c r="Z79" s="4">
        <v>3</v>
      </c>
      <c r="AA79" s="4">
        <v>3</v>
      </c>
      <c r="AB79" s="4">
        <v>3</v>
      </c>
      <c r="AC79" s="4">
        <v>3</v>
      </c>
      <c r="AD79" s="4">
        <v>3</v>
      </c>
      <c r="AE79" s="4">
        <v>4</v>
      </c>
      <c r="AF79" s="4">
        <v>4</v>
      </c>
      <c r="AH79"/>
      <c r="AI79"/>
      <c r="AJ79"/>
      <c r="AK79" t="s">
        <v>525</v>
      </c>
      <c r="AL79"/>
      <c r="AM79" s="4">
        <v>1</v>
      </c>
      <c r="AN79" s="4">
        <v>0</v>
      </c>
      <c r="AO79" s="4">
        <v>1.5</v>
      </c>
      <c r="AQ79" s="4">
        <v>4</v>
      </c>
      <c r="AR79"/>
      <c r="AS79"/>
    </row>
    <row r="80" spans="1:45">
      <c r="B80" s="79" t="s">
        <v>1</v>
      </c>
      <c r="C80" s="4" t="s">
        <v>1</v>
      </c>
      <c r="D80" s="4" t="s">
        <v>1</v>
      </c>
      <c r="E80" s="4" t="s">
        <v>1</v>
      </c>
      <c r="F80" s="4" t="s">
        <v>1</v>
      </c>
      <c r="Q80" s="79"/>
      <c r="S80" s="79"/>
      <c r="AH80"/>
      <c r="AI80"/>
      <c r="AJ80"/>
      <c r="AL80"/>
      <c r="AM80" s="62">
        <f>SUM(AM69:AM79)</f>
        <v>13.5</v>
      </c>
      <c r="AN80" s="62">
        <f>SUM(AN69:AN79)</f>
        <v>13.5</v>
      </c>
      <c r="AO80" s="62">
        <f>SUM(AO69:AO79)</f>
        <v>13.5</v>
      </c>
      <c r="AP80" s="4" t="s">
        <v>140</v>
      </c>
      <c r="AQ80" s="4" t="s">
        <v>141</v>
      </c>
      <c r="AR80" s="4" t="s">
        <v>142</v>
      </c>
      <c r="AS80"/>
    </row>
    <row r="81" spans="1:45">
      <c r="A81" t="s">
        <v>140</v>
      </c>
      <c r="B81" s="79">
        <v>13</v>
      </c>
      <c r="C81" s="4">
        <v>13</v>
      </c>
      <c r="D81" s="4">
        <v>13</v>
      </c>
      <c r="E81" s="4">
        <v>19</v>
      </c>
      <c r="F81" s="4">
        <v>22</v>
      </c>
      <c r="G81" s="4">
        <v>24</v>
      </c>
      <c r="H81" s="4">
        <v>30</v>
      </c>
      <c r="I81" s="4">
        <v>32</v>
      </c>
      <c r="J81" s="4">
        <v>35</v>
      </c>
      <c r="K81" s="4">
        <v>37</v>
      </c>
      <c r="L81" s="4">
        <v>37</v>
      </c>
      <c r="M81" s="4">
        <v>37</v>
      </c>
      <c r="N81" s="4">
        <v>38</v>
      </c>
      <c r="O81" s="4">
        <v>39</v>
      </c>
      <c r="P81" s="4">
        <v>39</v>
      </c>
      <c r="Q81" s="79">
        <v>40</v>
      </c>
      <c r="R81" s="4">
        <v>40</v>
      </c>
      <c r="S81" s="79">
        <v>54</v>
      </c>
      <c r="T81" s="4">
        <v>40</v>
      </c>
      <c r="U81" s="4">
        <v>35</v>
      </c>
      <c r="V81" s="4">
        <v>34</v>
      </c>
      <c r="W81" s="4">
        <v>40</v>
      </c>
      <c r="X81" s="4">
        <v>38</v>
      </c>
      <c r="Y81" s="4">
        <v>37</v>
      </c>
      <c r="Z81" s="4">
        <v>43</v>
      </c>
      <c r="AA81" s="4">
        <v>42</v>
      </c>
      <c r="AB81" s="4">
        <v>43</v>
      </c>
      <c r="AC81" s="4">
        <v>53</v>
      </c>
      <c r="AD81" s="4">
        <v>54</v>
      </c>
      <c r="AE81" s="4">
        <v>64</v>
      </c>
      <c r="AF81" s="4">
        <v>66</v>
      </c>
      <c r="AH81"/>
      <c r="AI81"/>
      <c r="AJ81"/>
      <c r="AP81" s="4">
        <f>13+($AQ69-1)*AM69+($AQ70-1)*AM70+($AQ71-1)*AM71+($AQ72-1)*AM72+($AQ73-1)*AM73+($AQ74-1)*AM74+($AQ75-1)*AM75+($AQ76-1)*AM76+($AQ77-1)*AM77+($AQ78-1)*AM78+($AQ79-1)*AM79</f>
        <v>53.5</v>
      </c>
      <c r="AQ81" s="4">
        <f>13+($AQ69-1)*AN69+($AQ70-1)*AN70+($AQ71-1)*AN71+($AQ72-1)*AN72+($AQ73-1)*AN73+($AQ74-1)*AN74+($AQ75-1)*AN75+($AQ76-1)*AN76+($AQ77-1)*AN77+($AQ78-1)*AN78+($AQ79-1)*AN79</f>
        <v>53.5</v>
      </c>
      <c r="AR81" s="4">
        <f>13+($AQ69-1)*AO69+($AQ70-1)*AO70+($AQ71-1)*AO71+($AQ72-1)*AO72+($AQ73-1)*AO73+($AQ74-1)*AO74+($AQ75-1)*AO75+($AQ76-1)*AO76+($AQ77-1)*AO77+($AQ78-1)*AO78+($AQ79-1)*AO79</f>
        <v>53.5</v>
      </c>
      <c r="AS81"/>
    </row>
    <row r="82" spans="1:45">
      <c r="A82" t="s">
        <v>141</v>
      </c>
      <c r="B82" s="79">
        <v>13</v>
      </c>
      <c r="C82" s="4">
        <v>14</v>
      </c>
      <c r="D82" s="4">
        <v>13</v>
      </c>
      <c r="E82" s="4">
        <v>16</v>
      </c>
      <c r="F82" s="4">
        <v>21</v>
      </c>
      <c r="G82" s="4">
        <v>26</v>
      </c>
      <c r="H82" s="4">
        <v>29</v>
      </c>
      <c r="I82" s="4">
        <v>29</v>
      </c>
      <c r="J82" s="4">
        <v>37</v>
      </c>
      <c r="K82" s="4">
        <v>37</v>
      </c>
      <c r="L82" s="4">
        <v>40</v>
      </c>
      <c r="M82" s="4">
        <v>40</v>
      </c>
      <c r="N82" s="4">
        <v>40</v>
      </c>
      <c r="O82" s="4">
        <v>40</v>
      </c>
      <c r="P82" s="4">
        <v>40</v>
      </c>
      <c r="Q82" s="79">
        <v>40</v>
      </c>
      <c r="R82" s="4">
        <v>40</v>
      </c>
      <c r="S82" s="79">
        <v>54</v>
      </c>
      <c r="T82" s="4">
        <v>51</v>
      </c>
      <c r="U82" s="4">
        <v>42</v>
      </c>
      <c r="V82" s="4">
        <v>40</v>
      </c>
      <c r="W82" s="4">
        <v>40</v>
      </c>
      <c r="X82" s="4">
        <v>40</v>
      </c>
      <c r="Y82" s="4">
        <v>41</v>
      </c>
      <c r="Z82" s="4">
        <v>41</v>
      </c>
      <c r="AA82" s="4">
        <v>41</v>
      </c>
      <c r="AB82" s="4">
        <v>45</v>
      </c>
      <c r="AC82" s="4">
        <v>52</v>
      </c>
      <c r="AD82" s="4">
        <v>55</v>
      </c>
      <c r="AE82" s="4">
        <v>59</v>
      </c>
      <c r="AF82" s="4">
        <v>61</v>
      </c>
      <c r="AH82" t="s">
        <v>54</v>
      </c>
      <c r="AI82"/>
      <c r="AJ82" s="4">
        <v>0.5</v>
      </c>
      <c r="AK82" s="4">
        <v>1.5</v>
      </c>
      <c r="AL82" s="4">
        <v>1</v>
      </c>
      <c r="AN82" s="79">
        <v>3</v>
      </c>
      <c r="AO82"/>
      <c r="AP82"/>
      <c r="AQ82"/>
      <c r="AR82"/>
      <c r="AS82"/>
    </row>
    <row r="83" spans="1:45">
      <c r="A83" t="s">
        <v>142</v>
      </c>
      <c r="B83" s="79">
        <v>13</v>
      </c>
      <c r="C83" s="4">
        <v>14</v>
      </c>
      <c r="D83" s="4">
        <v>13</v>
      </c>
      <c r="E83" s="4">
        <v>15</v>
      </c>
      <c r="F83" s="4">
        <v>23</v>
      </c>
      <c r="G83" s="4">
        <v>25</v>
      </c>
      <c r="H83" s="4">
        <v>27</v>
      </c>
      <c r="I83" s="4">
        <v>27</v>
      </c>
      <c r="J83" s="4">
        <v>35</v>
      </c>
      <c r="K83" s="4">
        <v>37</v>
      </c>
      <c r="L83" s="4">
        <v>38</v>
      </c>
      <c r="M83" s="4">
        <v>38</v>
      </c>
      <c r="N83" s="4">
        <v>38</v>
      </c>
      <c r="O83" s="4">
        <v>38</v>
      </c>
      <c r="P83" s="4">
        <v>38</v>
      </c>
      <c r="Q83" s="79">
        <v>40</v>
      </c>
      <c r="R83" s="4">
        <v>40</v>
      </c>
      <c r="S83" s="79">
        <v>53</v>
      </c>
      <c r="T83" s="4">
        <v>52</v>
      </c>
      <c r="U83" s="4">
        <v>43</v>
      </c>
      <c r="V83" s="4">
        <v>41</v>
      </c>
      <c r="W83" s="4">
        <v>43</v>
      </c>
      <c r="X83" s="4">
        <v>43</v>
      </c>
      <c r="Y83" s="4">
        <v>42</v>
      </c>
      <c r="Z83" s="4">
        <v>43</v>
      </c>
      <c r="AA83" s="4">
        <v>43</v>
      </c>
      <c r="AB83" s="4">
        <v>44</v>
      </c>
      <c r="AC83" s="4">
        <v>53</v>
      </c>
      <c r="AD83" s="4">
        <v>55</v>
      </c>
      <c r="AE83" s="4">
        <v>60</v>
      </c>
      <c r="AF83" s="4">
        <v>62</v>
      </c>
      <c r="AH83" t="s">
        <v>63</v>
      </c>
      <c r="AI83"/>
      <c r="AJ83" s="4">
        <v>6</v>
      </c>
      <c r="AK83" s="4">
        <v>1</v>
      </c>
      <c r="AL83" s="4">
        <v>2</v>
      </c>
      <c r="AN83" s="79">
        <v>3</v>
      </c>
      <c r="AO83"/>
      <c r="AP83"/>
      <c r="AQ83"/>
      <c r="AR83"/>
      <c r="AS83"/>
    </row>
    <row r="84" spans="1:45">
      <c r="B84" s="79">
        <v>0</v>
      </c>
      <c r="C84" s="4">
        <v>0</v>
      </c>
      <c r="D84" s="4">
        <v>0</v>
      </c>
      <c r="E84" s="4">
        <v>0</v>
      </c>
      <c r="F84" s="4">
        <v>0</v>
      </c>
      <c r="G84" s="4">
        <v>0</v>
      </c>
      <c r="H84" s="4">
        <v>0</v>
      </c>
      <c r="I84" s="4">
        <v>0</v>
      </c>
      <c r="J84" s="4">
        <v>0</v>
      </c>
      <c r="K84" s="4">
        <v>0</v>
      </c>
      <c r="L84" s="4">
        <v>0</v>
      </c>
      <c r="M84" s="4">
        <v>0</v>
      </c>
      <c r="N84" s="4">
        <v>0</v>
      </c>
      <c r="O84" s="4">
        <v>0</v>
      </c>
      <c r="P84" s="4">
        <v>0</v>
      </c>
      <c r="Q84" s="79">
        <v>0</v>
      </c>
      <c r="R84" s="4">
        <v>0</v>
      </c>
      <c r="S84" s="79">
        <v>0</v>
      </c>
      <c r="T84" s="4">
        <v>4</v>
      </c>
      <c r="U84" s="4">
        <v>3</v>
      </c>
      <c r="V84" s="4">
        <v>3</v>
      </c>
      <c r="W84" s="4">
        <v>3</v>
      </c>
      <c r="X84" s="4">
        <v>3</v>
      </c>
      <c r="Y84" s="4">
        <v>3</v>
      </c>
      <c r="Z84" s="4">
        <v>3</v>
      </c>
      <c r="AA84" s="4">
        <v>2</v>
      </c>
      <c r="AB84" s="4">
        <v>2</v>
      </c>
      <c r="AC84" s="4">
        <v>2</v>
      </c>
      <c r="AD84" s="4">
        <v>2</v>
      </c>
      <c r="AE84" s="4">
        <v>4</v>
      </c>
      <c r="AF84" s="4">
        <v>6</v>
      </c>
      <c r="AG84" s="4" t="s">
        <v>1</v>
      </c>
      <c r="AH84" t="s">
        <v>188</v>
      </c>
      <c r="AI84"/>
      <c r="AJ84" s="4">
        <v>1</v>
      </c>
      <c r="AK84" s="4">
        <v>3</v>
      </c>
      <c r="AL84" s="4">
        <v>0</v>
      </c>
      <c r="AN84" s="79">
        <v>3</v>
      </c>
      <c r="AO84"/>
      <c r="AP84"/>
      <c r="AQ84"/>
      <c r="AR84"/>
      <c r="AS84"/>
    </row>
    <row r="85" spans="1:45">
      <c r="B85" s="79">
        <v>0</v>
      </c>
      <c r="C85" s="4">
        <v>0</v>
      </c>
      <c r="D85" s="4">
        <v>0</v>
      </c>
      <c r="E85" s="4">
        <v>0</v>
      </c>
      <c r="F85" s="4">
        <v>0</v>
      </c>
      <c r="G85" s="4">
        <v>0</v>
      </c>
      <c r="H85" s="4">
        <v>0</v>
      </c>
      <c r="I85" s="4">
        <v>0</v>
      </c>
      <c r="J85" s="4">
        <v>0</v>
      </c>
      <c r="K85" s="4">
        <v>0</v>
      </c>
      <c r="L85" s="4">
        <v>0</v>
      </c>
      <c r="M85" s="4">
        <v>0</v>
      </c>
      <c r="N85" s="4">
        <v>0</v>
      </c>
      <c r="O85" s="4">
        <v>0</v>
      </c>
      <c r="P85" s="4">
        <v>0</v>
      </c>
      <c r="Q85" s="79">
        <v>0</v>
      </c>
      <c r="R85" s="4">
        <v>0</v>
      </c>
      <c r="S85" s="79">
        <v>0</v>
      </c>
      <c r="T85" s="4">
        <v>5</v>
      </c>
      <c r="U85" s="4">
        <v>4</v>
      </c>
      <c r="V85" s="4">
        <v>4</v>
      </c>
      <c r="W85" s="4">
        <v>4</v>
      </c>
      <c r="X85" s="4">
        <v>4</v>
      </c>
      <c r="Y85" s="4">
        <v>3</v>
      </c>
      <c r="Z85" s="4">
        <v>3</v>
      </c>
      <c r="AA85" s="4">
        <v>3</v>
      </c>
      <c r="AB85" s="4">
        <v>3</v>
      </c>
      <c r="AC85" s="4">
        <v>3</v>
      </c>
      <c r="AD85" s="4">
        <v>3</v>
      </c>
      <c r="AE85" s="4">
        <v>5</v>
      </c>
      <c r="AF85" s="4">
        <v>7</v>
      </c>
      <c r="AG85" s="4" t="s">
        <v>1</v>
      </c>
      <c r="AH85" t="s">
        <v>522</v>
      </c>
      <c r="AI85"/>
      <c r="AJ85" s="4">
        <v>0</v>
      </c>
      <c r="AK85" s="4">
        <v>2</v>
      </c>
      <c r="AL85" s="4">
        <v>2.5</v>
      </c>
      <c r="AN85" s="79">
        <v>3</v>
      </c>
      <c r="AO85"/>
      <c r="AP85"/>
      <c r="AQ85"/>
      <c r="AR85"/>
      <c r="AS85"/>
    </row>
    <row r="86" spans="1:45">
      <c r="B86" s="79">
        <v>0</v>
      </c>
      <c r="C86" s="4">
        <v>0</v>
      </c>
      <c r="D86" s="4">
        <v>0</v>
      </c>
      <c r="E86" s="4">
        <v>0</v>
      </c>
      <c r="F86" s="4">
        <v>0</v>
      </c>
      <c r="G86" s="4">
        <v>0</v>
      </c>
      <c r="H86" s="4">
        <v>0</v>
      </c>
      <c r="I86" s="4">
        <v>0</v>
      </c>
      <c r="J86" s="4">
        <v>0</v>
      </c>
      <c r="K86" s="4">
        <v>0</v>
      </c>
      <c r="L86" s="4">
        <v>0</v>
      </c>
      <c r="M86" s="4">
        <v>0</v>
      </c>
      <c r="N86" s="4">
        <v>0</v>
      </c>
      <c r="O86" s="4">
        <v>0</v>
      </c>
      <c r="P86" s="4">
        <v>0</v>
      </c>
      <c r="Q86" s="79">
        <v>0</v>
      </c>
      <c r="R86" s="4">
        <v>0</v>
      </c>
      <c r="S86" s="79">
        <v>0</v>
      </c>
      <c r="T86" s="4">
        <v>5</v>
      </c>
      <c r="U86" s="4">
        <v>4</v>
      </c>
      <c r="V86" s="4">
        <v>4</v>
      </c>
      <c r="W86" s="4">
        <v>4</v>
      </c>
      <c r="X86" s="4">
        <v>4</v>
      </c>
      <c r="Y86" s="4">
        <v>4</v>
      </c>
      <c r="Z86" s="4">
        <v>3</v>
      </c>
      <c r="AA86" s="4">
        <v>3</v>
      </c>
      <c r="AB86" s="4">
        <v>3</v>
      </c>
      <c r="AC86" s="4">
        <v>3</v>
      </c>
      <c r="AD86" s="4">
        <v>3</v>
      </c>
      <c r="AE86" s="4">
        <v>5</v>
      </c>
      <c r="AF86" s="4">
        <v>7</v>
      </c>
      <c r="AG86" s="4" t="s">
        <v>1</v>
      </c>
      <c r="AH86" t="s">
        <v>69</v>
      </c>
      <c r="AI86"/>
      <c r="AJ86" s="4">
        <v>0</v>
      </c>
      <c r="AK86" s="4">
        <v>1</v>
      </c>
      <c r="AL86" s="4">
        <v>0.5</v>
      </c>
      <c r="AN86" s="79">
        <v>3</v>
      </c>
      <c r="AO86"/>
      <c r="AP86"/>
      <c r="AQ86"/>
      <c r="AR86"/>
      <c r="AS86"/>
    </row>
    <row r="87" spans="1:45">
      <c r="A87" t="s">
        <v>140</v>
      </c>
      <c r="B87" s="79">
        <f t="shared" ref="B87:AF87" si="18">B81-B84</f>
        <v>13</v>
      </c>
      <c r="C87" s="4">
        <f t="shared" si="18"/>
        <v>13</v>
      </c>
      <c r="D87" s="4">
        <f t="shared" si="18"/>
        <v>13</v>
      </c>
      <c r="E87" s="4">
        <f t="shared" si="18"/>
        <v>19</v>
      </c>
      <c r="F87" s="4">
        <f t="shared" si="18"/>
        <v>22</v>
      </c>
      <c r="G87" s="4">
        <f t="shared" si="18"/>
        <v>24</v>
      </c>
      <c r="H87" s="4">
        <f t="shared" si="18"/>
        <v>30</v>
      </c>
      <c r="I87" s="4">
        <f t="shared" si="18"/>
        <v>32</v>
      </c>
      <c r="J87" s="4">
        <f t="shared" si="18"/>
        <v>35</v>
      </c>
      <c r="K87" s="4">
        <f t="shared" si="18"/>
        <v>37</v>
      </c>
      <c r="L87" s="4">
        <f t="shared" si="18"/>
        <v>37</v>
      </c>
      <c r="M87" s="4">
        <f t="shared" si="18"/>
        <v>37</v>
      </c>
      <c r="N87" s="4">
        <f t="shared" si="18"/>
        <v>38</v>
      </c>
      <c r="O87" s="4">
        <f t="shared" si="18"/>
        <v>39</v>
      </c>
      <c r="P87" s="4">
        <f t="shared" si="18"/>
        <v>39</v>
      </c>
      <c r="Q87" s="79">
        <f t="shared" si="18"/>
        <v>40</v>
      </c>
      <c r="R87" s="4">
        <f t="shared" si="18"/>
        <v>40</v>
      </c>
      <c r="S87" s="79">
        <f t="shared" si="18"/>
        <v>54</v>
      </c>
      <c r="T87" s="4">
        <f t="shared" si="18"/>
        <v>36</v>
      </c>
      <c r="U87" s="4">
        <f t="shared" si="18"/>
        <v>32</v>
      </c>
      <c r="V87" s="4">
        <f t="shared" si="18"/>
        <v>31</v>
      </c>
      <c r="W87" s="4">
        <f t="shared" si="18"/>
        <v>37</v>
      </c>
      <c r="X87" s="4">
        <f t="shared" si="18"/>
        <v>35</v>
      </c>
      <c r="Y87" s="4">
        <f t="shared" si="18"/>
        <v>34</v>
      </c>
      <c r="Z87" s="4">
        <f t="shared" si="18"/>
        <v>40</v>
      </c>
      <c r="AA87" s="4">
        <f t="shared" si="18"/>
        <v>40</v>
      </c>
      <c r="AB87" s="4">
        <f t="shared" si="18"/>
        <v>41</v>
      </c>
      <c r="AC87" s="4">
        <f t="shared" si="18"/>
        <v>51</v>
      </c>
      <c r="AD87" s="4">
        <f t="shared" si="18"/>
        <v>52</v>
      </c>
      <c r="AE87" s="4">
        <f t="shared" si="18"/>
        <v>60</v>
      </c>
      <c r="AF87" s="4">
        <f t="shared" si="18"/>
        <v>60</v>
      </c>
      <c r="AG87" s="4" t="s">
        <v>1</v>
      </c>
      <c r="AH87" t="s">
        <v>70</v>
      </c>
      <c r="AI87"/>
      <c r="AJ87" s="4">
        <v>1</v>
      </c>
      <c r="AK87" s="4">
        <v>0</v>
      </c>
      <c r="AL87" s="4">
        <v>0</v>
      </c>
      <c r="AN87" s="79">
        <v>3</v>
      </c>
      <c r="AO87"/>
      <c r="AP87"/>
      <c r="AQ87"/>
      <c r="AR87"/>
      <c r="AS87"/>
    </row>
    <row r="88" spans="1:45">
      <c r="A88" t="s">
        <v>141</v>
      </c>
      <c r="B88" s="79">
        <f t="shared" ref="B88:AF88" si="19">B82-B85</f>
        <v>13</v>
      </c>
      <c r="C88" s="4">
        <f t="shared" si="19"/>
        <v>14</v>
      </c>
      <c r="D88" s="4">
        <f t="shared" si="19"/>
        <v>13</v>
      </c>
      <c r="E88" s="4">
        <f t="shared" si="19"/>
        <v>16</v>
      </c>
      <c r="F88" s="4">
        <f t="shared" si="19"/>
        <v>21</v>
      </c>
      <c r="G88" s="4">
        <f t="shared" si="19"/>
        <v>26</v>
      </c>
      <c r="H88" s="4">
        <f t="shared" si="19"/>
        <v>29</v>
      </c>
      <c r="I88" s="4">
        <f t="shared" si="19"/>
        <v>29</v>
      </c>
      <c r="J88" s="4">
        <f t="shared" si="19"/>
        <v>37</v>
      </c>
      <c r="K88" s="4">
        <f t="shared" si="19"/>
        <v>37</v>
      </c>
      <c r="L88" s="4">
        <f t="shared" si="19"/>
        <v>40</v>
      </c>
      <c r="M88" s="4">
        <f t="shared" si="19"/>
        <v>40</v>
      </c>
      <c r="N88" s="4">
        <f t="shared" si="19"/>
        <v>40</v>
      </c>
      <c r="O88" s="4">
        <f t="shared" si="19"/>
        <v>40</v>
      </c>
      <c r="P88" s="4">
        <f t="shared" si="19"/>
        <v>40</v>
      </c>
      <c r="Q88" s="79">
        <f t="shared" si="19"/>
        <v>40</v>
      </c>
      <c r="R88" s="4">
        <f t="shared" si="19"/>
        <v>40</v>
      </c>
      <c r="S88" s="79">
        <f t="shared" si="19"/>
        <v>54</v>
      </c>
      <c r="T88" s="4">
        <f t="shared" si="19"/>
        <v>46</v>
      </c>
      <c r="U88" s="4">
        <f t="shared" si="19"/>
        <v>38</v>
      </c>
      <c r="V88" s="4">
        <f t="shared" si="19"/>
        <v>36</v>
      </c>
      <c r="W88" s="4">
        <f t="shared" si="19"/>
        <v>36</v>
      </c>
      <c r="X88" s="4">
        <f t="shared" si="19"/>
        <v>36</v>
      </c>
      <c r="Y88" s="4">
        <f t="shared" si="19"/>
        <v>38</v>
      </c>
      <c r="Z88" s="4">
        <f t="shared" si="19"/>
        <v>38</v>
      </c>
      <c r="AA88" s="4">
        <f t="shared" si="19"/>
        <v>38</v>
      </c>
      <c r="AB88" s="4">
        <f t="shared" si="19"/>
        <v>42</v>
      </c>
      <c r="AC88" s="4">
        <f t="shared" si="19"/>
        <v>49</v>
      </c>
      <c r="AD88" s="4">
        <f t="shared" si="19"/>
        <v>52</v>
      </c>
      <c r="AE88" s="4">
        <f t="shared" si="19"/>
        <v>54</v>
      </c>
      <c r="AF88" s="4">
        <f t="shared" si="19"/>
        <v>54</v>
      </c>
      <c r="AG88" s="4" t="s">
        <v>1</v>
      </c>
      <c r="AH88" t="s">
        <v>220</v>
      </c>
      <c r="AI88"/>
      <c r="AJ88" s="4">
        <v>1</v>
      </c>
      <c r="AK88" s="4">
        <v>0</v>
      </c>
      <c r="AL88" s="4">
        <v>0</v>
      </c>
      <c r="AN88" s="79">
        <v>3</v>
      </c>
      <c r="AO88"/>
      <c r="AP88"/>
      <c r="AQ88"/>
      <c r="AR88"/>
      <c r="AS88"/>
    </row>
    <row r="89" spans="1:45">
      <c r="A89" t="s">
        <v>142</v>
      </c>
      <c r="B89" s="79">
        <f t="shared" ref="B89:AF89" si="20">B83-B86</f>
        <v>13</v>
      </c>
      <c r="C89" s="4">
        <f t="shared" si="20"/>
        <v>14</v>
      </c>
      <c r="D89" s="4">
        <f t="shared" si="20"/>
        <v>13</v>
      </c>
      <c r="E89" s="4">
        <f t="shared" si="20"/>
        <v>15</v>
      </c>
      <c r="F89" s="4">
        <f t="shared" si="20"/>
        <v>23</v>
      </c>
      <c r="G89" s="4">
        <f t="shared" si="20"/>
        <v>25</v>
      </c>
      <c r="H89" s="4">
        <f t="shared" si="20"/>
        <v>27</v>
      </c>
      <c r="I89" s="4">
        <f t="shared" si="20"/>
        <v>27</v>
      </c>
      <c r="J89" s="4">
        <f t="shared" si="20"/>
        <v>35</v>
      </c>
      <c r="K89" s="4">
        <f t="shared" si="20"/>
        <v>37</v>
      </c>
      <c r="L89" s="4">
        <f t="shared" si="20"/>
        <v>38</v>
      </c>
      <c r="M89" s="4">
        <f t="shared" si="20"/>
        <v>38</v>
      </c>
      <c r="N89" s="4">
        <f t="shared" si="20"/>
        <v>38</v>
      </c>
      <c r="O89" s="4">
        <f t="shared" si="20"/>
        <v>38</v>
      </c>
      <c r="P89" s="4">
        <f t="shared" si="20"/>
        <v>38</v>
      </c>
      <c r="Q89" s="79">
        <f t="shared" si="20"/>
        <v>40</v>
      </c>
      <c r="R89" s="4">
        <f t="shared" si="20"/>
        <v>40</v>
      </c>
      <c r="S89" s="79">
        <f t="shared" si="20"/>
        <v>53</v>
      </c>
      <c r="T89" s="4">
        <f t="shared" si="20"/>
        <v>47</v>
      </c>
      <c r="U89" s="4">
        <f t="shared" si="20"/>
        <v>39</v>
      </c>
      <c r="V89" s="4">
        <f t="shared" si="20"/>
        <v>37</v>
      </c>
      <c r="W89" s="4">
        <f t="shared" si="20"/>
        <v>39</v>
      </c>
      <c r="X89" s="4">
        <f t="shared" si="20"/>
        <v>39</v>
      </c>
      <c r="Y89" s="4">
        <f t="shared" si="20"/>
        <v>38</v>
      </c>
      <c r="Z89" s="4">
        <f t="shared" si="20"/>
        <v>40</v>
      </c>
      <c r="AA89" s="4">
        <f t="shared" si="20"/>
        <v>40</v>
      </c>
      <c r="AB89" s="4">
        <f t="shared" si="20"/>
        <v>41</v>
      </c>
      <c r="AC89" s="4">
        <f t="shared" si="20"/>
        <v>50</v>
      </c>
      <c r="AD89" s="4">
        <f t="shared" si="20"/>
        <v>52</v>
      </c>
      <c r="AE89" s="4">
        <f t="shared" si="20"/>
        <v>55</v>
      </c>
      <c r="AF89" s="4">
        <f t="shared" si="20"/>
        <v>55</v>
      </c>
      <c r="AG89" s="4" t="s">
        <v>1</v>
      </c>
      <c r="AH89" t="s">
        <v>523</v>
      </c>
      <c r="AI89"/>
      <c r="AJ89" s="4">
        <v>2.5</v>
      </c>
      <c r="AK89" s="4">
        <v>1</v>
      </c>
      <c r="AL89" s="4">
        <v>3.5</v>
      </c>
      <c r="AN89" s="79">
        <v>3</v>
      </c>
      <c r="AO89"/>
      <c r="AP89"/>
      <c r="AQ89"/>
      <c r="AR89"/>
      <c r="AS89"/>
    </row>
    <row r="90" spans="1:45">
      <c r="A90">
        <v>13.4</v>
      </c>
      <c r="B90" s="4">
        <f t="shared" ref="B90:AF90" si="21">13+(B69-1)*$AM69+(B70-1)*$AM70+(B71-1)*$AM71+(B72-1)*$AM72+(B73-1)*$AM73+(B74-1)*$AM74+(B75-1)*$AM75+(B76-1)*$AM76+(B77-1)*$AM77+(B78-1)*$AM78+(B79-1)*$AM79</f>
        <v>13</v>
      </c>
      <c r="C90" s="4">
        <f t="shared" si="21"/>
        <v>13</v>
      </c>
      <c r="D90" s="4">
        <f t="shared" si="21"/>
        <v>13</v>
      </c>
      <c r="E90" s="4">
        <f t="shared" si="21"/>
        <v>19</v>
      </c>
      <c r="F90" s="4">
        <f t="shared" si="21"/>
        <v>21.5</v>
      </c>
      <c r="G90" s="4">
        <f t="shared" si="21"/>
        <v>23</v>
      </c>
      <c r="H90" s="4">
        <f t="shared" si="21"/>
        <v>29</v>
      </c>
      <c r="I90" s="4">
        <f t="shared" si="21"/>
        <v>31.5</v>
      </c>
      <c r="J90" s="4">
        <f t="shared" si="21"/>
        <v>35</v>
      </c>
      <c r="K90" s="4">
        <f t="shared" si="21"/>
        <v>36</v>
      </c>
      <c r="L90" s="4">
        <f t="shared" si="21"/>
        <v>36.5</v>
      </c>
      <c r="M90" s="4">
        <f t="shared" si="21"/>
        <v>36.5</v>
      </c>
      <c r="N90" s="4">
        <f t="shared" si="21"/>
        <v>37</v>
      </c>
      <c r="O90" s="4">
        <f t="shared" si="21"/>
        <v>39</v>
      </c>
      <c r="P90" s="4">
        <f t="shared" si="21"/>
        <v>39</v>
      </c>
      <c r="Q90" s="4">
        <f t="shared" si="21"/>
        <v>40</v>
      </c>
      <c r="R90" s="4">
        <f t="shared" si="21"/>
        <v>40</v>
      </c>
      <c r="S90" s="4">
        <f t="shared" si="21"/>
        <v>53.5</v>
      </c>
      <c r="T90" s="4">
        <f t="shared" si="21"/>
        <v>35.5</v>
      </c>
      <c r="U90" s="4">
        <f t="shared" si="21"/>
        <v>32</v>
      </c>
      <c r="V90" s="4">
        <f t="shared" si="21"/>
        <v>31.5</v>
      </c>
      <c r="W90" s="4">
        <f t="shared" si="21"/>
        <v>37</v>
      </c>
      <c r="X90" s="4">
        <f t="shared" si="21"/>
        <v>35</v>
      </c>
      <c r="Y90" s="4">
        <f t="shared" si="21"/>
        <v>34</v>
      </c>
      <c r="Z90" s="4">
        <f t="shared" si="21"/>
        <v>40</v>
      </c>
      <c r="AA90" s="4">
        <f t="shared" si="21"/>
        <v>40</v>
      </c>
      <c r="AB90" s="4">
        <f t="shared" si="21"/>
        <v>40.5</v>
      </c>
      <c r="AC90" s="4">
        <f t="shared" si="21"/>
        <v>50.5</v>
      </c>
      <c r="AD90" s="4">
        <f t="shared" si="21"/>
        <v>52.5</v>
      </c>
      <c r="AE90" s="4">
        <f t="shared" si="21"/>
        <v>59.5</v>
      </c>
      <c r="AF90" s="4">
        <f t="shared" si="21"/>
        <v>59.5</v>
      </c>
      <c r="AH90" t="s">
        <v>237</v>
      </c>
      <c r="AI90"/>
      <c r="AJ90" s="4">
        <v>0</v>
      </c>
      <c r="AK90" s="4">
        <v>2</v>
      </c>
      <c r="AL90" s="4">
        <v>0</v>
      </c>
      <c r="AN90" s="79">
        <v>3</v>
      </c>
      <c r="AO90"/>
      <c r="AP90"/>
      <c r="AQ90"/>
      <c r="AR90"/>
      <c r="AS90"/>
    </row>
    <row r="91" spans="1:45">
      <c r="A91">
        <v>13.4</v>
      </c>
      <c r="B91" s="4">
        <f t="shared" ref="B91:AF91" si="22">13+(B69-1)*$AN69+(B70-1)*$AN70+(B71-1)*$AN71+(B72-1)*$AN72+(B73-1)*$AN73+(B74-1)*$AN74+(B75-1)*$AN75+(B76-1)*$AN76+(B77-1)*$AN77+(B78-1)*$AN78+(B79-1)*$AN79</f>
        <v>13</v>
      </c>
      <c r="C91" s="4">
        <f t="shared" si="22"/>
        <v>13.5</v>
      </c>
      <c r="D91" s="4">
        <f t="shared" si="22"/>
        <v>13</v>
      </c>
      <c r="E91" s="4">
        <f t="shared" si="22"/>
        <v>16</v>
      </c>
      <c r="F91" s="4">
        <f t="shared" si="22"/>
        <v>21</v>
      </c>
      <c r="G91" s="4">
        <f t="shared" si="22"/>
        <v>26</v>
      </c>
      <c r="H91" s="4">
        <f t="shared" si="22"/>
        <v>29</v>
      </c>
      <c r="I91" s="4">
        <f t="shared" si="22"/>
        <v>29.5</v>
      </c>
      <c r="J91" s="4">
        <f t="shared" si="22"/>
        <v>37.5</v>
      </c>
      <c r="K91" s="4">
        <f t="shared" si="22"/>
        <v>37.5</v>
      </c>
      <c r="L91" s="4">
        <f t="shared" si="22"/>
        <v>39.5</v>
      </c>
      <c r="M91" s="4">
        <f t="shared" si="22"/>
        <v>39.5</v>
      </c>
      <c r="N91" s="4">
        <f t="shared" si="22"/>
        <v>40</v>
      </c>
      <c r="O91" s="4">
        <f t="shared" si="22"/>
        <v>40</v>
      </c>
      <c r="P91" s="4">
        <f t="shared" si="22"/>
        <v>40</v>
      </c>
      <c r="Q91" s="4">
        <f t="shared" si="22"/>
        <v>40</v>
      </c>
      <c r="R91" s="4">
        <f t="shared" si="22"/>
        <v>40</v>
      </c>
      <c r="S91" s="4">
        <f t="shared" si="22"/>
        <v>53.5</v>
      </c>
      <c r="T91" s="4">
        <f t="shared" si="22"/>
        <v>44.5</v>
      </c>
      <c r="U91" s="4">
        <f t="shared" si="22"/>
        <v>36.5</v>
      </c>
      <c r="V91" s="4">
        <f t="shared" si="22"/>
        <v>34.5</v>
      </c>
      <c r="W91" s="4">
        <f t="shared" si="22"/>
        <v>35</v>
      </c>
      <c r="X91" s="4">
        <f t="shared" si="22"/>
        <v>35</v>
      </c>
      <c r="Y91" s="4">
        <f t="shared" si="22"/>
        <v>37</v>
      </c>
      <c r="Z91" s="4">
        <f t="shared" si="22"/>
        <v>38</v>
      </c>
      <c r="AA91" s="4">
        <f t="shared" si="22"/>
        <v>38</v>
      </c>
      <c r="AB91" s="4">
        <f t="shared" si="22"/>
        <v>41.5</v>
      </c>
      <c r="AC91" s="4">
        <f t="shared" si="22"/>
        <v>49</v>
      </c>
      <c r="AD91" s="4">
        <f t="shared" si="22"/>
        <v>51.5</v>
      </c>
      <c r="AE91" s="4">
        <f t="shared" si="22"/>
        <v>54.5</v>
      </c>
      <c r="AF91" s="4">
        <f t="shared" si="22"/>
        <v>54.5</v>
      </c>
      <c r="AH91" t="s">
        <v>524</v>
      </c>
      <c r="AI91"/>
      <c r="AJ91" s="4">
        <v>0</v>
      </c>
      <c r="AK91" s="4">
        <v>2</v>
      </c>
      <c r="AL91" s="4">
        <v>1.5</v>
      </c>
      <c r="AN91" s="79">
        <v>3</v>
      </c>
      <c r="AO91"/>
      <c r="AP91"/>
      <c r="AQ91"/>
      <c r="AR91"/>
      <c r="AS91"/>
    </row>
    <row r="92" spans="1:45">
      <c r="A92" t="s">
        <v>545</v>
      </c>
      <c r="B92" s="4">
        <f t="shared" ref="B92:AF92" si="23">13+(B69-1)*$AO69+(B70-1)*$AO70+(B71-1)*$AO71+(B72-1)*$AO72+(B73-1)*$AO73+(B74-1)*$AO74+(B75-1)*$AO75+(B76-1)*$AO76+(B77-1)*$AO77+(B78-1)*$AO78+(B79-1)*$AO79</f>
        <v>13</v>
      </c>
      <c r="C92" s="4">
        <f t="shared" si="23"/>
        <v>13.5</v>
      </c>
      <c r="D92" s="4">
        <f t="shared" si="23"/>
        <v>13</v>
      </c>
      <c r="E92" s="4">
        <f t="shared" si="23"/>
        <v>15</v>
      </c>
      <c r="F92" s="4">
        <f t="shared" si="23"/>
        <v>23</v>
      </c>
      <c r="G92" s="4">
        <f t="shared" si="23"/>
        <v>25</v>
      </c>
      <c r="H92" s="4">
        <f t="shared" si="23"/>
        <v>27</v>
      </c>
      <c r="I92" s="4">
        <f t="shared" si="23"/>
        <v>27</v>
      </c>
      <c r="J92" s="4">
        <f t="shared" si="23"/>
        <v>35</v>
      </c>
      <c r="K92" s="4">
        <f t="shared" si="23"/>
        <v>36.5</v>
      </c>
      <c r="L92" s="4">
        <f t="shared" si="23"/>
        <v>38.5</v>
      </c>
      <c r="M92" s="4">
        <f t="shared" si="23"/>
        <v>38.5</v>
      </c>
      <c r="N92" s="4">
        <f t="shared" si="23"/>
        <v>38.5</v>
      </c>
      <c r="O92" s="4">
        <f t="shared" si="23"/>
        <v>38.5</v>
      </c>
      <c r="P92" s="4">
        <f t="shared" si="23"/>
        <v>38.5</v>
      </c>
      <c r="Q92" s="4">
        <f t="shared" si="23"/>
        <v>40</v>
      </c>
      <c r="R92" s="4">
        <f t="shared" si="23"/>
        <v>40</v>
      </c>
      <c r="S92" s="4">
        <f t="shared" si="23"/>
        <v>53.5</v>
      </c>
      <c r="T92" s="4">
        <f t="shared" si="23"/>
        <v>47.5</v>
      </c>
      <c r="U92" s="4">
        <f t="shared" si="23"/>
        <v>39.5</v>
      </c>
      <c r="V92" s="4">
        <f t="shared" si="23"/>
        <v>37.5</v>
      </c>
      <c r="W92" s="4">
        <f t="shared" si="23"/>
        <v>39.5</v>
      </c>
      <c r="X92" s="4">
        <f t="shared" si="23"/>
        <v>39.5</v>
      </c>
      <c r="Y92" s="4">
        <f t="shared" si="23"/>
        <v>38</v>
      </c>
      <c r="Z92" s="4">
        <f t="shared" si="23"/>
        <v>40</v>
      </c>
      <c r="AA92" s="4">
        <f t="shared" si="23"/>
        <v>40</v>
      </c>
      <c r="AB92" s="4">
        <f t="shared" si="23"/>
        <v>41.5</v>
      </c>
      <c r="AC92" s="4">
        <f t="shared" si="23"/>
        <v>50</v>
      </c>
      <c r="AD92" s="4">
        <f t="shared" si="23"/>
        <v>52</v>
      </c>
      <c r="AE92" s="4">
        <f t="shared" si="23"/>
        <v>55.5</v>
      </c>
      <c r="AF92" s="4">
        <f t="shared" si="23"/>
        <v>55.5</v>
      </c>
      <c r="AH92" t="s">
        <v>525</v>
      </c>
      <c r="AI92"/>
      <c r="AJ92" s="4">
        <v>1.5</v>
      </c>
      <c r="AK92" s="4">
        <v>0</v>
      </c>
      <c r="AL92" s="4">
        <v>2</v>
      </c>
      <c r="AN92" s="79">
        <v>3</v>
      </c>
      <c r="AO92"/>
      <c r="AP92"/>
      <c r="AQ92"/>
      <c r="AR92"/>
      <c r="AS92"/>
    </row>
    <row r="93" spans="1:45">
      <c r="A93" t="s">
        <v>527</v>
      </c>
      <c r="C93" s="4" t="s">
        <v>1</v>
      </c>
      <c r="F93" s="4" t="s">
        <v>528</v>
      </c>
      <c r="L93" s="4" t="s">
        <v>529</v>
      </c>
      <c r="R93" s="4" t="s">
        <v>530</v>
      </c>
      <c r="W93" t="s">
        <v>1</v>
      </c>
      <c r="AI93"/>
      <c r="AJ93" s="4">
        <f>SUM(AJ82:AJ92)</f>
        <v>13.5</v>
      </c>
      <c r="AK93" s="4">
        <f>SUM(AK82:AK92)</f>
        <v>13.5</v>
      </c>
      <c r="AL93" s="4">
        <f>SUM(AL82:AL92)</f>
        <v>13</v>
      </c>
      <c r="AM93" s="4" t="s">
        <v>140</v>
      </c>
      <c r="AN93" s="4" t="s">
        <v>141</v>
      </c>
      <c r="AO93" s="4" t="s">
        <v>142</v>
      </c>
      <c r="AP93"/>
      <c r="AQ93"/>
      <c r="AR93"/>
      <c r="AS93"/>
    </row>
    <row r="94" spans="1:45">
      <c r="A94" t="s">
        <v>54</v>
      </c>
      <c r="B94" s="4">
        <v>1</v>
      </c>
      <c r="C94" t="s">
        <v>532</v>
      </c>
      <c r="D94" s="4">
        <v>1</v>
      </c>
      <c r="E94"/>
      <c r="F94" t="s">
        <v>54</v>
      </c>
      <c r="G94"/>
      <c r="H94" s="4">
        <v>0</v>
      </c>
      <c r="I94" s="4">
        <v>2</v>
      </c>
      <c r="J94" s="4">
        <v>1</v>
      </c>
      <c r="L94" t="s">
        <v>54</v>
      </c>
      <c r="M94"/>
      <c r="N94" s="4">
        <v>1</v>
      </c>
      <c r="O94" s="4">
        <v>2</v>
      </c>
      <c r="P94" s="4">
        <v>2</v>
      </c>
      <c r="R94" t="s">
        <v>54</v>
      </c>
      <c r="T94" s="4">
        <v>0</v>
      </c>
      <c r="U94" s="4">
        <v>1</v>
      </c>
      <c r="V94" s="4">
        <v>1</v>
      </c>
      <c r="W94" t="s">
        <v>54</v>
      </c>
      <c r="Y94" s="4">
        <v>0.5</v>
      </c>
      <c r="Z94" s="4">
        <v>1.5</v>
      </c>
      <c r="AA94" s="4">
        <v>1</v>
      </c>
      <c r="AC94" t="s">
        <v>54</v>
      </c>
      <c r="AE94" s="4">
        <v>0.60000000000000009</v>
      </c>
      <c r="AF94" s="4">
        <v>1.7000000000000002</v>
      </c>
      <c r="AG94" s="4">
        <v>1.2</v>
      </c>
      <c r="AM94" s="4">
        <f>13+($AN82-1)*AJ82+($AN83-1)*AJ83+($AN84-1)*AJ84+($AN85-1)*AJ85+($AN86-1)*AJ86+($AN87-1)*AJ87+($AN88-1)*AJ88+($AN89-1)*AJ89+($AN90-1)*AJ90+($AN91-1)*AJ91+($AN92-1)*AJ92</f>
        <v>40</v>
      </c>
      <c r="AN94" s="4">
        <f>13+($AN82-1)*AK82+($AN83-1)*AK83+($AN84-1)*AK84+($AN85-1)*AK85+($AN86-1)*AK86+($AN87-1)*AK87+($AN88-1)*AK88+($AN89-1)*AK89+($AN90-1)*AK90+($AN91-1)*AK91+($AN92-1)*AK92</f>
        <v>40</v>
      </c>
      <c r="AO94" s="4">
        <f>13+($AN82-1)*AL82+($AN83-1)*AL83+($AN84-1)*AL84+($AN85-1)*AL85+($AN86-1)*AL86+($AN87-1)*AL87+($AN88-1)*AL88+($AN89-1)*AL89+($AN90-1)*AL90+($AN91-1)*AL91+($AN92-1)*AL92</f>
        <v>39</v>
      </c>
      <c r="AP94"/>
      <c r="AQ94"/>
      <c r="AR94"/>
      <c r="AS94"/>
    </row>
    <row r="95" spans="1:45">
      <c r="A95" t="s">
        <v>63</v>
      </c>
      <c r="B95" s="4">
        <v>6</v>
      </c>
      <c r="C95" s="4">
        <v>1</v>
      </c>
      <c r="D95" s="4">
        <v>2</v>
      </c>
      <c r="E95"/>
      <c r="F95" t="s">
        <v>63</v>
      </c>
      <c r="G95"/>
      <c r="H95" s="4">
        <v>6</v>
      </c>
      <c r="I95" s="4">
        <v>1</v>
      </c>
      <c r="J95" s="4">
        <v>2</v>
      </c>
      <c r="L95" t="s">
        <v>63</v>
      </c>
      <c r="M95"/>
      <c r="N95" s="4">
        <v>6</v>
      </c>
      <c r="O95" s="4">
        <v>1</v>
      </c>
      <c r="P95" s="4">
        <v>2</v>
      </c>
      <c r="R95" t="s">
        <v>63</v>
      </c>
      <c r="T95" s="4">
        <v>6</v>
      </c>
      <c r="U95" s="4">
        <v>0</v>
      </c>
      <c r="V95" s="4">
        <v>2</v>
      </c>
      <c r="W95" t="s">
        <v>63</v>
      </c>
      <c r="Y95" s="4">
        <v>6</v>
      </c>
      <c r="Z95" s="4">
        <v>1</v>
      </c>
      <c r="AA95" s="4">
        <v>2</v>
      </c>
      <c r="AC95" t="s">
        <v>63</v>
      </c>
      <c r="AE95" s="4">
        <v>5.9</v>
      </c>
      <c r="AF95" s="4">
        <v>0.7</v>
      </c>
      <c r="AG95" s="4">
        <v>2.2000000000000002</v>
      </c>
    </row>
    <row r="96" spans="1:45">
      <c r="A96" t="s">
        <v>188</v>
      </c>
      <c r="B96" s="4">
        <v>1</v>
      </c>
      <c r="C96" s="4" t="s">
        <v>534</v>
      </c>
      <c r="D96" s="4">
        <v>0</v>
      </c>
      <c r="E96"/>
      <c r="F96" t="s">
        <v>188</v>
      </c>
      <c r="G96"/>
      <c r="H96" s="4" t="s">
        <v>533</v>
      </c>
      <c r="I96" s="4">
        <v>3</v>
      </c>
      <c r="J96" s="4">
        <v>0</v>
      </c>
      <c r="L96" t="s">
        <v>188</v>
      </c>
      <c r="M96"/>
      <c r="N96" s="4">
        <v>1</v>
      </c>
      <c r="O96" s="4">
        <v>3</v>
      </c>
      <c r="P96" s="4">
        <v>0</v>
      </c>
      <c r="R96" t="s">
        <v>188</v>
      </c>
      <c r="W96" t="s">
        <v>188</v>
      </c>
      <c r="Y96" s="4">
        <v>1</v>
      </c>
      <c r="Z96" s="4">
        <v>3</v>
      </c>
      <c r="AA96" s="4">
        <v>0</v>
      </c>
      <c r="AC96" t="s">
        <v>188</v>
      </c>
      <c r="AE96" s="4">
        <v>0.9</v>
      </c>
      <c r="AF96" s="4">
        <v>2.9</v>
      </c>
      <c r="AG96" s="4">
        <v>0.1</v>
      </c>
    </row>
    <row r="97" spans="1:33">
      <c r="A97" t="s">
        <v>522</v>
      </c>
      <c r="B97" s="4">
        <v>0</v>
      </c>
      <c r="C97" s="4">
        <v>2</v>
      </c>
      <c r="D97" s="80" t="s">
        <v>534</v>
      </c>
      <c r="E97"/>
      <c r="F97" t="s">
        <v>522</v>
      </c>
      <c r="G97"/>
      <c r="H97" s="4">
        <v>0</v>
      </c>
      <c r="I97" s="4">
        <v>2</v>
      </c>
      <c r="J97" s="4" t="s">
        <v>534</v>
      </c>
      <c r="L97" t="s">
        <v>522</v>
      </c>
      <c r="M97"/>
      <c r="N97" s="4">
        <v>0</v>
      </c>
      <c r="O97" s="4">
        <v>2</v>
      </c>
      <c r="P97" s="4">
        <v>3</v>
      </c>
      <c r="R97" t="s">
        <v>522</v>
      </c>
      <c r="W97" t="s">
        <v>522</v>
      </c>
      <c r="Y97" s="4">
        <v>0</v>
      </c>
      <c r="Z97" s="4">
        <v>2</v>
      </c>
      <c r="AA97" s="4">
        <v>2.5</v>
      </c>
      <c r="AC97" t="s">
        <v>522</v>
      </c>
      <c r="AE97" s="4">
        <v>0.1</v>
      </c>
      <c r="AF97" s="4">
        <v>1.9</v>
      </c>
      <c r="AG97" s="4">
        <v>2.2999999999999998</v>
      </c>
    </row>
    <row r="98" spans="1:33">
      <c r="A98" t="s">
        <v>69</v>
      </c>
      <c r="B98" s="4">
        <v>0</v>
      </c>
      <c r="C98" s="4">
        <v>1</v>
      </c>
      <c r="D98" s="4">
        <v>1</v>
      </c>
      <c r="E98"/>
      <c r="F98" t="s">
        <v>69</v>
      </c>
      <c r="G98"/>
      <c r="H98" s="4">
        <v>0</v>
      </c>
      <c r="I98" s="4">
        <v>1</v>
      </c>
      <c r="J98" s="4">
        <v>0</v>
      </c>
      <c r="L98" t="s">
        <v>69</v>
      </c>
      <c r="M98"/>
      <c r="N98" s="4">
        <v>0</v>
      </c>
      <c r="O98" s="4">
        <v>1</v>
      </c>
      <c r="P98" s="4">
        <v>0</v>
      </c>
      <c r="R98" t="s">
        <v>69</v>
      </c>
      <c r="W98" t="s">
        <v>69</v>
      </c>
      <c r="Y98" s="4">
        <v>0</v>
      </c>
      <c r="Z98" s="4">
        <v>1</v>
      </c>
      <c r="AA98" s="4">
        <v>0.5</v>
      </c>
      <c r="AC98" t="s">
        <v>69</v>
      </c>
      <c r="AE98" s="4">
        <v>0.30000000000000004</v>
      </c>
      <c r="AF98" s="4">
        <v>0.60000000000000009</v>
      </c>
      <c r="AG98" s="4">
        <v>0.30000000000000004</v>
      </c>
    </row>
    <row r="99" spans="1:33">
      <c r="A99" t="s">
        <v>70</v>
      </c>
      <c r="B99" s="4">
        <v>1</v>
      </c>
      <c r="C99" s="4">
        <v>0</v>
      </c>
      <c r="D99" s="4">
        <v>0</v>
      </c>
      <c r="F99" t="s">
        <v>70</v>
      </c>
      <c r="H99" s="4">
        <v>1</v>
      </c>
      <c r="I99" s="4">
        <v>0</v>
      </c>
      <c r="J99" s="4">
        <v>0</v>
      </c>
      <c r="L99" t="s">
        <v>70</v>
      </c>
      <c r="M99"/>
      <c r="N99" s="4">
        <v>1</v>
      </c>
      <c r="O99" s="4">
        <v>1</v>
      </c>
      <c r="P99" s="4">
        <v>0</v>
      </c>
      <c r="R99" t="s">
        <v>70</v>
      </c>
      <c r="W99" t="s">
        <v>70</v>
      </c>
      <c r="Y99" s="4">
        <v>1</v>
      </c>
      <c r="Z99" s="4">
        <v>0</v>
      </c>
      <c r="AA99" s="4">
        <v>0</v>
      </c>
      <c r="AC99" t="s">
        <v>70</v>
      </c>
      <c r="AE99" s="4">
        <v>0.30000000000000004</v>
      </c>
      <c r="AF99" s="4">
        <v>0.60000000000000009</v>
      </c>
      <c r="AG99" s="4">
        <v>0.30000000000000004</v>
      </c>
    </row>
    <row r="100" spans="1:33">
      <c r="A100" t="s">
        <v>220</v>
      </c>
      <c r="B100" s="4">
        <v>1</v>
      </c>
      <c r="C100" s="4">
        <v>0</v>
      </c>
      <c r="D100" s="4">
        <v>0</v>
      </c>
      <c r="F100" t="s">
        <v>220</v>
      </c>
      <c r="H100" s="4">
        <v>1</v>
      </c>
      <c r="I100" s="4">
        <v>0</v>
      </c>
      <c r="J100" s="4">
        <v>0</v>
      </c>
      <c r="L100" t="s">
        <v>220</v>
      </c>
      <c r="M100"/>
      <c r="N100" s="4">
        <v>2</v>
      </c>
      <c r="O100" s="4">
        <v>0</v>
      </c>
      <c r="P100" s="4">
        <v>0</v>
      </c>
      <c r="R100" t="s">
        <v>220</v>
      </c>
      <c r="W100" t="s">
        <v>220</v>
      </c>
      <c r="Y100" s="4">
        <v>1</v>
      </c>
      <c r="Z100" s="4">
        <v>0</v>
      </c>
      <c r="AA100" s="4">
        <v>0</v>
      </c>
      <c r="AC100" t="s">
        <v>220</v>
      </c>
      <c r="AE100" s="4">
        <v>1.6</v>
      </c>
      <c r="AF100" s="4">
        <v>0.1</v>
      </c>
      <c r="AG100" s="4">
        <v>0.1</v>
      </c>
    </row>
    <row r="101" spans="1:33">
      <c r="A101" t="s">
        <v>523</v>
      </c>
      <c r="B101" s="4">
        <v>3</v>
      </c>
      <c r="C101" s="4">
        <v>1</v>
      </c>
      <c r="D101" s="4" t="s">
        <v>535</v>
      </c>
      <c r="E101"/>
      <c r="F101" t="s">
        <v>523</v>
      </c>
      <c r="G101"/>
      <c r="H101" s="4" t="s">
        <v>534</v>
      </c>
      <c r="I101" s="4">
        <v>1</v>
      </c>
      <c r="J101" s="4" t="s">
        <v>535</v>
      </c>
      <c r="L101" t="s">
        <v>523</v>
      </c>
      <c r="M101"/>
      <c r="N101" s="4">
        <v>3</v>
      </c>
      <c r="O101" s="4">
        <v>1</v>
      </c>
      <c r="P101" s="4">
        <v>4</v>
      </c>
      <c r="R101" t="s">
        <v>523</v>
      </c>
      <c r="W101" t="s">
        <v>523</v>
      </c>
      <c r="Y101" s="4">
        <v>2.5</v>
      </c>
      <c r="Z101" s="4">
        <v>1</v>
      </c>
      <c r="AA101" s="4">
        <v>3.5</v>
      </c>
      <c r="AC101" t="s">
        <v>523</v>
      </c>
      <c r="AE101" s="4">
        <v>2.4</v>
      </c>
      <c r="AF101" s="4">
        <v>0.9</v>
      </c>
      <c r="AG101" s="4">
        <v>3.6</v>
      </c>
    </row>
    <row r="102" spans="1:33">
      <c r="A102" t="s">
        <v>237</v>
      </c>
      <c r="B102" s="4">
        <v>0</v>
      </c>
      <c r="C102" s="4">
        <v>2</v>
      </c>
      <c r="D102" s="4">
        <v>0</v>
      </c>
      <c r="E102"/>
      <c r="F102" t="s">
        <v>237</v>
      </c>
      <c r="G102"/>
      <c r="H102" s="4">
        <v>0</v>
      </c>
      <c r="I102" s="4">
        <v>2</v>
      </c>
      <c r="J102" s="4">
        <v>0</v>
      </c>
      <c r="L102" t="s">
        <v>237</v>
      </c>
      <c r="M102"/>
      <c r="N102" s="4">
        <v>0</v>
      </c>
      <c r="O102" s="4">
        <v>2</v>
      </c>
      <c r="P102" s="4">
        <v>0</v>
      </c>
      <c r="R102" t="s">
        <v>237</v>
      </c>
      <c r="W102" t="s">
        <v>237</v>
      </c>
      <c r="Y102" s="4">
        <v>0</v>
      </c>
      <c r="Z102" s="4">
        <v>2</v>
      </c>
      <c r="AA102" s="4">
        <v>0</v>
      </c>
      <c r="AC102" t="s">
        <v>237</v>
      </c>
      <c r="AE102" s="4">
        <v>0.2</v>
      </c>
      <c r="AF102" s="4">
        <v>1.8</v>
      </c>
      <c r="AG102" s="4">
        <v>0.1</v>
      </c>
    </row>
    <row r="103" spans="1:33">
      <c r="A103" t="s">
        <v>524</v>
      </c>
      <c r="B103" s="4">
        <v>0</v>
      </c>
      <c r="C103" s="4">
        <v>2</v>
      </c>
      <c r="D103" s="4" t="s">
        <v>532</v>
      </c>
      <c r="E103"/>
      <c r="F103" t="s">
        <v>524</v>
      </c>
      <c r="G103"/>
      <c r="H103" s="4">
        <v>0</v>
      </c>
      <c r="I103" s="4">
        <v>2</v>
      </c>
      <c r="J103" s="4" t="s">
        <v>532</v>
      </c>
      <c r="L103" t="s">
        <v>524</v>
      </c>
      <c r="M103"/>
      <c r="N103" s="4">
        <v>0</v>
      </c>
      <c r="O103" s="4">
        <v>2</v>
      </c>
      <c r="P103" s="4">
        <v>2</v>
      </c>
      <c r="R103" t="s">
        <v>524</v>
      </c>
      <c r="W103" t="s">
        <v>524</v>
      </c>
      <c r="Y103" s="4">
        <v>0</v>
      </c>
      <c r="Z103" s="4">
        <v>2</v>
      </c>
      <c r="AA103" s="4">
        <v>1.5</v>
      </c>
      <c r="AC103" t="s">
        <v>524</v>
      </c>
      <c r="AE103" s="4">
        <v>0.1</v>
      </c>
      <c r="AF103" s="4">
        <v>2.1</v>
      </c>
      <c r="AG103" s="4">
        <v>1.3</v>
      </c>
    </row>
    <row r="104" spans="1:33">
      <c r="A104" t="s">
        <v>525</v>
      </c>
      <c r="B104" s="4">
        <v>2</v>
      </c>
      <c r="C104" s="4">
        <v>0</v>
      </c>
      <c r="D104" s="4">
        <v>2</v>
      </c>
      <c r="E104"/>
      <c r="F104" t="s">
        <v>525</v>
      </c>
      <c r="G104"/>
      <c r="H104" s="4">
        <v>1</v>
      </c>
      <c r="I104" s="4">
        <v>0</v>
      </c>
      <c r="J104" s="4">
        <v>2</v>
      </c>
      <c r="L104" t="s">
        <v>525</v>
      </c>
      <c r="M104"/>
      <c r="N104" s="4">
        <v>2</v>
      </c>
      <c r="O104" s="4">
        <v>0</v>
      </c>
      <c r="P104" s="4">
        <v>1</v>
      </c>
      <c r="R104" t="s">
        <v>525</v>
      </c>
      <c r="W104" t="s">
        <v>525</v>
      </c>
      <c r="Y104" s="4">
        <v>1.5</v>
      </c>
      <c r="Z104" s="4">
        <v>0</v>
      </c>
      <c r="AA104" s="4">
        <v>2</v>
      </c>
      <c r="AC104" t="s">
        <v>525</v>
      </c>
      <c r="AE104" s="4">
        <v>1</v>
      </c>
      <c r="AF104" s="4">
        <v>0.1</v>
      </c>
      <c r="AG104" s="4">
        <v>1.4</v>
      </c>
    </row>
    <row r="105" spans="1:33">
      <c r="B105"/>
      <c r="C105"/>
      <c r="D105"/>
      <c r="E105"/>
      <c r="F105"/>
      <c r="G105"/>
      <c r="H105"/>
      <c r="I105"/>
      <c r="J105"/>
      <c r="K105"/>
      <c r="L105"/>
      <c r="M105"/>
      <c r="N105"/>
      <c r="O105"/>
      <c r="P105"/>
    </row>
    <row r="106" spans="1:33">
      <c r="A106" t="s">
        <v>52</v>
      </c>
      <c r="B106">
        <v>15</v>
      </c>
      <c r="C106">
        <v>13</v>
      </c>
      <c r="D106">
        <v>14</v>
      </c>
      <c r="F106" s="77"/>
      <c r="H106" s="4">
        <v>12</v>
      </c>
      <c r="I106" s="4">
        <v>14</v>
      </c>
      <c r="J106" s="4">
        <v>13</v>
      </c>
      <c r="N106" s="4">
        <v>16</v>
      </c>
      <c r="O106" s="4">
        <v>15</v>
      </c>
      <c r="P106" s="4">
        <v>14</v>
      </c>
    </row>
    <row r="107" spans="1:33">
      <c r="B107"/>
      <c r="C107"/>
      <c r="D107"/>
      <c r="F107" s="77"/>
    </row>
    <row r="108" spans="1:33">
      <c r="B108"/>
      <c r="C108"/>
      <c r="D108"/>
    </row>
  </sheetData>
  <sheetProtection selectLockedCells="1" selectUnlockedCells="1"/>
  <pageMargins left="0.78749999999999998" right="0.78749999999999998" top="1.0527777777777778" bottom="1.0527777777777778" header="0.78749999999999998" footer="0.78749999999999998"/>
  <pageSetup paperSize="9" firstPageNumber="0" orientation="portrait" horizontalDpi="300" verticalDpi="300"/>
  <headerFooter alignWithMargins="0">
    <oddHeader>&amp;C&amp;"Times New Roman,Normal"&amp;12&amp;A</oddHeader>
    <oddFooter>&amp;C&amp;"Times New Roman,Normal"&amp;12Page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90"/>
  <sheetViews>
    <sheetView showGridLines="0" workbookViewId="0">
      <selection activeCell="B11" sqref="B11"/>
    </sheetView>
  </sheetViews>
  <sheetFormatPr baseColWidth="10" defaultRowHeight="13.2"/>
  <cols>
    <col min="1" max="1" width="1.109375" customWidth="1"/>
    <col min="2" max="2" width="64.44140625" customWidth="1"/>
    <col min="3" max="3" width="1.5546875" customWidth="1"/>
    <col min="4" max="4" width="5.5546875" customWidth="1"/>
    <col min="5" max="6" width="16" customWidth="1"/>
  </cols>
  <sheetData>
    <row r="1" spans="1:6">
      <c r="A1" s="81"/>
      <c r="B1" s="82" t="s">
        <v>546</v>
      </c>
      <c r="C1" s="82"/>
      <c r="D1" s="89"/>
      <c r="E1" s="89"/>
      <c r="F1" s="89"/>
    </row>
    <row r="2" spans="1:6">
      <c r="B2" s="82" t="s">
        <v>547</v>
      </c>
      <c r="C2" s="82"/>
      <c r="D2" s="89"/>
      <c r="E2" s="89"/>
      <c r="F2" s="89"/>
    </row>
    <row r="3" spans="1:6">
      <c r="B3" s="83"/>
      <c r="C3" s="83"/>
      <c r="D3" s="90"/>
      <c r="E3" s="90"/>
      <c r="F3" s="90"/>
    </row>
    <row r="4" spans="1:6" ht="39.6">
      <c r="B4" s="83" t="s">
        <v>548</v>
      </c>
      <c r="C4" s="83"/>
      <c r="D4" s="90"/>
      <c r="E4" s="90"/>
      <c r="F4" s="90"/>
    </row>
    <row r="5" spans="1:6">
      <c r="B5" s="83"/>
      <c r="C5" s="83"/>
      <c r="D5" s="90"/>
      <c r="E5" s="90"/>
      <c r="F5" s="90"/>
    </row>
    <row r="6" spans="1:6" ht="26.4">
      <c r="B6" s="82" t="s">
        <v>549</v>
      </c>
      <c r="C6" s="82"/>
      <c r="D6" s="89"/>
      <c r="E6" s="89" t="s">
        <v>550</v>
      </c>
      <c r="F6" s="89" t="s">
        <v>551</v>
      </c>
    </row>
    <row r="7" spans="1:6" ht="13.8" thickBot="1">
      <c r="B7" s="83"/>
      <c r="C7" s="83"/>
      <c r="D7" s="90"/>
      <c r="E7" s="90"/>
      <c r="F7" s="90"/>
    </row>
    <row r="8" spans="1:6" ht="39.6">
      <c r="B8" s="84" t="s">
        <v>552</v>
      </c>
      <c r="C8" s="85"/>
      <c r="D8" s="91"/>
      <c r="E8" s="91">
        <v>344</v>
      </c>
      <c r="F8" s="92"/>
    </row>
    <row r="9" spans="1:6">
      <c r="B9" s="86"/>
      <c r="C9" s="83"/>
      <c r="D9" s="90"/>
      <c r="E9" s="93" t="s">
        <v>553</v>
      </c>
      <c r="F9" s="94" t="s">
        <v>833</v>
      </c>
    </row>
    <row r="10" spans="1:6">
      <c r="B10" s="86"/>
      <c r="C10" s="83"/>
      <c r="D10" s="90"/>
      <c r="E10" s="93" t="s">
        <v>554</v>
      </c>
      <c r="F10" s="94"/>
    </row>
    <row r="11" spans="1:6">
      <c r="B11" s="86"/>
      <c r="C11" s="83"/>
      <c r="D11" s="90"/>
      <c r="E11" s="93" t="s">
        <v>555</v>
      </c>
      <c r="F11" s="94"/>
    </row>
    <row r="12" spans="1:6">
      <c r="B12" s="86"/>
      <c r="C12" s="83"/>
      <c r="D12" s="90"/>
      <c r="E12" s="93" t="s">
        <v>556</v>
      </c>
      <c r="F12" s="94"/>
    </row>
    <row r="13" spans="1:6">
      <c r="B13" s="86"/>
      <c r="C13" s="83"/>
      <c r="D13" s="90"/>
      <c r="E13" s="93" t="s">
        <v>557</v>
      </c>
      <c r="F13" s="94"/>
    </row>
    <row r="14" spans="1:6">
      <c r="B14" s="86"/>
      <c r="C14" s="83"/>
      <c r="D14" s="90"/>
      <c r="E14" s="93" t="s">
        <v>558</v>
      </c>
      <c r="F14" s="94"/>
    </row>
    <row r="15" spans="1:6">
      <c r="B15" s="86"/>
      <c r="C15" s="83"/>
      <c r="D15" s="90"/>
      <c r="E15" s="93" t="s">
        <v>559</v>
      </c>
      <c r="F15" s="94"/>
    </row>
    <row r="16" spans="1:6">
      <c r="B16" s="86"/>
      <c r="C16" s="83"/>
      <c r="D16" s="90"/>
      <c r="E16" s="93" t="s">
        <v>560</v>
      </c>
      <c r="F16" s="94"/>
    </row>
    <row r="17" spans="2:6">
      <c r="B17" s="86"/>
      <c r="C17" s="83"/>
      <c r="D17" s="90"/>
      <c r="E17" s="93" t="s">
        <v>561</v>
      </c>
      <c r="F17" s="94"/>
    </row>
    <row r="18" spans="2:6">
      <c r="B18" s="86"/>
      <c r="C18" s="83"/>
      <c r="D18" s="90"/>
      <c r="E18" s="93" t="s">
        <v>562</v>
      </c>
      <c r="F18" s="94"/>
    </row>
    <row r="19" spans="2:6">
      <c r="B19" s="86"/>
      <c r="C19" s="83"/>
      <c r="D19" s="90"/>
      <c r="E19" s="93" t="s">
        <v>563</v>
      </c>
      <c r="F19" s="94"/>
    </row>
    <row r="20" spans="2:6">
      <c r="B20" s="86"/>
      <c r="C20" s="83"/>
      <c r="D20" s="90"/>
      <c r="E20" s="93" t="s">
        <v>564</v>
      </c>
      <c r="F20" s="94"/>
    </row>
    <row r="21" spans="2:6">
      <c r="B21" s="86"/>
      <c r="C21" s="83"/>
      <c r="D21" s="90"/>
      <c r="E21" s="93" t="s">
        <v>565</v>
      </c>
      <c r="F21" s="94"/>
    </row>
    <row r="22" spans="2:6">
      <c r="B22" s="86"/>
      <c r="C22" s="83"/>
      <c r="D22" s="90"/>
      <c r="E22" s="93" t="s">
        <v>566</v>
      </c>
      <c r="F22" s="94"/>
    </row>
    <row r="23" spans="2:6">
      <c r="B23" s="86"/>
      <c r="C23" s="83"/>
      <c r="D23" s="90"/>
      <c r="E23" s="93" t="s">
        <v>567</v>
      </c>
      <c r="F23" s="94"/>
    </row>
    <row r="24" spans="2:6">
      <c r="B24" s="86"/>
      <c r="C24" s="83"/>
      <c r="D24" s="90"/>
      <c r="E24" s="93" t="s">
        <v>568</v>
      </c>
      <c r="F24" s="94"/>
    </row>
    <row r="25" spans="2:6">
      <c r="B25" s="86"/>
      <c r="C25" s="83"/>
      <c r="D25" s="90"/>
      <c r="E25" s="93" t="s">
        <v>569</v>
      </c>
      <c r="F25" s="94"/>
    </row>
    <row r="26" spans="2:6">
      <c r="B26" s="86"/>
      <c r="C26" s="83"/>
      <c r="D26" s="90"/>
      <c r="E26" s="93" t="s">
        <v>570</v>
      </c>
      <c r="F26" s="94"/>
    </row>
    <row r="27" spans="2:6">
      <c r="B27" s="86"/>
      <c r="C27" s="83"/>
      <c r="D27" s="90"/>
      <c r="E27" s="93" t="s">
        <v>571</v>
      </c>
      <c r="F27" s="94"/>
    </row>
    <row r="28" spans="2:6">
      <c r="B28" s="86"/>
      <c r="C28" s="83"/>
      <c r="D28" s="90"/>
      <c r="E28" s="93" t="s">
        <v>572</v>
      </c>
      <c r="F28" s="94"/>
    </row>
    <row r="29" spans="2:6">
      <c r="B29" s="86"/>
      <c r="C29" s="83"/>
      <c r="D29" s="90"/>
      <c r="E29" s="93" t="s">
        <v>573</v>
      </c>
      <c r="F29" s="94"/>
    </row>
    <row r="30" spans="2:6">
      <c r="B30" s="86"/>
      <c r="C30" s="83"/>
      <c r="D30" s="90"/>
      <c r="E30" s="93" t="s">
        <v>574</v>
      </c>
      <c r="F30" s="94"/>
    </row>
    <row r="31" spans="2:6">
      <c r="B31" s="86"/>
      <c r="C31" s="83"/>
      <c r="D31" s="90"/>
      <c r="E31" s="93" t="s">
        <v>575</v>
      </c>
      <c r="F31" s="94"/>
    </row>
    <row r="32" spans="2:6">
      <c r="B32" s="86"/>
      <c r="C32" s="83"/>
      <c r="D32" s="90"/>
      <c r="E32" s="93" t="s">
        <v>576</v>
      </c>
      <c r="F32" s="94"/>
    </row>
    <row r="33" spans="2:6">
      <c r="B33" s="86"/>
      <c r="C33" s="83"/>
      <c r="D33" s="90"/>
      <c r="E33" s="93" t="s">
        <v>577</v>
      </c>
      <c r="F33" s="94"/>
    </row>
    <row r="34" spans="2:6">
      <c r="B34" s="86"/>
      <c r="C34" s="83"/>
      <c r="D34" s="90"/>
      <c r="E34" s="93" t="s">
        <v>578</v>
      </c>
      <c r="F34" s="94"/>
    </row>
    <row r="35" spans="2:6">
      <c r="B35" s="86"/>
      <c r="C35" s="83"/>
      <c r="D35" s="90"/>
      <c r="E35" s="93" t="s">
        <v>579</v>
      </c>
      <c r="F35" s="94"/>
    </row>
    <row r="36" spans="2:6">
      <c r="B36" s="86"/>
      <c r="C36" s="83"/>
      <c r="D36" s="90"/>
      <c r="E36" s="93" t="s">
        <v>580</v>
      </c>
      <c r="F36" s="94"/>
    </row>
    <row r="37" spans="2:6">
      <c r="B37" s="86"/>
      <c r="C37" s="83"/>
      <c r="D37" s="90"/>
      <c r="E37" s="93" t="s">
        <v>581</v>
      </c>
      <c r="F37" s="94"/>
    </row>
    <row r="38" spans="2:6">
      <c r="B38" s="86"/>
      <c r="C38" s="83"/>
      <c r="D38" s="90"/>
      <c r="E38" s="93" t="s">
        <v>582</v>
      </c>
      <c r="F38" s="94"/>
    </row>
    <row r="39" spans="2:6">
      <c r="B39" s="86"/>
      <c r="C39" s="83"/>
      <c r="D39" s="90"/>
      <c r="E39" s="93" t="s">
        <v>583</v>
      </c>
      <c r="F39" s="94"/>
    </row>
    <row r="40" spans="2:6">
      <c r="B40" s="86"/>
      <c r="C40" s="83"/>
      <c r="D40" s="90"/>
      <c r="E40" s="93" t="s">
        <v>584</v>
      </c>
      <c r="F40" s="94"/>
    </row>
    <row r="41" spans="2:6">
      <c r="B41" s="86"/>
      <c r="C41" s="83"/>
      <c r="D41" s="90"/>
      <c r="E41" s="93" t="s">
        <v>585</v>
      </c>
      <c r="F41" s="94"/>
    </row>
    <row r="42" spans="2:6">
      <c r="B42" s="86"/>
      <c r="C42" s="83"/>
      <c r="D42" s="90"/>
      <c r="E42" s="93" t="s">
        <v>586</v>
      </c>
      <c r="F42" s="94"/>
    </row>
    <row r="43" spans="2:6">
      <c r="B43" s="86"/>
      <c r="C43" s="83"/>
      <c r="D43" s="90"/>
      <c r="E43" s="93" t="s">
        <v>587</v>
      </c>
      <c r="F43" s="94"/>
    </row>
    <row r="44" spans="2:6" ht="26.4">
      <c r="B44" s="86"/>
      <c r="C44" s="83"/>
      <c r="D44" s="90"/>
      <c r="E44" s="93" t="s">
        <v>588</v>
      </c>
      <c r="F44" s="94"/>
    </row>
    <row r="45" spans="2:6">
      <c r="B45" s="86"/>
      <c r="C45" s="83"/>
      <c r="D45" s="90"/>
      <c r="E45" s="93" t="s">
        <v>589</v>
      </c>
      <c r="F45" s="94"/>
    </row>
    <row r="46" spans="2:6">
      <c r="B46" s="86"/>
      <c r="C46" s="83"/>
      <c r="D46" s="90"/>
      <c r="E46" s="93" t="s">
        <v>590</v>
      </c>
      <c r="F46" s="94"/>
    </row>
    <row r="47" spans="2:6">
      <c r="B47" s="86"/>
      <c r="C47" s="83"/>
      <c r="D47" s="90"/>
      <c r="E47" s="93" t="s">
        <v>591</v>
      </c>
      <c r="F47" s="94"/>
    </row>
    <row r="48" spans="2:6">
      <c r="B48" s="86"/>
      <c r="C48" s="83"/>
      <c r="D48" s="90"/>
      <c r="E48" s="93" t="s">
        <v>592</v>
      </c>
      <c r="F48" s="94"/>
    </row>
    <row r="49" spans="2:6">
      <c r="B49" s="86"/>
      <c r="C49" s="83"/>
      <c r="D49" s="90"/>
      <c r="E49" s="93" t="s">
        <v>593</v>
      </c>
      <c r="F49" s="94"/>
    </row>
    <row r="50" spans="2:6">
      <c r="B50" s="86"/>
      <c r="C50" s="83"/>
      <c r="D50" s="90"/>
      <c r="E50" s="93" t="s">
        <v>594</v>
      </c>
      <c r="F50" s="94"/>
    </row>
    <row r="51" spans="2:6">
      <c r="B51" s="86"/>
      <c r="C51" s="83"/>
      <c r="D51" s="90"/>
      <c r="E51" s="93" t="s">
        <v>595</v>
      </c>
      <c r="F51" s="94"/>
    </row>
    <row r="52" spans="2:6">
      <c r="B52" s="86"/>
      <c r="C52" s="83"/>
      <c r="D52" s="90"/>
      <c r="E52" s="93" t="s">
        <v>596</v>
      </c>
      <c r="F52" s="94"/>
    </row>
    <row r="53" spans="2:6">
      <c r="B53" s="86"/>
      <c r="C53" s="83"/>
      <c r="D53" s="90"/>
      <c r="E53" s="93" t="s">
        <v>597</v>
      </c>
      <c r="F53" s="94"/>
    </row>
    <row r="54" spans="2:6">
      <c r="B54" s="86"/>
      <c r="C54" s="83"/>
      <c r="D54" s="90"/>
      <c r="E54" s="93" t="s">
        <v>598</v>
      </c>
      <c r="F54" s="94"/>
    </row>
    <row r="55" spans="2:6">
      <c r="B55" s="86"/>
      <c r="C55" s="83"/>
      <c r="D55" s="90"/>
      <c r="E55" s="93" t="s">
        <v>599</v>
      </c>
      <c r="F55" s="94"/>
    </row>
    <row r="56" spans="2:6">
      <c r="B56" s="86"/>
      <c r="C56" s="83"/>
      <c r="D56" s="90"/>
      <c r="E56" s="93" t="s">
        <v>600</v>
      </c>
      <c r="F56" s="94"/>
    </row>
    <row r="57" spans="2:6">
      <c r="B57" s="86"/>
      <c r="C57" s="83"/>
      <c r="D57" s="90"/>
      <c r="E57" s="93" t="s">
        <v>601</v>
      </c>
      <c r="F57" s="94"/>
    </row>
    <row r="58" spans="2:6">
      <c r="B58" s="86"/>
      <c r="C58" s="83"/>
      <c r="D58" s="90"/>
      <c r="E58" s="93" t="s">
        <v>602</v>
      </c>
      <c r="F58" s="94"/>
    </row>
    <row r="59" spans="2:6">
      <c r="B59" s="86"/>
      <c r="C59" s="83"/>
      <c r="D59" s="90"/>
      <c r="E59" s="93" t="s">
        <v>603</v>
      </c>
      <c r="F59" s="94"/>
    </row>
    <row r="60" spans="2:6">
      <c r="B60" s="86"/>
      <c r="C60" s="83"/>
      <c r="D60" s="90"/>
      <c r="E60" s="93" t="s">
        <v>604</v>
      </c>
      <c r="F60" s="94"/>
    </row>
    <row r="61" spans="2:6">
      <c r="B61" s="86"/>
      <c r="C61" s="83"/>
      <c r="D61" s="90"/>
      <c r="E61" s="93" t="s">
        <v>605</v>
      </c>
      <c r="F61" s="94"/>
    </row>
    <row r="62" spans="2:6">
      <c r="B62" s="86"/>
      <c r="C62" s="83"/>
      <c r="D62" s="90"/>
      <c r="E62" s="93" t="s">
        <v>606</v>
      </c>
      <c r="F62" s="94"/>
    </row>
    <row r="63" spans="2:6">
      <c r="B63" s="86"/>
      <c r="C63" s="83"/>
      <c r="D63" s="90"/>
      <c r="E63" s="93" t="s">
        <v>607</v>
      </c>
      <c r="F63" s="94"/>
    </row>
    <row r="64" spans="2:6">
      <c r="B64" s="86"/>
      <c r="C64" s="83"/>
      <c r="D64" s="90"/>
      <c r="E64" s="93" t="s">
        <v>608</v>
      </c>
      <c r="F64" s="94"/>
    </row>
    <row r="65" spans="2:6">
      <c r="B65" s="86"/>
      <c r="C65" s="83"/>
      <c r="D65" s="90"/>
      <c r="E65" s="93" t="s">
        <v>609</v>
      </c>
      <c r="F65" s="94"/>
    </row>
    <row r="66" spans="2:6">
      <c r="B66" s="86"/>
      <c r="C66" s="83"/>
      <c r="D66" s="90"/>
      <c r="E66" s="93" t="s">
        <v>610</v>
      </c>
      <c r="F66" s="94"/>
    </row>
    <row r="67" spans="2:6">
      <c r="B67" s="86"/>
      <c r="C67" s="83"/>
      <c r="D67" s="90"/>
      <c r="E67" s="93" t="s">
        <v>611</v>
      </c>
      <c r="F67" s="94"/>
    </row>
    <row r="68" spans="2:6">
      <c r="B68" s="86"/>
      <c r="C68" s="83"/>
      <c r="D68" s="90"/>
      <c r="E68" s="93" t="s">
        <v>612</v>
      </c>
      <c r="F68" s="94"/>
    </row>
    <row r="69" spans="2:6">
      <c r="B69" s="86"/>
      <c r="C69" s="83"/>
      <c r="D69" s="90"/>
      <c r="E69" s="93" t="s">
        <v>613</v>
      </c>
      <c r="F69" s="94"/>
    </row>
    <row r="70" spans="2:6">
      <c r="B70" s="86"/>
      <c r="C70" s="83"/>
      <c r="D70" s="90"/>
      <c r="E70" s="93" t="s">
        <v>614</v>
      </c>
      <c r="F70" s="94"/>
    </row>
    <row r="71" spans="2:6">
      <c r="B71" s="86"/>
      <c r="C71" s="83"/>
      <c r="D71" s="90"/>
      <c r="E71" s="93" t="s">
        <v>615</v>
      </c>
      <c r="F71" s="94"/>
    </row>
    <row r="72" spans="2:6">
      <c r="B72" s="86"/>
      <c r="C72" s="83"/>
      <c r="D72" s="90"/>
      <c r="E72" s="93" t="s">
        <v>616</v>
      </c>
      <c r="F72" s="94"/>
    </row>
    <row r="73" spans="2:6">
      <c r="B73" s="86"/>
      <c r="C73" s="83"/>
      <c r="D73" s="90"/>
      <c r="E73" s="93" t="s">
        <v>617</v>
      </c>
      <c r="F73" s="94"/>
    </row>
    <row r="74" spans="2:6">
      <c r="B74" s="86"/>
      <c r="C74" s="83"/>
      <c r="D74" s="90"/>
      <c r="E74" s="93" t="s">
        <v>618</v>
      </c>
      <c r="F74" s="94"/>
    </row>
    <row r="75" spans="2:6">
      <c r="B75" s="86"/>
      <c r="C75" s="83"/>
      <c r="D75" s="90"/>
      <c r="E75" s="93" t="s">
        <v>619</v>
      </c>
      <c r="F75" s="94"/>
    </row>
    <row r="76" spans="2:6">
      <c r="B76" s="86"/>
      <c r="C76" s="83"/>
      <c r="D76" s="90"/>
      <c r="E76" s="93" t="s">
        <v>620</v>
      </c>
      <c r="F76" s="94"/>
    </row>
    <row r="77" spans="2:6">
      <c r="B77" s="86"/>
      <c r="C77" s="83"/>
      <c r="D77" s="90"/>
      <c r="E77" s="93" t="s">
        <v>621</v>
      </c>
      <c r="F77" s="94"/>
    </row>
    <row r="78" spans="2:6">
      <c r="B78" s="86"/>
      <c r="C78" s="83"/>
      <c r="D78" s="90"/>
      <c r="E78" s="93" t="s">
        <v>622</v>
      </c>
      <c r="F78" s="94"/>
    </row>
    <row r="79" spans="2:6">
      <c r="B79" s="86"/>
      <c r="C79" s="83"/>
      <c r="D79" s="90"/>
      <c r="E79" s="93" t="s">
        <v>623</v>
      </c>
      <c r="F79" s="94"/>
    </row>
    <row r="80" spans="2:6">
      <c r="B80" s="86"/>
      <c r="C80" s="83"/>
      <c r="D80" s="90"/>
      <c r="E80" s="93" t="s">
        <v>624</v>
      </c>
      <c r="F80" s="94"/>
    </row>
    <row r="81" spans="2:6">
      <c r="B81" s="86"/>
      <c r="C81" s="83"/>
      <c r="D81" s="90"/>
      <c r="E81" s="93" t="s">
        <v>625</v>
      </c>
      <c r="F81" s="94"/>
    </row>
    <row r="82" spans="2:6">
      <c r="B82" s="86"/>
      <c r="C82" s="83"/>
      <c r="D82" s="90"/>
      <c r="E82" s="93" t="s">
        <v>626</v>
      </c>
      <c r="F82" s="94"/>
    </row>
    <row r="83" spans="2:6">
      <c r="B83" s="86"/>
      <c r="C83" s="83"/>
      <c r="D83" s="90"/>
      <c r="E83" s="93" t="s">
        <v>627</v>
      </c>
      <c r="F83" s="94"/>
    </row>
    <row r="84" spans="2:6">
      <c r="B84" s="86"/>
      <c r="C84" s="83"/>
      <c r="D84" s="90"/>
      <c r="E84" s="93" t="s">
        <v>628</v>
      </c>
      <c r="F84" s="94"/>
    </row>
    <row r="85" spans="2:6">
      <c r="B85" s="86"/>
      <c r="C85" s="83"/>
      <c r="D85" s="90"/>
      <c r="E85" s="93" t="s">
        <v>629</v>
      </c>
      <c r="F85" s="94"/>
    </row>
    <row r="86" spans="2:6">
      <c r="B86" s="86"/>
      <c r="C86" s="83"/>
      <c r="D86" s="90"/>
      <c r="E86" s="93" t="s">
        <v>630</v>
      </c>
      <c r="F86" s="94"/>
    </row>
    <row r="87" spans="2:6">
      <c r="B87" s="86"/>
      <c r="C87" s="83"/>
      <c r="D87" s="90"/>
      <c r="E87" s="93" t="s">
        <v>631</v>
      </c>
      <c r="F87" s="94"/>
    </row>
    <row r="88" spans="2:6">
      <c r="B88" s="86"/>
      <c r="C88" s="83"/>
      <c r="D88" s="90"/>
      <c r="E88" s="93" t="s">
        <v>632</v>
      </c>
      <c r="F88" s="94"/>
    </row>
    <row r="89" spans="2:6">
      <c r="B89" s="86"/>
      <c r="C89" s="83"/>
      <c r="D89" s="90"/>
      <c r="E89" s="93" t="s">
        <v>633</v>
      </c>
      <c r="F89" s="94"/>
    </row>
    <row r="90" spans="2:6">
      <c r="B90" s="86"/>
      <c r="C90" s="83"/>
      <c r="D90" s="90"/>
      <c r="E90" s="93" t="s">
        <v>634</v>
      </c>
      <c r="F90" s="94"/>
    </row>
    <row r="91" spans="2:6">
      <c r="B91" s="86"/>
      <c r="C91" s="83"/>
      <c r="D91" s="90"/>
      <c r="E91" s="93" t="s">
        <v>635</v>
      </c>
      <c r="F91" s="94"/>
    </row>
    <row r="92" spans="2:6">
      <c r="B92" s="86"/>
      <c r="C92" s="83"/>
      <c r="D92" s="90"/>
      <c r="E92" s="93" t="s">
        <v>636</v>
      </c>
      <c r="F92" s="94"/>
    </row>
    <row r="93" spans="2:6">
      <c r="B93" s="86"/>
      <c r="C93" s="83"/>
      <c r="D93" s="90"/>
      <c r="E93" s="93" t="s">
        <v>637</v>
      </c>
      <c r="F93" s="94"/>
    </row>
    <row r="94" spans="2:6">
      <c r="B94" s="86"/>
      <c r="C94" s="83"/>
      <c r="D94" s="90"/>
      <c r="E94" s="93" t="s">
        <v>638</v>
      </c>
      <c r="F94" s="94"/>
    </row>
    <row r="95" spans="2:6">
      <c r="B95" s="86"/>
      <c r="C95" s="83"/>
      <c r="D95" s="90"/>
      <c r="E95" s="93" t="s">
        <v>639</v>
      </c>
      <c r="F95" s="94"/>
    </row>
    <row r="96" spans="2:6">
      <c r="B96" s="86"/>
      <c r="C96" s="83"/>
      <c r="D96" s="90"/>
      <c r="E96" s="93" t="s">
        <v>640</v>
      </c>
      <c r="F96" s="94"/>
    </row>
    <row r="97" spans="2:6">
      <c r="B97" s="86"/>
      <c r="C97" s="83"/>
      <c r="D97" s="90"/>
      <c r="E97" s="93" t="s">
        <v>641</v>
      </c>
      <c r="F97" s="94"/>
    </row>
    <row r="98" spans="2:6">
      <c r="B98" s="86"/>
      <c r="C98" s="83"/>
      <c r="D98" s="90"/>
      <c r="E98" s="93" t="s">
        <v>642</v>
      </c>
      <c r="F98" s="94"/>
    </row>
    <row r="99" spans="2:6">
      <c r="B99" s="86"/>
      <c r="C99" s="83"/>
      <c r="D99" s="90"/>
      <c r="E99" s="93" t="s">
        <v>643</v>
      </c>
      <c r="F99" s="94"/>
    </row>
    <row r="100" spans="2:6">
      <c r="B100" s="86"/>
      <c r="C100" s="83"/>
      <c r="D100" s="90"/>
      <c r="E100" s="93" t="s">
        <v>644</v>
      </c>
      <c r="F100" s="94"/>
    </row>
    <row r="101" spans="2:6">
      <c r="B101" s="86"/>
      <c r="C101" s="83"/>
      <c r="D101" s="90"/>
      <c r="E101" s="93" t="s">
        <v>645</v>
      </c>
      <c r="F101" s="94"/>
    </row>
    <row r="102" spans="2:6">
      <c r="B102" s="86"/>
      <c r="C102" s="83"/>
      <c r="D102" s="90"/>
      <c r="E102" s="93" t="s">
        <v>646</v>
      </c>
      <c r="F102" s="94"/>
    </row>
    <row r="103" spans="2:6">
      <c r="B103" s="86"/>
      <c r="C103" s="83"/>
      <c r="D103" s="90"/>
      <c r="E103" s="93" t="s">
        <v>647</v>
      </c>
      <c r="F103" s="94"/>
    </row>
    <row r="104" spans="2:6">
      <c r="B104" s="86"/>
      <c r="C104" s="83"/>
      <c r="D104" s="90"/>
      <c r="E104" s="93" t="s">
        <v>648</v>
      </c>
      <c r="F104" s="94"/>
    </row>
    <row r="105" spans="2:6">
      <c r="B105" s="86"/>
      <c r="C105" s="83"/>
      <c r="D105" s="90"/>
      <c r="E105" s="93" t="s">
        <v>649</v>
      </c>
      <c r="F105" s="94"/>
    </row>
    <row r="106" spans="2:6">
      <c r="B106" s="86"/>
      <c r="C106" s="83"/>
      <c r="D106" s="90"/>
      <c r="E106" s="93" t="s">
        <v>650</v>
      </c>
      <c r="F106" s="94"/>
    </row>
    <row r="107" spans="2:6">
      <c r="B107" s="86"/>
      <c r="C107" s="83"/>
      <c r="D107" s="90"/>
      <c r="E107" s="93" t="s">
        <v>651</v>
      </c>
      <c r="F107" s="94"/>
    </row>
    <row r="108" spans="2:6">
      <c r="B108" s="86"/>
      <c r="C108" s="83"/>
      <c r="D108" s="90"/>
      <c r="E108" s="93" t="s">
        <v>652</v>
      </c>
      <c r="F108" s="94"/>
    </row>
    <row r="109" spans="2:6">
      <c r="B109" s="86"/>
      <c r="C109" s="83"/>
      <c r="D109" s="90"/>
      <c r="E109" s="93" t="s">
        <v>653</v>
      </c>
      <c r="F109" s="94"/>
    </row>
    <row r="110" spans="2:6">
      <c r="B110" s="86"/>
      <c r="C110" s="83"/>
      <c r="D110" s="90"/>
      <c r="E110" s="93" t="s">
        <v>654</v>
      </c>
      <c r="F110" s="94"/>
    </row>
    <row r="111" spans="2:6">
      <c r="B111" s="86"/>
      <c r="C111" s="83"/>
      <c r="D111" s="90"/>
      <c r="E111" s="93" t="s">
        <v>655</v>
      </c>
      <c r="F111" s="94"/>
    </row>
    <row r="112" spans="2:6">
      <c r="B112" s="86"/>
      <c r="C112" s="83"/>
      <c r="D112" s="90"/>
      <c r="E112" s="93" t="s">
        <v>656</v>
      </c>
      <c r="F112" s="94"/>
    </row>
    <row r="113" spans="2:6">
      <c r="B113" s="86"/>
      <c r="C113" s="83"/>
      <c r="D113" s="90"/>
      <c r="E113" s="93" t="s">
        <v>657</v>
      </c>
      <c r="F113" s="94"/>
    </row>
    <row r="114" spans="2:6">
      <c r="B114" s="86"/>
      <c r="C114" s="83"/>
      <c r="D114" s="90"/>
      <c r="E114" s="93" t="s">
        <v>658</v>
      </c>
      <c r="F114" s="94"/>
    </row>
    <row r="115" spans="2:6">
      <c r="B115" s="86"/>
      <c r="C115" s="83"/>
      <c r="D115" s="90"/>
      <c r="E115" s="93" t="s">
        <v>659</v>
      </c>
      <c r="F115" s="94"/>
    </row>
    <row r="116" spans="2:6">
      <c r="B116" s="86"/>
      <c r="C116" s="83"/>
      <c r="D116" s="90"/>
      <c r="E116" s="93" t="s">
        <v>660</v>
      </c>
      <c r="F116" s="94"/>
    </row>
    <row r="117" spans="2:6">
      <c r="B117" s="86"/>
      <c r="C117" s="83"/>
      <c r="D117" s="90"/>
      <c r="E117" s="93" t="s">
        <v>661</v>
      </c>
      <c r="F117" s="94"/>
    </row>
    <row r="118" spans="2:6">
      <c r="B118" s="86"/>
      <c r="C118" s="83"/>
      <c r="D118" s="90"/>
      <c r="E118" s="93" t="s">
        <v>662</v>
      </c>
      <c r="F118" s="94"/>
    </row>
    <row r="119" spans="2:6">
      <c r="B119" s="86"/>
      <c r="C119" s="83"/>
      <c r="D119" s="90"/>
      <c r="E119" s="93" t="s">
        <v>663</v>
      </c>
      <c r="F119" s="94"/>
    </row>
    <row r="120" spans="2:6">
      <c r="B120" s="86"/>
      <c r="C120" s="83"/>
      <c r="D120" s="90"/>
      <c r="E120" s="93" t="s">
        <v>664</v>
      </c>
      <c r="F120" s="94"/>
    </row>
    <row r="121" spans="2:6">
      <c r="B121" s="86"/>
      <c r="C121" s="83"/>
      <c r="D121" s="90"/>
      <c r="E121" s="93" t="s">
        <v>665</v>
      </c>
      <c r="F121" s="94"/>
    </row>
    <row r="122" spans="2:6">
      <c r="B122" s="86"/>
      <c r="C122" s="83"/>
      <c r="D122" s="90"/>
      <c r="E122" s="93" t="s">
        <v>666</v>
      </c>
      <c r="F122" s="94"/>
    </row>
    <row r="123" spans="2:6">
      <c r="B123" s="86"/>
      <c r="C123" s="83"/>
      <c r="D123" s="90"/>
      <c r="E123" s="93" t="s">
        <v>667</v>
      </c>
      <c r="F123" s="94"/>
    </row>
    <row r="124" spans="2:6">
      <c r="B124" s="86"/>
      <c r="C124" s="83"/>
      <c r="D124" s="90"/>
      <c r="E124" s="93" t="s">
        <v>668</v>
      </c>
      <c r="F124" s="94"/>
    </row>
    <row r="125" spans="2:6">
      <c r="B125" s="86"/>
      <c r="C125" s="83"/>
      <c r="D125" s="90"/>
      <c r="E125" s="93" t="s">
        <v>669</v>
      </c>
      <c r="F125" s="94"/>
    </row>
    <row r="126" spans="2:6">
      <c r="B126" s="86"/>
      <c r="C126" s="83"/>
      <c r="D126" s="90"/>
      <c r="E126" s="93" t="s">
        <v>670</v>
      </c>
      <c r="F126" s="94"/>
    </row>
    <row r="127" spans="2:6">
      <c r="B127" s="86"/>
      <c r="C127" s="83"/>
      <c r="D127" s="90"/>
      <c r="E127" s="93" t="s">
        <v>671</v>
      </c>
      <c r="F127" s="94"/>
    </row>
    <row r="128" spans="2:6">
      <c r="B128" s="86"/>
      <c r="C128" s="83"/>
      <c r="D128" s="90"/>
      <c r="E128" s="93" t="s">
        <v>672</v>
      </c>
      <c r="F128" s="94"/>
    </row>
    <row r="129" spans="2:6">
      <c r="B129" s="86"/>
      <c r="C129" s="83"/>
      <c r="D129" s="90"/>
      <c r="E129" s="93" t="s">
        <v>673</v>
      </c>
      <c r="F129" s="94"/>
    </row>
    <row r="130" spans="2:6">
      <c r="B130" s="86"/>
      <c r="C130" s="83"/>
      <c r="D130" s="90"/>
      <c r="E130" s="93" t="s">
        <v>674</v>
      </c>
      <c r="F130" s="94"/>
    </row>
    <row r="131" spans="2:6">
      <c r="B131" s="86"/>
      <c r="C131" s="83"/>
      <c r="D131" s="90"/>
      <c r="E131" s="93" t="s">
        <v>675</v>
      </c>
      <c r="F131" s="94"/>
    </row>
    <row r="132" spans="2:6">
      <c r="B132" s="86"/>
      <c r="C132" s="83"/>
      <c r="D132" s="90"/>
      <c r="E132" s="93" t="s">
        <v>676</v>
      </c>
      <c r="F132" s="94"/>
    </row>
    <row r="133" spans="2:6">
      <c r="B133" s="86"/>
      <c r="C133" s="83"/>
      <c r="D133" s="90"/>
      <c r="E133" s="93" t="s">
        <v>677</v>
      </c>
      <c r="F133" s="94"/>
    </row>
    <row r="134" spans="2:6">
      <c r="B134" s="86"/>
      <c r="C134" s="83"/>
      <c r="D134" s="90"/>
      <c r="E134" s="93" t="s">
        <v>678</v>
      </c>
      <c r="F134" s="94"/>
    </row>
    <row r="135" spans="2:6">
      <c r="B135" s="86"/>
      <c r="C135" s="83"/>
      <c r="D135" s="90"/>
      <c r="E135" s="93" t="s">
        <v>679</v>
      </c>
      <c r="F135" s="94"/>
    </row>
    <row r="136" spans="2:6">
      <c r="B136" s="86"/>
      <c r="C136" s="83"/>
      <c r="D136" s="90"/>
      <c r="E136" s="93" t="s">
        <v>680</v>
      </c>
      <c r="F136" s="94"/>
    </row>
    <row r="137" spans="2:6">
      <c r="B137" s="86"/>
      <c r="C137" s="83"/>
      <c r="D137" s="90"/>
      <c r="E137" s="93" t="s">
        <v>681</v>
      </c>
      <c r="F137" s="94"/>
    </row>
    <row r="138" spans="2:6">
      <c r="B138" s="86"/>
      <c r="C138" s="83"/>
      <c r="D138" s="90"/>
      <c r="E138" s="93" t="s">
        <v>682</v>
      </c>
      <c r="F138" s="94"/>
    </row>
    <row r="139" spans="2:6">
      <c r="B139" s="86"/>
      <c r="C139" s="83"/>
      <c r="D139" s="90"/>
      <c r="E139" s="93" t="s">
        <v>683</v>
      </c>
      <c r="F139" s="94"/>
    </row>
    <row r="140" spans="2:6">
      <c r="B140" s="86"/>
      <c r="C140" s="83"/>
      <c r="D140" s="90"/>
      <c r="E140" s="93" t="s">
        <v>684</v>
      </c>
      <c r="F140" s="94"/>
    </row>
    <row r="141" spans="2:6">
      <c r="B141" s="86"/>
      <c r="C141" s="83"/>
      <c r="D141" s="90"/>
      <c r="E141" s="93" t="s">
        <v>685</v>
      </c>
      <c r="F141" s="94"/>
    </row>
    <row r="142" spans="2:6">
      <c r="B142" s="86"/>
      <c r="C142" s="83"/>
      <c r="D142" s="90"/>
      <c r="E142" s="93" t="s">
        <v>686</v>
      </c>
      <c r="F142" s="94"/>
    </row>
    <row r="143" spans="2:6">
      <c r="B143" s="86"/>
      <c r="C143" s="83"/>
      <c r="D143" s="90"/>
      <c r="E143" s="93" t="s">
        <v>687</v>
      </c>
      <c r="F143" s="94"/>
    </row>
    <row r="144" spans="2:6">
      <c r="B144" s="86"/>
      <c r="C144" s="83"/>
      <c r="D144" s="90"/>
      <c r="E144" s="93" t="s">
        <v>688</v>
      </c>
      <c r="F144" s="94"/>
    </row>
    <row r="145" spans="2:6">
      <c r="B145" s="86"/>
      <c r="C145" s="83"/>
      <c r="D145" s="90"/>
      <c r="E145" s="93" t="s">
        <v>689</v>
      </c>
      <c r="F145" s="94"/>
    </row>
    <row r="146" spans="2:6">
      <c r="B146" s="86"/>
      <c r="C146" s="83"/>
      <c r="D146" s="90"/>
      <c r="E146" s="93" t="s">
        <v>690</v>
      </c>
      <c r="F146" s="94"/>
    </row>
    <row r="147" spans="2:6">
      <c r="B147" s="86"/>
      <c r="C147" s="83"/>
      <c r="D147" s="90"/>
      <c r="E147" s="93" t="s">
        <v>691</v>
      </c>
      <c r="F147" s="94"/>
    </row>
    <row r="148" spans="2:6">
      <c r="B148" s="86"/>
      <c r="C148" s="83"/>
      <c r="D148" s="90"/>
      <c r="E148" s="93" t="s">
        <v>692</v>
      </c>
      <c r="F148" s="94"/>
    </row>
    <row r="149" spans="2:6">
      <c r="B149" s="86"/>
      <c r="C149" s="83"/>
      <c r="D149" s="90"/>
      <c r="E149" s="93" t="s">
        <v>693</v>
      </c>
      <c r="F149" s="94"/>
    </row>
    <row r="150" spans="2:6">
      <c r="B150" s="86"/>
      <c r="C150" s="83"/>
      <c r="D150" s="90"/>
      <c r="E150" s="93" t="s">
        <v>694</v>
      </c>
      <c r="F150" s="94"/>
    </row>
    <row r="151" spans="2:6">
      <c r="B151" s="86"/>
      <c r="C151" s="83"/>
      <c r="D151" s="90"/>
      <c r="E151" s="93" t="s">
        <v>695</v>
      </c>
      <c r="F151" s="94"/>
    </row>
    <row r="152" spans="2:6">
      <c r="B152" s="86"/>
      <c r="C152" s="83"/>
      <c r="D152" s="90"/>
      <c r="E152" s="93" t="s">
        <v>696</v>
      </c>
      <c r="F152" s="94"/>
    </row>
    <row r="153" spans="2:6">
      <c r="B153" s="86"/>
      <c r="C153" s="83"/>
      <c r="D153" s="90"/>
      <c r="E153" s="93" t="s">
        <v>697</v>
      </c>
      <c r="F153" s="94"/>
    </row>
    <row r="154" spans="2:6">
      <c r="B154" s="86"/>
      <c r="C154" s="83"/>
      <c r="D154" s="90"/>
      <c r="E154" s="93" t="s">
        <v>698</v>
      </c>
      <c r="F154" s="94"/>
    </row>
    <row r="155" spans="2:6">
      <c r="B155" s="86"/>
      <c r="C155" s="83"/>
      <c r="D155" s="90"/>
      <c r="E155" s="93" t="s">
        <v>699</v>
      </c>
      <c r="F155" s="94"/>
    </row>
    <row r="156" spans="2:6">
      <c r="B156" s="86"/>
      <c r="C156" s="83"/>
      <c r="D156" s="90"/>
      <c r="E156" s="93" t="s">
        <v>700</v>
      </c>
      <c r="F156" s="94"/>
    </row>
    <row r="157" spans="2:6">
      <c r="B157" s="86"/>
      <c r="C157" s="83"/>
      <c r="D157" s="90"/>
      <c r="E157" s="93" t="s">
        <v>701</v>
      </c>
      <c r="F157" s="94"/>
    </row>
    <row r="158" spans="2:6">
      <c r="B158" s="86"/>
      <c r="C158" s="83"/>
      <c r="D158" s="90"/>
      <c r="E158" s="93" t="s">
        <v>702</v>
      </c>
      <c r="F158" s="94"/>
    </row>
    <row r="159" spans="2:6">
      <c r="B159" s="86"/>
      <c r="C159" s="83"/>
      <c r="D159" s="90"/>
      <c r="E159" s="93" t="s">
        <v>703</v>
      </c>
      <c r="F159" s="94"/>
    </row>
    <row r="160" spans="2:6">
      <c r="B160" s="86"/>
      <c r="C160" s="83"/>
      <c r="D160" s="90"/>
      <c r="E160" s="93" t="s">
        <v>704</v>
      </c>
      <c r="F160" s="94"/>
    </row>
    <row r="161" spans="2:6">
      <c r="B161" s="86"/>
      <c r="C161" s="83"/>
      <c r="D161" s="90"/>
      <c r="E161" s="93" t="s">
        <v>705</v>
      </c>
      <c r="F161" s="94"/>
    </row>
    <row r="162" spans="2:6">
      <c r="B162" s="86"/>
      <c r="C162" s="83"/>
      <c r="D162" s="90"/>
      <c r="E162" s="93" t="s">
        <v>706</v>
      </c>
      <c r="F162" s="94"/>
    </row>
    <row r="163" spans="2:6">
      <c r="B163" s="86"/>
      <c r="C163" s="83"/>
      <c r="D163" s="90"/>
      <c r="E163" s="93" t="s">
        <v>707</v>
      </c>
      <c r="F163" s="94"/>
    </row>
    <row r="164" spans="2:6">
      <c r="B164" s="86"/>
      <c r="C164" s="83"/>
      <c r="D164" s="90"/>
      <c r="E164" s="93" t="s">
        <v>708</v>
      </c>
      <c r="F164" s="94"/>
    </row>
    <row r="165" spans="2:6">
      <c r="B165" s="86"/>
      <c r="C165" s="83"/>
      <c r="D165" s="90"/>
      <c r="E165" s="93" t="s">
        <v>709</v>
      </c>
      <c r="F165" s="94"/>
    </row>
    <row r="166" spans="2:6">
      <c r="B166" s="86"/>
      <c r="C166" s="83"/>
      <c r="D166" s="90"/>
      <c r="E166" s="93" t="s">
        <v>710</v>
      </c>
      <c r="F166" s="94"/>
    </row>
    <row r="167" spans="2:6">
      <c r="B167" s="86"/>
      <c r="C167" s="83"/>
      <c r="D167" s="90"/>
      <c r="E167" s="93" t="s">
        <v>711</v>
      </c>
      <c r="F167" s="94"/>
    </row>
    <row r="168" spans="2:6">
      <c r="B168" s="86"/>
      <c r="C168" s="83"/>
      <c r="D168" s="90"/>
      <c r="E168" s="93" t="s">
        <v>712</v>
      </c>
      <c r="F168" s="94"/>
    </row>
    <row r="169" spans="2:6">
      <c r="B169" s="86"/>
      <c r="C169" s="83"/>
      <c r="D169" s="90"/>
      <c r="E169" s="93" t="s">
        <v>713</v>
      </c>
      <c r="F169" s="94"/>
    </row>
    <row r="170" spans="2:6">
      <c r="B170" s="86"/>
      <c r="C170" s="83"/>
      <c r="D170" s="90"/>
      <c r="E170" s="93" t="s">
        <v>714</v>
      </c>
      <c r="F170" s="94"/>
    </row>
    <row r="171" spans="2:6">
      <c r="B171" s="86"/>
      <c r="C171" s="83"/>
      <c r="D171" s="90"/>
      <c r="E171" s="93" t="s">
        <v>715</v>
      </c>
      <c r="F171" s="94"/>
    </row>
    <row r="172" spans="2:6">
      <c r="B172" s="86"/>
      <c r="C172" s="83"/>
      <c r="D172" s="90"/>
      <c r="E172" s="93" t="s">
        <v>716</v>
      </c>
      <c r="F172" s="94"/>
    </row>
    <row r="173" spans="2:6">
      <c r="B173" s="86"/>
      <c r="C173" s="83"/>
      <c r="D173" s="90"/>
      <c r="E173" s="93" t="s">
        <v>717</v>
      </c>
      <c r="F173" s="94"/>
    </row>
    <row r="174" spans="2:6">
      <c r="B174" s="86"/>
      <c r="C174" s="83"/>
      <c r="D174" s="90"/>
      <c r="E174" s="93" t="s">
        <v>718</v>
      </c>
      <c r="F174" s="94"/>
    </row>
    <row r="175" spans="2:6">
      <c r="B175" s="86"/>
      <c r="C175" s="83"/>
      <c r="D175" s="90"/>
      <c r="E175" s="93" t="s">
        <v>719</v>
      </c>
      <c r="F175" s="94"/>
    </row>
    <row r="176" spans="2:6">
      <c r="B176" s="86"/>
      <c r="C176" s="83"/>
      <c r="D176" s="90"/>
      <c r="E176" s="93" t="s">
        <v>720</v>
      </c>
      <c r="F176" s="94"/>
    </row>
    <row r="177" spans="2:6">
      <c r="B177" s="86"/>
      <c r="C177" s="83"/>
      <c r="D177" s="90"/>
      <c r="E177" s="93" t="s">
        <v>721</v>
      </c>
      <c r="F177" s="94"/>
    </row>
    <row r="178" spans="2:6">
      <c r="B178" s="86"/>
      <c r="C178" s="83"/>
      <c r="D178" s="90"/>
      <c r="E178" s="93" t="s">
        <v>722</v>
      </c>
      <c r="F178" s="94"/>
    </row>
    <row r="179" spans="2:6">
      <c r="B179" s="86"/>
      <c r="C179" s="83"/>
      <c r="D179" s="90"/>
      <c r="E179" s="93" t="s">
        <v>723</v>
      </c>
      <c r="F179" s="94"/>
    </row>
    <row r="180" spans="2:6">
      <c r="B180" s="86"/>
      <c r="C180" s="83"/>
      <c r="D180" s="90"/>
      <c r="E180" s="93" t="s">
        <v>724</v>
      </c>
      <c r="F180" s="94"/>
    </row>
    <row r="181" spans="2:6">
      <c r="B181" s="86"/>
      <c r="C181" s="83"/>
      <c r="D181" s="90"/>
      <c r="E181" s="93" t="s">
        <v>725</v>
      </c>
      <c r="F181" s="94"/>
    </row>
    <row r="182" spans="2:6">
      <c r="B182" s="86"/>
      <c r="C182" s="83"/>
      <c r="D182" s="90"/>
      <c r="E182" s="93" t="s">
        <v>726</v>
      </c>
      <c r="F182" s="94"/>
    </row>
    <row r="183" spans="2:6">
      <c r="B183" s="86"/>
      <c r="C183" s="83"/>
      <c r="D183" s="90"/>
      <c r="E183" s="93" t="s">
        <v>727</v>
      </c>
      <c r="F183" s="94"/>
    </row>
    <row r="184" spans="2:6">
      <c r="B184" s="86"/>
      <c r="C184" s="83"/>
      <c r="D184" s="90"/>
      <c r="E184" s="93" t="s">
        <v>728</v>
      </c>
      <c r="F184" s="94"/>
    </row>
    <row r="185" spans="2:6">
      <c r="B185" s="86"/>
      <c r="C185" s="83"/>
      <c r="D185" s="90"/>
      <c r="E185" s="93" t="s">
        <v>729</v>
      </c>
      <c r="F185" s="94"/>
    </row>
    <row r="186" spans="2:6">
      <c r="B186" s="86"/>
      <c r="C186" s="83"/>
      <c r="D186" s="90"/>
      <c r="E186" s="93" t="s">
        <v>730</v>
      </c>
      <c r="F186" s="94"/>
    </row>
    <row r="187" spans="2:6">
      <c r="B187" s="86"/>
      <c r="C187" s="83"/>
      <c r="D187" s="90"/>
      <c r="E187" s="93" t="s">
        <v>731</v>
      </c>
      <c r="F187" s="94"/>
    </row>
    <row r="188" spans="2:6">
      <c r="B188" s="86"/>
      <c r="C188" s="83"/>
      <c r="D188" s="90"/>
      <c r="E188" s="93" t="s">
        <v>732</v>
      </c>
      <c r="F188" s="94"/>
    </row>
    <row r="189" spans="2:6">
      <c r="B189" s="86"/>
      <c r="C189" s="83"/>
      <c r="D189" s="90"/>
      <c r="E189" s="93" t="s">
        <v>733</v>
      </c>
      <c r="F189" s="94"/>
    </row>
    <row r="190" spans="2:6">
      <c r="B190" s="86"/>
      <c r="C190" s="83"/>
      <c r="D190" s="90"/>
      <c r="E190" s="93" t="s">
        <v>734</v>
      </c>
      <c r="F190" s="94"/>
    </row>
    <row r="191" spans="2:6">
      <c r="B191" s="86"/>
      <c r="C191" s="83"/>
      <c r="D191" s="90"/>
      <c r="E191" s="93" t="s">
        <v>735</v>
      </c>
      <c r="F191" s="94"/>
    </row>
    <row r="192" spans="2:6">
      <c r="B192" s="86"/>
      <c r="C192" s="83"/>
      <c r="D192" s="90"/>
      <c r="E192" s="93" t="s">
        <v>736</v>
      </c>
      <c r="F192" s="94"/>
    </row>
    <row r="193" spans="2:6">
      <c r="B193" s="86"/>
      <c r="C193" s="83"/>
      <c r="D193" s="90"/>
      <c r="E193" s="93" t="s">
        <v>737</v>
      </c>
      <c r="F193" s="94"/>
    </row>
    <row r="194" spans="2:6">
      <c r="B194" s="86"/>
      <c r="C194" s="83"/>
      <c r="D194" s="90"/>
      <c r="E194" s="93" t="s">
        <v>738</v>
      </c>
      <c r="F194" s="94"/>
    </row>
    <row r="195" spans="2:6">
      <c r="B195" s="86"/>
      <c r="C195" s="83"/>
      <c r="D195" s="90"/>
      <c r="E195" s="93" t="s">
        <v>739</v>
      </c>
      <c r="F195" s="94"/>
    </row>
    <row r="196" spans="2:6">
      <c r="B196" s="86"/>
      <c r="C196" s="83"/>
      <c r="D196" s="90"/>
      <c r="E196" s="93" t="s">
        <v>740</v>
      </c>
      <c r="F196" s="94"/>
    </row>
    <row r="197" spans="2:6">
      <c r="B197" s="86"/>
      <c r="C197" s="83"/>
      <c r="D197" s="90"/>
      <c r="E197" s="93" t="s">
        <v>741</v>
      </c>
      <c r="F197" s="94"/>
    </row>
    <row r="198" spans="2:6">
      <c r="B198" s="86"/>
      <c r="C198" s="83"/>
      <c r="D198" s="90"/>
      <c r="E198" s="93" t="s">
        <v>742</v>
      </c>
      <c r="F198" s="94"/>
    </row>
    <row r="199" spans="2:6">
      <c r="B199" s="86"/>
      <c r="C199" s="83"/>
      <c r="D199" s="90"/>
      <c r="E199" s="93" t="s">
        <v>743</v>
      </c>
      <c r="F199" s="94"/>
    </row>
    <row r="200" spans="2:6">
      <c r="B200" s="86"/>
      <c r="C200" s="83"/>
      <c r="D200" s="90"/>
      <c r="E200" s="93" t="s">
        <v>744</v>
      </c>
      <c r="F200" s="94"/>
    </row>
    <row r="201" spans="2:6">
      <c r="B201" s="86"/>
      <c r="C201" s="83"/>
      <c r="D201" s="90"/>
      <c r="E201" s="93" t="s">
        <v>745</v>
      </c>
      <c r="F201" s="94"/>
    </row>
    <row r="202" spans="2:6">
      <c r="B202" s="86"/>
      <c r="C202" s="83"/>
      <c r="D202" s="90"/>
      <c r="E202" s="93" t="s">
        <v>746</v>
      </c>
      <c r="F202" s="94"/>
    </row>
    <row r="203" spans="2:6">
      <c r="B203" s="86"/>
      <c r="C203" s="83"/>
      <c r="D203" s="90"/>
      <c r="E203" s="93" t="s">
        <v>747</v>
      </c>
      <c r="F203" s="94"/>
    </row>
    <row r="204" spans="2:6">
      <c r="B204" s="86"/>
      <c r="C204" s="83"/>
      <c r="D204" s="90"/>
      <c r="E204" s="93" t="s">
        <v>748</v>
      </c>
      <c r="F204" s="94"/>
    </row>
    <row r="205" spans="2:6">
      <c r="B205" s="86"/>
      <c r="C205" s="83"/>
      <c r="D205" s="90"/>
      <c r="E205" s="93" t="s">
        <v>749</v>
      </c>
      <c r="F205" s="94"/>
    </row>
    <row r="206" spans="2:6">
      <c r="B206" s="86"/>
      <c r="C206" s="83"/>
      <c r="D206" s="90"/>
      <c r="E206" s="93" t="s">
        <v>750</v>
      </c>
      <c r="F206" s="94"/>
    </row>
    <row r="207" spans="2:6">
      <c r="B207" s="86"/>
      <c r="C207" s="83"/>
      <c r="D207" s="90"/>
      <c r="E207" s="93" t="s">
        <v>751</v>
      </c>
      <c r="F207" s="94"/>
    </row>
    <row r="208" spans="2:6">
      <c r="B208" s="86"/>
      <c r="C208" s="83"/>
      <c r="D208" s="90"/>
      <c r="E208" s="93" t="s">
        <v>752</v>
      </c>
      <c r="F208" s="94"/>
    </row>
    <row r="209" spans="2:6">
      <c r="B209" s="86"/>
      <c r="C209" s="83"/>
      <c r="D209" s="90"/>
      <c r="E209" s="93" t="s">
        <v>753</v>
      </c>
      <c r="F209" s="94"/>
    </row>
    <row r="210" spans="2:6">
      <c r="B210" s="86"/>
      <c r="C210" s="83"/>
      <c r="D210" s="90"/>
      <c r="E210" s="93" t="s">
        <v>754</v>
      </c>
      <c r="F210" s="94"/>
    </row>
    <row r="211" spans="2:6">
      <c r="B211" s="86"/>
      <c r="C211" s="83"/>
      <c r="D211" s="90"/>
      <c r="E211" s="93" t="s">
        <v>755</v>
      </c>
      <c r="F211" s="94"/>
    </row>
    <row r="212" spans="2:6">
      <c r="B212" s="86"/>
      <c r="C212" s="83"/>
      <c r="D212" s="90"/>
      <c r="E212" s="93" t="s">
        <v>756</v>
      </c>
      <c r="F212" s="94"/>
    </row>
    <row r="213" spans="2:6">
      <c r="B213" s="86"/>
      <c r="C213" s="83"/>
      <c r="D213" s="90"/>
      <c r="E213" s="93" t="s">
        <v>757</v>
      </c>
      <c r="F213" s="94"/>
    </row>
    <row r="214" spans="2:6">
      <c r="B214" s="86"/>
      <c r="C214" s="83"/>
      <c r="D214" s="90"/>
      <c r="E214" s="93" t="s">
        <v>758</v>
      </c>
      <c r="F214" s="94"/>
    </row>
    <row r="215" spans="2:6">
      <c r="B215" s="86"/>
      <c r="C215" s="83"/>
      <c r="D215" s="90"/>
      <c r="E215" s="93" t="s">
        <v>759</v>
      </c>
      <c r="F215" s="94"/>
    </row>
    <row r="216" spans="2:6">
      <c r="B216" s="86"/>
      <c r="C216" s="83"/>
      <c r="D216" s="90"/>
      <c r="E216" s="93" t="s">
        <v>760</v>
      </c>
      <c r="F216" s="94"/>
    </row>
    <row r="217" spans="2:6">
      <c r="B217" s="86"/>
      <c r="C217" s="83"/>
      <c r="D217" s="90"/>
      <c r="E217" s="93" t="s">
        <v>761</v>
      </c>
      <c r="F217" s="94"/>
    </row>
    <row r="218" spans="2:6">
      <c r="B218" s="86"/>
      <c r="C218" s="83"/>
      <c r="D218" s="90"/>
      <c r="E218" s="93" t="s">
        <v>762</v>
      </c>
      <c r="F218" s="94"/>
    </row>
    <row r="219" spans="2:6">
      <c r="B219" s="86"/>
      <c r="C219" s="83"/>
      <c r="D219" s="90"/>
      <c r="E219" s="93" t="s">
        <v>763</v>
      </c>
      <c r="F219" s="94"/>
    </row>
    <row r="220" spans="2:6" ht="26.4">
      <c r="B220" s="86"/>
      <c r="C220" s="83"/>
      <c r="D220" s="90"/>
      <c r="E220" s="93" t="s">
        <v>764</v>
      </c>
      <c r="F220" s="94"/>
    </row>
    <row r="221" spans="2:6">
      <c r="B221" s="86"/>
      <c r="C221" s="83"/>
      <c r="D221" s="90"/>
      <c r="E221" s="93" t="s">
        <v>765</v>
      </c>
      <c r="F221" s="94"/>
    </row>
    <row r="222" spans="2:6">
      <c r="B222" s="86"/>
      <c r="C222" s="83"/>
      <c r="D222" s="90"/>
      <c r="E222" s="93" t="s">
        <v>766</v>
      </c>
      <c r="F222" s="94"/>
    </row>
    <row r="223" spans="2:6">
      <c r="B223" s="86"/>
      <c r="C223" s="83"/>
      <c r="D223" s="90"/>
      <c r="E223" s="93" t="s">
        <v>767</v>
      </c>
      <c r="F223" s="94"/>
    </row>
    <row r="224" spans="2:6">
      <c r="B224" s="86"/>
      <c r="C224" s="83"/>
      <c r="D224" s="90"/>
      <c r="E224" s="93" t="s">
        <v>768</v>
      </c>
      <c r="F224" s="94"/>
    </row>
    <row r="225" spans="2:6">
      <c r="B225" s="86"/>
      <c r="C225" s="83"/>
      <c r="D225" s="90"/>
      <c r="E225" s="93" t="s">
        <v>769</v>
      </c>
      <c r="F225" s="94"/>
    </row>
    <row r="226" spans="2:6">
      <c r="B226" s="86"/>
      <c r="C226" s="83"/>
      <c r="D226" s="90"/>
      <c r="E226" s="93" t="s">
        <v>770</v>
      </c>
      <c r="F226" s="94"/>
    </row>
    <row r="227" spans="2:6">
      <c r="B227" s="86"/>
      <c r="C227" s="83"/>
      <c r="D227" s="90"/>
      <c r="E227" s="93" t="s">
        <v>771</v>
      </c>
      <c r="F227" s="94"/>
    </row>
    <row r="228" spans="2:6">
      <c r="B228" s="86"/>
      <c r="C228" s="83"/>
      <c r="D228" s="90"/>
      <c r="E228" s="93" t="s">
        <v>772</v>
      </c>
      <c r="F228" s="94"/>
    </row>
    <row r="229" spans="2:6">
      <c r="B229" s="86"/>
      <c r="C229" s="83"/>
      <c r="D229" s="90"/>
      <c r="E229" s="93" t="s">
        <v>773</v>
      </c>
      <c r="F229" s="94"/>
    </row>
    <row r="230" spans="2:6">
      <c r="B230" s="86"/>
      <c r="C230" s="83"/>
      <c r="D230" s="90"/>
      <c r="E230" s="93" t="s">
        <v>774</v>
      </c>
      <c r="F230" s="94"/>
    </row>
    <row r="231" spans="2:6">
      <c r="B231" s="86"/>
      <c r="C231" s="83"/>
      <c r="D231" s="90"/>
      <c r="E231" s="93" t="s">
        <v>775</v>
      </c>
      <c r="F231" s="94"/>
    </row>
    <row r="232" spans="2:6" ht="26.4">
      <c r="B232" s="86"/>
      <c r="C232" s="83"/>
      <c r="D232" s="90"/>
      <c r="E232" s="93" t="s">
        <v>776</v>
      </c>
      <c r="F232" s="94"/>
    </row>
    <row r="233" spans="2:6" ht="26.4">
      <c r="B233" s="86"/>
      <c r="C233" s="83"/>
      <c r="D233" s="90"/>
      <c r="E233" s="93" t="s">
        <v>777</v>
      </c>
      <c r="F233" s="94"/>
    </row>
    <row r="234" spans="2:6" ht="26.4">
      <c r="B234" s="86"/>
      <c r="C234" s="83"/>
      <c r="D234" s="90"/>
      <c r="E234" s="93" t="s">
        <v>778</v>
      </c>
      <c r="F234" s="94"/>
    </row>
    <row r="235" spans="2:6" ht="26.4">
      <c r="B235" s="86"/>
      <c r="C235" s="83"/>
      <c r="D235" s="90"/>
      <c r="E235" s="93" t="s">
        <v>779</v>
      </c>
      <c r="F235" s="94"/>
    </row>
    <row r="236" spans="2:6" ht="26.4">
      <c r="B236" s="86"/>
      <c r="C236" s="83"/>
      <c r="D236" s="90"/>
      <c r="E236" s="93" t="s">
        <v>780</v>
      </c>
      <c r="F236" s="94"/>
    </row>
    <row r="237" spans="2:6">
      <c r="B237" s="86"/>
      <c r="C237" s="83"/>
      <c r="D237" s="90"/>
      <c r="E237" s="93" t="s">
        <v>781</v>
      </c>
      <c r="F237" s="94"/>
    </row>
    <row r="238" spans="2:6">
      <c r="B238" s="86"/>
      <c r="C238" s="83"/>
      <c r="D238" s="90"/>
      <c r="E238" s="93" t="s">
        <v>782</v>
      </c>
      <c r="F238" s="94"/>
    </row>
    <row r="239" spans="2:6">
      <c r="B239" s="86"/>
      <c r="C239" s="83"/>
      <c r="D239" s="90"/>
      <c r="E239" s="93" t="s">
        <v>783</v>
      </c>
      <c r="F239" s="94"/>
    </row>
    <row r="240" spans="2:6">
      <c r="B240" s="86"/>
      <c r="C240" s="83"/>
      <c r="D240" s="90"/>
      <c r="E240" s="93" t="s">
        <v>784</v>
      </c>
      <c r="F240" s="94"/>
    </row>
    <row r="241" spans="2:6">
      <c r="B241" s="86"/>
      <c r="C241" s="83"/>
      <c r="D241" s="90"/>
      <c r="E241" s="93" t="s">
        <v>785</v>
      </c>
      <c r="F241" s="94"/>
    </row>
    <row r="242" spans="2:6">
      <c r="B242" s="86"/>
      <c r="C242" s="83"/>
      <c r="D242" s="90"/>
      <c r="E242" s="93" t="s">
        <v>786</v>
      </c>
      <c r="F242" s="94"/>
    </row>
    <row r="243" spans="2:6">
      <c r="B243" s="86"/>
      <c r="C243" s="83"/>
      <c r="D243" s="90"/>
      <c r="E243" s="93" t="s">
        <v>787</v>
      </c>
      <c r="F243" s="94"/>
    </row>
    <row r="244" spans="2:6">
      <c r="B244" s="86"/>
      <c r="C244" s="83"/>
      <c r="D244" s="90"/>
      <c r="E244" s="93" t="s">
        <v>788</v>
      </c>
      <c r="F244" s="94"/>
    </row>
    <row r="245" spans="2:6" ht="26.4">
      <c r="B245" s="86"/>
      <c r="C245" s="83"/>
      <c r="D245" s="90"/>
      <c r="E245" s="93" t="s">
        <v>789</v>
      </c>
      <c r="F245" s="94"/>
    </row>
    <row r="246" spans="2:6">
      <c r="B246" s="86"/>
      <c r="C246" s="83"/>
      <c r="D246" s="90"/>
      <c r="E246" s="93" t="s">
        <v>790</v>
      </c>
      <c r="F246" s="94"/>
    </row>
    <row r="247" spans="2:6" ht="26.4">
      <c r="B247" s="86"/>
      <c r="C247" s="83"/>
      <c r="D247" s="90"/>
      <c r="E247" s="93" t="s">
        <v>791</v>
      </c>
      <c r="F247" s="94"/>
    </row>
    <row r="248" spans="2:6">
      <c r="B248" s="86"/>
      <c r="C248" s="83"/>
      <c r="D248" s="90"/>
      <c r="E248" s="93" t="s">
        <v>792</v>
      </c>
      <c r="F248" s="94"/>
    </row>
    <row r="249" spans="2:6" ht="26.4">
      <c r="B249" s="86"/>
      <c r="C249" s="83"/>
      <c r="D249" s="90"/>
      <c r="E249" s="93" t="s">
        <v>793</v>
      </c>
      <c r="F249" s="94"/>
    </row>
    <row r="250" spans="2:6">
      <c r="B250" s="86"/>
      <c r="C250" s="83"/>
      <c r="D250" s="90"/>
      <c r="E250" s="93" t="s">
        <v>794</v>
      </c>
      <c r="F250" s="94"/>
    </row>
    <row r="251" spans="2:6" ht="26.4">
      <c r="B251" s="86"/>
      <c r="C251" s="83"/>
      <c r="D251" s="90"/>
      <c r="E251" s="93" t="s">
        <v>795</v>
      </c>
      <c r="F251" s="94"/>
    </row>
    <row r="252" spans="2:6" ht="26.4">
      <c r="B252" s="86"/>
      <c r="C252" s="83"/>
      <c r="D252" s="90"/>
      <c r="E252" s="93" t="s">
        <v>796</v>
      </c>
      <c r="F252" s="94"/>
    </row>
    <row r="253" spans="2:6" ht="26.4">
      <c r="B253" s="86"/>
      <c r="C253" s="83"/>
      <c r="D253" s="90"/>
      <c r="E253" s="93" t="s">
        <v>797</v>
      </c>
      <c r="F253" s="94"/>
    </row>
    <row r="254" spans="2:6" ht="26.4">
      <c r="B254" s="86"/>
      <c r="C254" s="83"/>
      <c r="D254" s="90"/>
      <c r="E254" s="93" t="s">
        <v>798</v>
      </c>
      <c r="F254" s="94"/>
    </row>
    <row r="255" spans="2:6" ht="26.4">
      <c r="B255" s="86"/>
      <c r="C255" s="83"/>
      <c r="D255" s="90"/>
      <c r="E255" s="93" t="s">
        <v>799</v>
      </c>
      <c r="F255" s="94"/>
    </row>
    <row r="256" spans="2:6" ht="26.4">
      <c r="B256" s="86"/>
      <c r="C256" s="83"/>
      <c r="D256" s="90"/>
      <c r="E256" s="93" t="s">
        <v>800</v>
      </c>
      <c r="F256" s="94"/>
    </row>
    <row r="257" spans="2:6">
      <c r="B257" s="86"/>
      <c r="C257" s="83"/>
      <c r="D257" s="90"/>
      <c r="E257" s="93" t="s">
        <v>801</v>
      </c>
      <c r="F257" s="94"/>
    </row>
    <row r="258" spans="2:6" ht="26.4">
      <c r="B258" s="86"/>
      <c r="C258" s="83"/>
      <c r="D258" s="90"/>
      <c r="E258" s="93" t="s">
        <v>802</v>
      </c>
      <c r="F258" s="94"/>
    </row>
    <row r="259" spans="2:6" ht="26.4">
      <c r="B259" s="86"/>
      <c r="C259" s="83"/>
      <c r="D259" s="90"/>
      <c r="E259" s="93" t="s">
        <v>803</v>
      </c>
      <c r="F259" s="94"/>
    </row>
    <row r="260" spans="2:6" ht="26.4">
      <c r="B260" s="86"/>
      <c r="C260" s="83"/>
      <c r="D260" s="90"/>
      <c r="E260" s="93" t="s">
        <v>804</v>
      </c>
      <c r="F260" s="94"/>
    </row>
    <row r="261" spans="2:6">
      <c r="B261" s="86"/>
      <c r="C261" s="83"/>
      <c r="D261" s="90"/>
      <c r="E261" s="93" t="s">
        <v>805</v>
      </c>
      <c r="F261" s="94"/>
    </row>
    <row r="262" spans="2:6" ht="26.4">
      <c r="B262" s="86"/>
      <c r="C262" s="83"/>
      <c r="D262" s="90"/>
      <c r="E262" s="93" t="s">
        <v>806</v>
      </c>
      <c r="F262" s="94"/>
    </row>
    <row r="263" spans="2:6" ht="26.4">
      <c r="B263" s="86"/>
      <c r="C263" s="83"/>
      <c r="D263" s="90"/>
      <c r="E263" s="93" t="s">
        <v>807</v>
      </c>
      <c r="F263" s="94"/>
    </row>
    <row r="264" spans="2:6">
      <c r="B264" s="86"/>
      <c r="C264" s="83"/>
      <c r="D264" s="90"/>
      <c r="E264" s="93" t="s">
        <v>808</v>
      </c>
      <c r="F264" s="94"/>
    </row>
    <row r="265" spans="2:6">
      <c r="B265" s="86"/>
      <c r="C265" s="83"/>
      <c r="D265" s="90"/>
      <c r="E265" s="93" t="s">
        <v>809</v>
      </c>
      <c r="F265" s="94"/>
    </row>
    <row r="266" spans="2:6">
      <c r="B266" s="86"/>
      <c r="C266" s="83"/>
      <c r="D266" s="90"/>
      <c r="E266" s="93" t="s">
        <v>810</v>
      </c>
      <c r="F266" s="94"/>
    </row>
    <row r="267" spans="2:6" ht="26.4">
      <c r="B267" s="86"/>
      <c r="C267" s="83"/>
      <c r="D267" s="90"/>
      <c r="E267" s="93" t="s">
        <v>811</v>
      </c>
      <c r="F267" s="94"/>
    </row>
    <row r="268" spans="2:6" ht="26.4">
      <c r="B268" s="86"/>
      <c r="C268" s="83"/>
      <c r="D268" s="90"/>
      <c r="E268" s="93" t="s">
        <v>812</v>
      </c>
      <c r="F268" s="94"/>
    </row>
    <row r="269" spans="2:6" ht="26.4">
      <c r="B269" s="86"/>
      <c r="C269" s="83"/>
      <c r="D269" s="90"/>
      <c r="E269" s="93" t="s">
        <v>813</v>
      </c>
      <c r="F269" s="94"/>
    </row>
    <row r="270" spans="2:6" ht="26.4">
      <c r="B270" s="86"/>
      <c r="C270" s="83"/>
      <c r="D270" s="90"/>
      <c r="E270" s="93" t="s">
        <v>814</v>
      </c>
      <c r="F270" s="94"/>
    </row>
    <row r="271" spans="2:6" ht="26.4">
      <c r="B271" s="86"/>
      <c r="C271" s="83"/>
      <c r="D271" s="90"/>
      <c r="E271" s="93" t="s">
        <v>815</v>
      </c>
      <c r="F271" s="94"/>
    </row>
    <row r="272" spans="2:6">
      <c r="B272" s="86"/>
      <c r="C272" s="83"/>
      <c r="D272" s="90"/>
      <c r="E272" s="93" t="s">
        <v>816</v>
      </c>
      <c r="F272" s="94"/>
    </row>
    <row r="273" spans="2:6">
      <c r="B273" s="86"/>
      <c r="C273" s="83"/>
      <c r="D273" s="90"/>
      <c r="E273" s="93" t="s">
        <v>817</v>
      </c>
      <c r="F273" s="94"/>
    </row>
    <row r="274" spans="2:6">
      <c r="B274" s="86"/>
      <c r="C274" s="83"/>
      <c r="D274" s="90"/>
      <c r="E274" s="93" t="s">
        <v>818</v>
      </c>
      <c r="F274" s="94"/>
    </row>
    <row r="275" spans="2:6">
      <c r="B275" s="86"/>
      <c r="C275" s="83"/>
      <c r="D275" s="90"/>
      <c r="E275" s="93" t="s">
        <v>819</v>
      </c>
      <c r="F275" s="94"/>
    </row>
    <row r="276" spans="2:6">
      <c r="B276" s="86"/>
      <c r="C276" s="83"/>
      <c r="D276" s="90"/>
      <c r="E276" s="93" t="s">
        <v>820</v>
      </c>
      <c r="F276" s="94"/>
    </row>
    <row r="277" spans="2:6">
      <c r="B277" s="86"/>
      <c r="C277" s="83"/>
      <c r="D277" s="90"/>
      <c r="E277" s="93" t="s">
        <v>821</v>
      </c>
      <c r="F277" s="94"/>
    </row>
    <row r="278" spans="2:6">
      <c r="B278" s="86"/>
      <c r="C278" s="83"/>
      <c r="D278" s="90"/>
      <c r="E278" s="93" t="s">
        <v>822</v>
      </c>
      <c r="F278" s="94"/>
    </row>
    <row r="279" spans="2:6">
      <c r="B279" s="86"/>
      <c r="C279" s="83"/>
      <c r="D279" s="90"/>
      <c r="E279" s="93" t="s">
        <v>823</v>
      </c>
      <c r="F279" s="94"/>
    </row>
    <row r="280" spans="2:6">
      <c r="B280" s="86"/>
      <c r="C280" s="83"/>
      <c r="D280" s="90"/>
      <c r="E280" s="93" t="s">
        <v>824</v>
      </c>
      <c r="F280" s="94"/>
    </row>
    <row r="281" spans="2:6">
      <c r="B281" s="86"/>
      <c r="C281" s="83"/>
      <c r="D281" s="90"/>
      <c r="E281" s="93" t="s">
        <v>825</v>
      </c>
      <c r="F281" s="94"/>
    </row>
    <row r="282" spans="2:6">
      <c r="B282" s="86"/>
      <c r="C282" s="83"/>
      <c r="D282" s="90"/>
      <c r="E282" s="93" t="s">
        <v>826</v>
      </c>
      <c r="F282" s="94"/>
    </row>
    <row r="283" spans="2:6">
      <c r="B283" s="86"/>
      <c r="C283" s="83"/>
      <c r="D283" s="90"/>
      <c r="E283" s="93" t="s">
        <v>827</v>
      </c>
      <c r="F283" s="94"/>
    </row>
    <row r="284" spans="2:6">
      <c r="B284" s="86"/>
      <c r="C284" s="83"/>
      <c r="D284" s="90"/>
      <c r="E284" s="93" t="s">
        <v>828</v>
      </c>
      <c r="F284" s="94"/>
    </row>
    <row r="285" spans="2:6">
      <c r="B285" s="86"/>
      <c r="C285" s="83"/>
      <c r="D285" s="90"/>
      <c r="E285" s="93" t="s">
        <v>829</v>
      </c>
      <c r="F285" s="94"/>
    </row>
    <row r="286" spans="2:6">
      <c r="B286" s="86"/>
      <c r="C286" s="83"/>
      <c r="D286" s="90"/>
      <c r="E286" s="93" t="s">
        <v>830</v>
      </c>
      <c r="F286" s="94"/>
    </row>
    <row r="287" spans="2:6">
      <c r="B287" s="86"/>
      <c r="C287" s="83"/>
      <c r="D287" s="90"/>
      <c r="E287" s="93" t="s">
        <v>831</v>
      </c>
      <c r="F287" s="94"/>
    </row>
    <row r="288" spans="2:6" ht="13.8" thickBot="1">
      <c r="B288" s="87"/>
      <c r="C288" s="88"/>
      <c r="D288" s="95"/>
      <c r="E288" s="96" t="s">
        <v>832</v>
      </c>
      <c r="F288" s="97"/>
    </row>
    <row r="289" spans="2:6">
      <c r="B289" s="83"/>
      <c r="C289" s="83"/>
      <c r="D289" s="90"/>
      <c r="E289" s="90"/>
      <c r="F289" s="90"/>
    </row>
    <row r="290" spans="2:6">
      <c r="B290" s="83"/>
      <c r="C290" s="83"/>
      <c r="D290" s="90"/>
      <c r="E290" s="90"/>
      <c r="F290" s="90"/>
    </row>
  </sheetData>
  <hyperlinks>
    <hyperlink ref="E9" location="'Feuille1'!A1" display="'Feuille1'!A1" xr:uid="{00000000-0004-0000-0500-000000000000}"/>
    <hyperlink ref="E10" location="'Feuille1'!D3:H3" display="'Feuille1'!D3:H3" xr:uid="{00000000-0004-0000-0500-000001000000}"/>
    <hyperlink ref="E11" location="'Feuille1'!E13" display="'Feuille1'!E13" xr:uid="{00000000-0004-0000-0500-000002000000}"/>
    <hyperlink ref="E12" location="'Feuille1'!G13" display="'Feuille1'!G13" xr:uid="{00000000-0004-0000-0500-000003000000}"/>
    <hyperlink ref="E13" location="'Feuille1'!I13" display="'Feuille1'!I13" xr:uid="{00000000-0004-0000-0500-000004000000}"/>
    <hyperlink ref="E14" location="'Feuille1'!K13" display="'Feuille1'!K13" xr:uid="{00000000-0004-0000-0500-000005000000}"/>
    <hyperlink ref="E15" location="'Feuille1'!M13" display="'Feuille1'!M13" xr:uid="{00000000-0004-0000-0500-000006000000}"/>
    <hyperlink ref="E16" location="'Feuille1'!O13" display="'Feuille1'!O13" xr:uid="{00000000-0004-0000-0500-000007000000}"/>
    <hyperlink ref="E17" location="'Feuille1'!Q13" display="'Feuille1'!Q13" xr:uid="{00000000-0004-0000-0500-000008000000}"/>
    <hyperlink ref="E18" location="'Feuille1'!S13" display="'Feuille1'!S13" xr:uid="{00000000-0004-0000-0500-000009000000}"/>
    <hyperlink ref="E19" location="'Feuille1'!U13" display="'Feuille1'!U13" xr:uid="{00000000-0004-0000-0500-00000A000000}"/>
    <hyperlink ref="E20" location="'Feuille1'!W13" display="'Feuille1'!W13" xr:uid="{00000000-0004-0000-0500-00000B000000}"/>
    <hyperlink ref="E21" location="'Feuille1'!Y13" display="'Feuille1'!Y13" xr:uid="{00000000-0004-0000-0500-00000C000000}"/>
    <hyperlink ref="E22" location="'Feuille1'!AA13" display="'Feuille1'!AA13" xr:uid="{00000000-0004-0000-0500-00000D000000}"/>
    <hyperlink ref="E23" location="'Feuille1'!AC13" display="'Feuille1'!AC13" xr:uid="{00000000-0004-0000-0500-00000E000000}"/>
    <hyperlink ref="E24" location="'Feuille1'!AE13" display="'Feuille1'!AE13" xr:uid="{00000000-0004-0000-0500-00000F000000}"/>
    <hyperlink ref="E25" location="'Feuille1'!AG13" display="'Feuille1'!AG13" xr:uid="{00000000-0004-0000-0500-000010000000}"/>
    <hyperlink ref="E26" location="'Feuille1'!AI13" display="'Feuille1'!AI13" xr:uid="{00000000-0004-0000-0500-000011000000}"/>
    <hyperlink ref="E27" location="'Feuille1'!AK13" display="'Feuille1'!AK13" xr:uid="{00000000-0004-0000-0500-000012000000}"/>
    <hyperlink ref="E28" location="'Feuille1'!I3:J3" display="'Feuille1'!I3:J3" xr:uid="{00000000-0004-0000-0500-000013000000}"/>
    <hyperlink ref="E29" location="'Feuille1'!K3:L3" display="'Feuille1'!K3:L3" xr:uid="{00000000-0004-0000-0500-000014000000}"/>
    <hyperlink ref="E30" location="'Feuille1'!M3:N3" display="'Feuille1'!M3:N3" xr:uid="{00000000-0004-0000-0500-000015000000}"/>
    <hyperlink ref="E31" location="'Feuille1'!O3:P3" display="'Feuille1'!O3:P3" xr:uid="{00000000-0004-0000-0500-000016000000}"/>
    <hyperlink ref="E32" location="'Feuille1'!Q3:R3" display="'Feuille1'!Q3:R3" xr:uid="{00000000-0004-0000-0500-000017000000}"/>
    <hyperlink ref="E33" location="'Feuille1'!S3:T3" display="'Feuille1'!S3:T3" xr:uid="{00000000-0004-0000-0500-000018000000}"/>
    <hyperlink ref="E34" location="'Feuille1'!U3:V3" display="'Feuille1'!U3:V3" xr:uid="{00000000-0004-0000-0500-000019000000}"/>
    <hyperlink ref="E35" location="'Feuille1'!W3:X3" display="'Feuille1'!W3:X3" xr:uid="{00000000-0004-0000-0500-00001A000000}"/>
    <hyperlink ref="E36" location="'Feuille1'!Y3:Z3" display="'Feuille1'!Y3:Z3" xr:uid="{00000000-0004-0000-0500-00001B000000}"/>
    <hyperlink ref="E37" location="'Feuille1'!AA3:AB3" display="'Feuille1'!AA3:AB3" xr:uid="{00000000-0004-0000-0500-00001C000000}"/>
    <hyperlink ref="E38" location="'Feuille1'!AC3:AD3" display="'Feuille1'!AC3:AD3" xr:uid="{00000000-0004-0000-0500-00001D000000}"/>
    <hyperlink ref="E39" location="'Feuille1'!AE3:AF3" display="'Feuille1'!AE3:AF3" xr:uid="{00000000-0004-0000-0500-00001E000000}"/>
    <hyperlink ref="E40" location="'Feuille1'!AG3:AH3" display="'Feuille1'!AG3:AH3" xr:uid="{00000000-0004-0000-0500-00001F000000}"/>
    <hyperlink ref="E41" location="'Feuille1'!AI3:AJ3" display="'Feuille1'!AI3:AJ3" xr:uid="{00000000-0004-0000-0500-000020000000}"/>
    <hyperlink ref="E42" location="'Feuille1'!AK3" display="'Feuille1'!AK3" xr:uid="{00000000-0004-0000-0500-000021000000}"/>
    <hyperlink ref="E43" location="'Feuille1'!A14" display="'Feuille1'!A14" xr:uid="{00000000-0004-0000-0500-000022000000}"/>
    <hyperlink ref="E44" location="'Feuille1'!D14:AK14" display="'Feuille1'!D14:AK14" xr:uid="{00000000-0004-0000-0500-000023000000}"/>
    <hyperlink ref="E45" location="'Feuille1'!F20" display="'Feuille1'!F20" xr:uid="{00000000-0004-0000-0500-000024000000}"/>
    <hyperlink ref="E46" location="'Feuille1'!H20" display="'Feuille1'!H20" xr:uid="{00000000-0004-0000-0500-000025000000}"/>
    <hyperlink ref="E47" location="'Feuille1'!J20" display="'Feuille1'!J20" xr:uid="{00000000-0004-0000-0500-000026000000}"/>
    <hyperlink ref="E48" location="'Feuille1'!L20" display="'Feuille1'!L20" xr:uid="{00000000-0004-0000-0500-000027000000}"/>
    <hyperlink ref="E49" location="'Feuille1'!N20" display="'Feuille1'!N20" xr:uid="{00000000-0004-0000-0500-000028000000}"/>
    <hyperlink ref="E50" location="'Feuille1'!P20" display="'Feuille1'!P20" xr:uid="{00000000-0004-0000-0500-000029000000}"/>
    <hyperlink ref="E51" location="'Feuille1'!R20" display="'Feuille1'!R20" xr:uid="{00000000-0004-0000-0500-00002A000000}"/>
    <hyperlink ref="E52" location="'Feuille1'!T20" display="'Feuille1'!T20" xr:uid="{00000000-0004-0000-0500-00002B000000}"/>
    <hyperlink ref="E53" location="'Feuille1'!V20" display="'Feuille1'!V20" xr:uid="{00000000-0004-0000-0500-00002C000000}"/>
    <hyperlink ref="E54" location="'Feuille1'!X20" display="'Feuille1'!X20" xr:uid="{00000000-0004-0000-0500-00002D000000}"/>
    <hyperlink ref="E55" location="'Feuille1'!Z20" display="'Feuille1'!Z20" xr:uid="{00000000-0004-0000-0500-00002E000000}"/>
    <hyperlink ref="E56" location="'Feuille1'!AB20" display="'Feuille1'!AB20" xr:uid="{00000000-0004-0000-0500-00002F000000}"/>
    <hyperlink ref="E57" location="'Feuille1'!AD20" display="'Feuille1'!AD20" xr:uid="{00000000-0004-0000-0500-000030000000}"/>
    <hyperlink ref="E58" location="'Feuille1'!AF20" display="'Feuille1'!AF20" xr:uid="{00000000-0004-0000-0500-000031000000}"/>
    <hyperlink ref="E59" location="'Feuille1'!AH20" display="'Feuille1'!AH20" xr:uid="{00000000-0004-0000-0500-000032000000}"/>
    <hyperlink ref="E60" location="'Feuille1'!AJ20" display="'Feuille1'!AJ20" xr:uid="{00000000-0004-0000-0500-000033000000}"/>
    <hyperlink ref="E61" location="'Feuille1'!F24" display="'Feuille1'!F24" xr:uid="{00000000-0004-0000-0500-000034000000}"/>
    <hyperlink ref="E62" location="'Feuille1'!H24" display="'Feuille1'!H24" xr:uid="{00000000-0004-0000-0500-000035000000}"/>
    <hyperlink ref="E63" location="'Feuille1'!J24" display="'Feuille1'!J24" xr:uid="{00000000-0004-0000-0500-000036000000}"/>
    <hyperlink ref="E64" location="'Feuille1'!L24" display="'Feuille1'!L24" xr:uid="{00000000-0004-0000-0500-000037000000}"/>
    <hyperlink ref="E65" location="'Feuille1'!N24" display="'Feuille1'!N24" xr:uid="{00000000-0004-0000-0500-000038000000}"/>
    <hyperlink ref="E66" location="'Feuille1'!P24" display="'Feuille1'!P24" xr:uid="{00000000-0004-0000-0500-000039000000}"/>
    <hyperlink ref="E67" location="'Feuille1'!R24" display="'Feuille1'!R24" xr:uid="{00000000-0004-0000-0500-00003A000000}"/>
    <hyperlink ref="E68" location="'Feuille1'!T24" display="'Feuille1'!T24" xr:uid="{00000000-0004-0000-0500-00003B000000}"/>
    <hyperlink ref="E69" location="'Feuille1'!V24" display="'Feuille1'!V24" xr:uid="{00000000-0004-0000-0500-00003C000000}"/>
    <hyperlink ref="E70" location="'Feuille1'!X24" display="'Feuille1'!X24" xr:uid="{00000000-0004-0000-0500-00003D000000}"/>
    <hyperlink ref="E71" location="'Feuille1'!Z24" display="'Feuille1'!Z24" xr:uid="{00000000-0004-0000-0500-00003E000000}"/>
    <hyperlink ref="E72" location="'Feuille1'!AB24" display="'Feuille1'!AB24" xr:uid="{00000000-0004-0000-0500-00003F000000}"/>
    <hyperlink ref="E73" location="'Feuille1'!AD24" display="'Feuille1'!AD24" xr:uid="{00000000-0004-0000-0500-000040000000}"/>
    <hyperlink ref="E74" location="'Feuille1'!AF24" display="'Feuille1'!AF24" xr:uid="{00000000-0004-0000-0500-000041000000}"/>
    <hyperlink ref="E75" location="'Feuille1'!AH24" display="'Feuille1'!AH24" xr:uid="{00000000-0004-0000-0500-000042000000}"/>
    <hyperlink ref="E76" location="'Feuille1'!AJ24" display="'Feuille1'!AJ24" xr:uid="{00000000-0004-0000-0500-000043000000}"/>
    <hyperlink ref="E77" location="'Feuille1'!F28" display="'Feuille1'!F28" xr:uid="{00000000-0004-0000-0500-000044000000}"/>
    <hyperlink ref="E78" location="'Feuille1'!H28" display="'Feuille1'!H28" xr:uid="{00000000-0004-0000-0500-000045000000}"/>
    <hyperlink ref="E79" location="'Feuille1'!J28" display="'Feuille1'!J28" xr:uid="{00000000-0004-0000-0500-000046000000}"/>
    <hyperlink ref="E80" location="'Feuille1'!L28" display="'Feuille1'!L28" xr:uid="{00000000-0004-0000-0500-000047000000}"/>
    <hyperlink ref="E81" location="'Feuille1'!N28" display="'Feuille1'!N28" xr:uid="{00000000-0004-0000-0500-000048000000}"/>
    <hyperlink ref="E82" location="'Feuille1'!P28" display="'Feuille1'!P28" xr:uid="{00000000-0004-0000-0500-000049000000}"/>
    <hyperlink ref="E83" location="'Feuille1'!R28" display="'Feuille1'!R28" xr:uid="{00000000-0004-0000-0500-00004A000000}"/>
    <hyperlink ref="E84" location="'Feuille1'!T28" display="'Feuille1'!T28" xr:uid="{00000000-0004-0000-0500-00004B000000}"/>
    <hyperlink ref="E85" location="'Feuille1'!V28" display="'Feuille1'!V28" xr:uid="{00000000-0004-0000-0500-00004C000000}"/>
    <hyperlink ref="E86" location="'Feuille1'!X28" display="'Feuille1'!X28" xr:uid="{00000000-0004-0000-0500-00004D000000}"/>
    <hyperlink ref="E87" location="'Feuille1'!Z28" display="'Feuille1'!Z28" xr:uid="{00000000-0004-0000-0500-00004E000000}"/>
    <hyperlink ref="E88" location="'Feuille1'!AB28" display="'Feuille1'!AB28" xr:uid="{00000000-0004-0000-0500-00004F000000}"/>
    <hyperlink ref="E89" location="'Feuille1'!AD28" display="'Feuille1'!AD28" xr:uid="{00000000-0004-0000-0500-000050000000}"/>
    <hyperlink ref="E90" location="'Feuille1'!AF28" display="'Feuille1'!AF28" xr:uid="{00000000-0004-0000-0500-000051000000}"/>
    <hyperlink ref="E91" location="'Feuille1'!AH28" display="'Feuille1'!AH28" xr:uid="{00000000-0004-0000-0500-000052000000}"/>
    <hyperlink ref="E92" location="'Feuille1'!AJ28" display="'Feuille1'!AJ28" xr:uid="{00000000-0004-0000-0500-000053000000}"/>
    <hyperlink ref="E93" location="'Feuille1'!F32" display="'Feuille1'!F32" xr:uid="{00000000-0004-0000-0500-000054000000}"/>
    <hyperlink ref="E94" location="'Feuille1'!H32" display="'Feuille1'!H32" xr:uid="{00000000-0004-0000-0500-000055000000}"/>
    <hyperlink ref="E95" location="'Feuille1'!J32" display="'Feuille1'!J32" xr:uid="{00000000-0004-0000-0500-000056000000}"/>
    <hyperlink ref="E96" location="'Feuille1'!L32" display="'Feuille1'!L32" xr:uid="{00000000-0004-0000-0500-000057000000}"/>
    <hyperlink ref="E97" location="'Feuille1'!N32" display="'Feuille1'!N32" xr:uid="{00000000-0004-0000-0500-000058000000}"/>
    <hyperlink ref="E98" location="'Feuille1'!P32" display="'Feuille1'!P32" xr:uid="{00000000-0004-0000-0500-000059000000}"/>
    <hyperlink ref="E99" location="'Feuille1'!R32" display="'Feuille1'!R32" xr:uid="{00000000-0004-0000-0500-00005A000000}"/>
    <hyperlink ref="E100" location="'Feuille1'!T32" display="'Feuille1'!T32" xr:uid="{00000000-0004-0000-0500-00005B000000}"/>
    <hyperlink ref="E101" location="'Feuille1'!V32" display="'Feuille1'!V32" xr:uid="{00000000-0004-0000-0500-00005C000000}"/>
    <hyperlink ref="E102" location="'Feuille1'!X32" display="'Feuille1'!X32" xr:uid="{00000000-0004-0000-0500-00005D000000}"/>
    <hyperlink ref="E103" location="'Feuille1'!Z32" display="'Feuille1'!Z32" xr:uid="{00000000-0004-0000-0500-00005E000000}"/>
    <hyperlink ref="E104" location="'Feuille1'!AB32" display="'Feuille1'!AB32" xr:uid="{00000000-0004-0000-0500-00005F000000}"/>
    <hyperlink ref="E105" location="'Feuille1'!AD32" display="'Feuille1'!AD32" xr:uid="{00000000-0004-0000-0500-000060000000}"/>
    <hyperlink ref="E106" location="'Feuille1'!AF32" display="'Feuille1'!AF32" xr:uid="{00000000-0004-0000-0500-000061000000}"/>
    <hyperlink ref="E107" location="'Feuille1'!AH32" display="'Feuille1'!AH32" xr:uid="{00000000-0004-0000-0500-000062000000}"/>
    <hyperlink ref="E108" location="'Feuille1'!AJ32" display="'Feuille1'!AJ32" xr:uid="{00000000-0004-0000-0500-000063000000}"/>
    <hyperlink ref="E109" location="'Feuille1'!F36" display="'Feuille1'!F36" xr:uid="{00000000-0004-0000-0500-000064000000}"/>
    <hyperlink ref="E110" location="'Feuille1'!H36" display="'Feuille1'!H36" xr:uid="{00000000-0004-0000-0500-000065000000}"/>
    <hyperlink ref="E111" location="'Feuille1'!J36" display="'Feuille1'!J36" xr:uid="{00000000-0004-0000-0500-000066000000}"/>
    <hyperlink ref="E112" location="'Feuille1'!L36" display="'Feuille1'!L36" xr:uid="{00000000-0004-0000-0500-000067000000}"/>
    <hyperlink ref="E113" location="'Feuille1'!N36" display="'Feuille1'!N36" xr:uid="{00000000-0004-0000-0500-000068000000}"/>
    <hyperlink ref="E114" location="'Feuille1'!P36" display="'Feuille1'!P36" xr:uid="{00000000-0004-0000-0500-000069000000}"/>
    <hyperlink ref="E115" location="'Feuille1'!R36" display="'Feuille1'!R36" xr:uid="{00000000-0004-0000-0500-00006A000000}"/>
    <hyperlink ref="E116" location="'Feuille1'!T36" display="'Feuille1'!T36" xr:uid="{00000000-0004-0000-0500-00006B000000}"/>
    <hyperlink ref="E117" location="'Feuille1'!V36" display="'Feuille1'!V36" xr:uid="{00000000-0004-0000-0500-00006C000000}"/>
    <hyperlink ref="E118" location="'Feuille1'!X36" display="'Feuille1'!X36" xr:uid="{00000000-0004-0000-0500-00006D000000}"/>
    <hyperlink ref="E119" location="'Feuille1'!Z36" display="'Feuille1'!Z36" xr:uid="{00000000-0004-0000-0500-00006E000000}"/>
    <hyperlink ref="E120" location="'Feuille1'!AB36" display="'Feuille1'!AB36" xr:uid="{00000000-0004-0000-0500-00006F000000}"/>
    <hyperlink ref="E121" location="'Feuille1'!AD36" display="'Feuille1'!AD36" xr:uid="{00000000-0004-0000-0500-000070000000}"/>
    <hyperlink ref="E122" location="'Feuille1'!AF36" display="'Feuille1'!AF36" xr:uid="{00000000-0004-0000-0500-000071000000}"/>
    <hyperlink ref="E123" location="'Feuille1'!AH36" display="'Feuille1'!AH36" xr:uid="{00000000-0004-0000-0500-000072000000}"/>
    <hyperlink ref="E124" location="'Feuille1'!AJ36" display="'Feuille1'!AJ36" xr:uid="{00000000-0004-0000-0500-000073000000}"/>
    <hyperlink ref="E125" location="'Feuille1'!F40" display="'Feuille1'!F40" xr:uid="{00000000-0004-0000-0500-000074000000}"/>
    <hyperlink ref="E126" location="'Feuille1'!H40" display="'Feuille1'!H40" xr:uid="{00000000-0004-0000-0500-000075000000}"/>
    <hyperlink ref="E127" location="'Feuille1'!J40" display="'Feuille1'!J40" xr:uid="{00000000-0004-0000-0500-000076000000}"/>
    <hyperlink ref="E128" location="'Feuille1'!L40" display="'Feuille1'!L40" xr:uid="{00000000-0004-0000-0500-000077000000}"/>
    <hyperlink ref="E129" location="'Feuille1'!N40" display="'Feuille1'!N40" xr:uid="{00000000-0004-0000-0500-000078000000}"/>
    <hyperlink ref="E130" location="'Feuille1'!P40" display="'Feuille1'!P40" xr:uid="{00000000-0004-0000-0500-000079000000}"/>
    <hyperlink ref="E131" location="'Feuille1'!R40" display="'Feuille1'!R40" xr:uid="{00000000-0004-0000-0500-00007A000000}"/>
    <hyperlink ref="E132" location="'Feuille1'!T40" display="'Feuille1'!T40" xr:uid="{00000000-0004-0000-0500-00007B000000}"/>
    <hyperlink ref="E133" location="'Feuille1'!V40" display="'Feuille1'!V40" xr:uid="{00000000-0004-0000-0500-00007C000000}"/>
    <hyperlink ref="E134" location="'Feuille1'!X40" display="'Feuille1'!X40" xr:uid="{00000000-0004-0000-0500-00007D000000}"/>
    <hyperlink ref="E135" location="'Feuille1'!Z40" display="'Feuille1'!Z40" xr:uid="{00000000-0004-0000-0500-00007E000000}"/>
    <hyperlink ref="E136" location="'Feuille1'!AB40" display="'Feuille1'!AB40" xr:uid="{00000000-0004-0000-0500-00007F000000}"/>
    <hyperlink ref="E137" location="'Feuille1'!AD40" display="'Feuille1'!AD40" xr:uid="{00000000-0004-0000-0500-000080000000}"/>
    <hyperlink ref="E138" location="'Feuille1'!AF40" display="'Feuille1'!AF40" xr:uid="{00000000-0004-0000-0500-000081000000}"/>
    <hyperlink ref="E139" location="'Feuille1'!AH40" display="'Feuille1'!AH40" xr:uid="{00000000-0004-0000-0500-000082000000}"/>
    <hyperlink ref="E140" location="'Feuille1'!AJ40" display="'Feuille1'!AJ40" xr:uid="{00000000-0004-0000-0500-000083000000}"/>
    <hyperlink ref="E141" location="'Feuille1'!F44" display="'Feuille1'!F44" xr:uid="{00000000-0004-0000-0500-000084000000}"/>
    <hyperlink ref="E142" location="'Feuille1'!H44" display="'Feuille1'!H44" xr:uid="{00000000-0004-0000-0500-000085000000}"/>
    <hyperlink ref="E143" location="'Feuille1'!J44" display="'Feuille1'!J44" xr:uid="{00000000-0004-0000-0500-000086000000}"/>
    <hyperlink ref="E144" location="'Feuille1'!L44" display="'Feuille1'!L44" xr:uid="{00000000-0004-0000-0500-000087000000}"/>
    <hyperlink ref="E145" location="'Feuille1'!N44" display="'Feuille1'!N44" xr:uid="{00000000-0004-0000-0500-000088000000}"/>
    <hyperlink ref="E146" location="'Feuille1'!P44" display="'Feuille1'!P44" xr:uid="{00000000-0004-0000-0500-000089000000}"/>
    <hyperlink ref="E147" location="'Feuille1'!R44" display="'Feuille1'!R44" xr:uid="{00000000-0004-0000-0500-00008A000000}"/>
    <hyperlink ref="E148" location="'Feuille1'!T44" display="'Feuille1'!T44" xr:uid="{00000000-0004-0000-0500-00008B000000}"/>
    <hyperlink ref="E149" location="'Feuille1'!V44" display="'Feuille1'!V44" xr:uid="{00000000-0004-0000-0500-00008C000000}"/>
    <hyperlink ref="E150" location="'Feuille1'!X44" display="'Feuille1'!X44" xr:uid="{00000000-0004-0000-0500-00008D000000}"/>
    <hyperlink ref="E151" location="'Feuille1'!Z44" display="'Feuille1'!Z44" xr:uid="{00000000-0004-0000-0500-00008E000000}"/>
    <hyperlink ref="E152" location="'Feuille1'!AB44" display="'Feuille1'!AB44" xr:uid="{00000000-0004-0000-0500-00008F000000}"/>
    <hyperlink ref="E153" location="'Feuille1'!AD44" display="'Feuille1'!AD44" xr:uid="{00000000-0004-0000-0500-000090000000}"/>
    <hyperlink ref="E154" location="'Feuille1'!AF44" display="'Feuille1'!AF44" xr:uid="{00000000-0004-0000-0500-000091000000}"/>
    <hyperlink ref="E155" location="'Feuille1'!AH44" display="'Feuille1'!AH44" xr:uid="{00000000-0004-0000-0500-000092000000}"/>
    <hyperlink ref="E156" location="'Feuille1'!AJ44" display="'Feuille1'!AJ44" xr:uid="{00000000-0004-0000-0500-000093000000}"/>
    <hyperlink ref="E157" location="'Feuille1'!F48" display="'Feuille1'!F48" xr:uid="{00000000-0004-0000-0500-000094000000}"/>
    <hyperlink ref="E158" location="'Feuille1'!H48" display="'Feuille1'!H48" xr:uid="{00000000-0004-0000-0500-000095000000}"/>
    <hyperlink ref="E159" location="'Feuille1'!J48" display="'Feuille1'!J48" xr:uid="{00000000-0004-0000-0500-000096000000}"/>
    <hyperlink ref="E160" location="'Feuille1'!L48" display="'Feuille1'!L48" xr:uid="{00000000-0004-0000-0500-000097000000}"/>
    <hyperlink ref="E161" location="'Feuille1'!N48" display="'Feuille1'!N48" xr:uid="{00000000-0004-0000-0500-000098000000}"/>
    <hyperlink ref="E162" location="'Feuille1'!P48" display="'Feuille1'!P48" xr:uid="{00000000-0004-0000-0500-000099000000}"/>
    <hyperlink ref="E163" location="'Feuille1'!R48" display="'Feuille1'!R48" xr:uid="{00000000-0004-0000-0500-00009A000000}"/>
    <hyperlink ref="E164" location="'Feuille1'!T48" display="'Feuille1'!T48" xr:uid="{00000000-0004-0000-0500-00009B000000}"/>
    <hyperlink ref="E165" location="'Feuille1'!V48" display="'Feuille1'!V48" xr:uid="{00000000-0004-0000-0500-00009C000000}"/>
    <hyperlink ref="E166" location="'Feuille1'!X48" display="'Feuille1'!X48" xr:uid="{00000000-0004-0000-0500-00009D000000}"/>
    <hyperlink ref="E167" location="'Feuille1'!Z48" display="'Feuille1'!Z48" xr:uid="{00000000-0004-0000-0500-00009E000000}"/>
    <hyperlink ref="E168" location="'Feuille1'!AB48" display="'Feuille1'!AB48" xr:uid="{00000000-0004-0000-0500-00009F000000}"/>
    <hyperlink ref="E169" location="'Feuille1'!AD48" display="'Feuille1'!AD48" xr:uid="{00000000-0004-0000-0500-0000A0000000}"/>
    <hyperlink ref="E170" location="'Feuille1'!AF48" display="'Feuille1'!AF48" xr:uid="{00000000-0004-0000-0500-0000A1000000}"/>
    <hyperlink ref="E171" location="'Feuille1'!AH48" display="'Feuille1'!AH48" xr:uid="{00000000-0004-0000-0500-0000A2000000}"/>
    <hyperlink ref="E172" location="'Feuille1'!AJ48" display="'Feuille1'!AJ48" xr:uid="{00000000-0004-0000-0500-0000A3000000}"/>
    <hyperlink ref="E173" location="'Feuille1'!F52" display="'Feuille1'!F52" xr:uid="{00000000-0004-0000-0500-0000A4000000}"/>
    <hyperlink ref="E174" location="'Feuille1'!H52" display="'Feuille1'!H52" xr:uid="{00000000-0004-0000-0500-0000A5000000}"/>
    <hyperlink ref="E175" location="'Feuille1'!J52" display="'Feuille1'!J52" xr:uid="{00000000-0004-0000-0500-0000A6000000}"/>
    <hyperlink ref="E176" location="'Feuille1'!L52" display="'Feuille1'!L52" xr:uid="{00000000-0004-0000-0500-0000A7000000}"/>
    <hyperlink ref="E177" location="'Feuille1'!N52" display="'Feuille1'!N52" xr:uid="{00000000-0004-0000-0500-0000A8000000}"/>
    <hyperlink ref="E178" location="'Feuille1'!P52" display="'Feuille1'!P52" xr:uid="{00000000-0004-0000-0500-0000A9000000}"/>
    <hyperlink ref="E179" location="'Feuille1'!R52" display="'Feuille1'!R52" xr:uid="{00000000-0004-0000-0500-0000AA000000}"/>
    <hyperlink ref="E180" location="'Feuille1'!T52" display="'Feuille1'!T52" xr:uid="{00000000-0004-0000-0500-0000AB000000}"/>
    <hyperlink ref="E181" location="'Feuille1'!V52" display="'Feuille1'!V52" xr:uid="{00000000-0004-0000-0500-0000AC000000}"/>
    <hyperlink ref="E182" location="'Feuille1'!X52" display="'Feuille1'!X52" xr:uid="{00000000-0004-0000-0500-0000AD000000}"/>
    <hyperlink ref="E183" location="'Feuille1'!Z52" display="'Feuille1'!Z52" xr:uid="{00000000-0004-0000-0500-0000AE000000}"/>
    <hyperlink ref="E184" location="'Feuille1'!AB52" display="'Feuille1'!AB52" xr:uid="{00000000-0004-0000-0500-0000AF000000}"/>
    <hyperlink ref="E185" location="'Feuille1'!AD52" display="'Feuille1'!AD52" xr:uid="{00000000-0004-0000-0500-0000B0000000}"/>
    <hyperlink ref="E186" location="'Feuille1'!AF52" display="'Feuille1'!AF52" xr:uid="{00000000-0004-0000-0500-0000B1000000}"/>
    <hyperlink ref="E187" location="'Feuille1'!AH52" display="'Feuille1'!AH52" xr:uid="{00000000-0004-0000-0500-0000B2000000}"/>
    <hyperlink ref="E188" location="'Feuille1'!AJ52" display="'Feuille1'!AJ52" xr:uid="{00000000-0004-0000-0500-0000B3000000}"/>
    <hyperlink ref="E189" location="'Feuille1'!F56" display="'Feuille1'!F56" xr:uid="{00000000-0004-0000-0500-0000B4000000}"/>
    <hyperlink ref="E190" location="'Feuille1'!H56" display="'Feuille1'!H56" xr:uid="{00000000-0004-0000-0500-0000B5000000}"/>
    <hyperlink ref="E191" location="'Feuille1'!J56" display="'Feuille1'!J56" xr:uid="{00000000-0004-0000-0500-0000B6000000}"/>
    <hyperlink ref="E192" location="'Feuille1'!L56" display="'Feuille1'!L56" xr:uid="{00000000-0004-0000-0500-0000B7000000}"/>
    <hyperlink ref="E193" location="'Feuille1'!N56" display="'Feuille1'!N56" xr:uid="{00000000-0004-0000-0500-0000B8000000}"/>
    <hyperlink ref="E194" location="'Feuille1'!P56" display="'Feuille1'!P56" xr:uid="{00000000-0004-0000-0500-0000B9000000}"/>
    <hyperlink ref="E195" location="'Feuille1'!R56" display="'Feuille1'!R56" xr:uid="{00000000-0004-0000-0500-0000BA000000}"/>
    <hyperlink ref="E196" location="'Feuille1'!T56" display="'Feuille1'!T56" xr:uid="{00000000-0004-0000-0500-0000BB000000}"/>
    <hyperlink ref="E197" location="'Feuille1'!V56" display="'Feuille1'!V56" xr:uid="{00000000-0004-0000-0500-0000BC000000}"/>
    <hyperlink ref="E198" location="'Feuille1'!X56" display="'Feuille1'!X56" xr:uid="{00000000-0004-0000-0500-0000BD000000}"/>
    <hyperlink ref="E199" location="'Feuille1'!Z56" display="'Feuille1'!Z56" xr:uid="{00000000-0004-0000-0500-0000BE000000}"/>
    <hyperlink ref="E200" location="'Feuille1'!AB56" display="'Feuille1'!AB56" xr:uid="{00000000-0004-0000-0500-0000BF000000}"/>
    <hyperlink ref="E201" location="'Feuille1'!AD56" display="'Feuille1'!AD56" xr:uid="{00000000-0004-0000-0500-0000C0000000}"/>
    <hyperlink ref="E202" location="'Feuille1'!AF56" display="'Feuille1'!AF56" xr:uid="{00000000-0004-0000-0500-0000C1000000}"/>
    <hyperlink ref="E203" location="'Feuille1'!AH56" display="'Feuille1'!AH56" xr:uid="{00000000-0004-0000-0500-0000C2000000}"/>
    <hyperlink ref="E204" location="'Feuille1'!AJ56" display="'Feuille1'!AJ56" xr:uid="{00000000-0004-0000-0500-0000C3000000}"/>
    <hyperlink ref="E205" location="'Feuille1'!F60" display="'Feuille1'!F60" xr:uid="{00000000-0004-0000-0500-0000C4000000}"/>
    <hyperlink ref="E206" location="'Feuille1'!H60" display="'Feuille1'!H60" xr:uid="{00000000-0004-0000-0500-0000C5000000}"/>
    <hyperlink ref="E207" location="'Feuille1'!J60" display="'Feuille1'!J60" xr:uid="{00000000-0004-0000-0500-0000C6000000}"/>
    <hyperlink ref="E208" location="'Feuille1'!L60" display="'Feuille1'!L60" xr:uid="{00000000-0004-0000-0500-0000C7000000}"/>
    <hyperlink ref="E209" location="'Feuille1'!N60" display="'Feuille1'!N60" xr:uid="{00000000-0004-0000-0500-0000C8000000}"/>
    <hyperlink ref="E210" location="'Feuille1'!P60" display="'Feuille1'!P60" xr:uid="{00000000-0004-0000-0500-0000C9000000}"/>
    <hyperlink ref="E211" location="'Feuille1'!R60" display="'Feuille1'!R60" xr:uid="{00000000-0004-0000-0500-0000CA000000}"/>
    <hyperlink ref="E212" location="'Feuille1'!T60" display="'Feuille1'!T60" xr:uid="{00000000-0004-0000-0500-0000CB000000}"/>
    <hyperlink ref="E213" location="'Feuille1'!V60" display="'Feuille1'!V60" xr:uid="{00000000-0004-0000-0500-0000CC000000}"/>
    <hyperlink ref="E214" location="'Feuille1'!X60" display="'Feuille1'!X60" xr:uid="{00000000-0004-0000-0500-0000CD000000}"/>
    <hyperlink ref="E215" location="'Feuille1'!Z60" display="'Feuille1'!Z60" xr:uid="{00000000-0004-0000-0500-0000CE000000}"/>
    <hyperlink ref="E216" location="'Feuille1'!AB60" display="'Feuille1'!AB60" xr:uid="{00000000-0004-0000-0500-0000CF000000}"/>
    <hyperlink ref="E217" location="'Feuille1'!AD60" display="'Feuille1'!AD60" xr:uid="{00000000-0004-0000-0500-0000D0000000}"/>
    <hyperlink ref="E218" location="'Feuille1'!AF60" display="'Feuille1'!AF60" xr:uid="{00000000-0004-0000-0500-0000D1000000}"/>
    <hyperlink ref="E219" location="'Feuille1'!AH60" display="'Feuille1'!AH60" xr:uid="{00000000-0004-0000-0500-0000D2000000}"/>
    <hyperlink ref="E220" location="'Feuille1'!AJ60:AK60" display="'Feuille1'!AJ60:AK60" xr:uid="{00000000-0004-0000-0500-0000D3000000}"/>
    <hyperlink ref="E221" location="'Feuille1'!F82:F84" display="'Feuille1'!F82:F84" xr:uid="{00000000-0004-0000-0500-0000D4000000}"/>
    <hyperlink ref="E222" location="'Feuille1'!H82:H84" display="'Feuille1'!H82:H84" xr:uid="{00000000-0004-0000-0500-0000D5000000}"/>
    <hyperlink ref="E223" location="'Feuille1'!J82:J84" display="'Feuille1'!J82:J84" xr:uid="{00000000-0004-0000-0500-0000D6000000}"/>
    <hyperlink ref="E224" location="'Feuille1'!L82:L84" display="'Feuille1'!L82:L84" xr:uid="{00000000-0004-0000-0500-0000D7000000}"/>
    <hyperlink ref="E225" location="'Feuille1'!N82:N84" display="'Feuille1'!N82:N84" xr:uid="{00000000-0004-0000-0500-0000D8000000}"/>
    <hyperlink ref="E226" location="'Feuille1'!P82:P84" display="'Feuille1'!P82:P84" xr:uid="{00000000-0004-0000-0500-0000D9000000}"/>
    <hyperlink ref="E227" location="'Feuille1'!R82:R84" display="'Feuille1'!R82:R84" xr:uid="{00000000-0004-0000-0500-0000DA000000}"/>
    <hyperlink ref="E228" location="'Feuille1'!T82:T84" display="'Feuille1'!T82:T84" xr:uid="{00000000-0004-0000-0500-0000DB000000}"/>
    <hyperlink ref="E229" location="'Feuille1'!V82:V84" display="'Feuille1'!V82:V84" xr:uid="{00000000-0004-0000-0500-0000DC000000}"/>
    <hyperlink ref="E230" location="'Feuille1'!X82:X84" display="'Feuille1'!X82:X84" xr:uid="{00000000-0004-0000-0500-0000DD000000}"/>
    <hyperlink ref="E231" location="'Feuille1'!Z82:Z84" display="'Feuille1'!Z82:Z84" xr:uid="{00000000-0004-0000-0500-0000DE000000}"/>
    <hyperlink ref="E232" location="'Feuille1'!AB82:AB84" display="'Feuille1'!AB82:AB84" xr:uid="{00000000-0004-0000-0500-0000DF000000}"/>
    <hyperlink ref="E233" location="'Feuille1'!AD82:AD84" display="'Feuille1'!AD82:AD84" xr:uid="{00000000-0004-0000-0500-0000E0000000}"/>
    <hyperlink ref="E234" location="'Feuille1'!AF82:AF84" display="'Feuille1'!AF82:AF84" xr:uid="{00000000-0004-0000-0500-0000E1000000}"/>
    <hyperlink ref="E235" location="'Feuille1'!AH82:AH84" display="'Feuille1'!AH82:AH84" xr:uid="{00000000-0004-0000-0500-0000E2000000}"/>
    <hyperlink ref="E236" location="'Feuille1'!AJ82:AJ84" display="'Feuille1'!AJ82:AJ84" xr:uid="{00000000-0004-0000-0500-0000E3000000}"/>
    <hyperlink ref="E237" location="'Feuille1'!D88:D92" display="'Feuille1'!D88:D92" xr:uid="{00000000-0004-0000-0500-0000E4000000}"/>
    <hyperlink ref="E238" location="'Feuille1'!H88:H91" display="'Feuille1'!H88:H91" xr:uid="{00000000-0004-0000-0500-0000E5000000}"/>
    <hyperlink ref="E239" location="'Feuille1'!B91" display="'Feuille1'!B91" xr:uid="{00000000-0004-0000-0500-0000E6000000}"/>
    <hyperlink ref="E240" location="'Feuille1'!E91" display="'Feuille1'!E91" xr:uid="{00000000-0004-0000-0500-0000E7000000}"/>
    <hyperlink ref="E241" location="'Feuille1'!G91:G92" display="'Feuille1'!G91:G92" xr:uid="{00000000-0004-0000-0500-0000E8000000}"/>
    <hyperlink ref="E242" location="'Feuille1'!J91:J92" display="'Feuille1'!J91:J92" xr:uid="{00000000-0004-0000-0500-0000E9000000}"/>
    <hyperlink ref="E243" location="'Feuille1'!D95:D97" display="'Feuille1'!D95:D97" xr:uid="{00000000-0004-0000-0500-0000EA000000}"/>
    <hyperlink ref="E244" location="'Feuille1'!H95:H97" display="'Feuille1'!H95:H97" xr:uid="{00000000-0004-0000-0500-0000EB000000}"/>
    <hyperlink ref="E245" location="'Feuille1'!E99:E100" display="'Feuille1'!E99:E100" xr:uid="{00000000-0004-0000-0500-0000EC000000}"/>
    <hyperlink ref="E246" location="'Feuille1'!I99:I100" display="'Feuille1'!I99:I100" xr:uid="{00000000-0004-0000-0500-0000ED000000}"/>
    <hyperlink ref="E247" location="'Feuille1'!E101:E102" display="'Feuille1'!E101:E102" xr:uid="{00000000-0004-0000-0500-0000EE000000}"/>
    <hyperlink ref="E248" location="'Feuille1'!I101:I102" display="'Feuille1'!I101:I102" xr:uid="{00000000-0004-0000-0500-0000EF000000}"/>
    <hyperlink ref="E249" location="'Feuille1'!E103:E106" display="'Feuille1'!E103:E106" xr:uid="{00000000-0004-0000-0500-0000F0000000}"/>
    <hyperlink ref="E250" location="'Feuille1'!I103:I106" display="'Feuille1'!I103:I106" xr:uid="{00000000-0004-0000-0500-0000F1000000}"/>
    <hyperlink ref="E251" location="'Feuille1'!M103:M106" display="'Feuille1'!M103:M106" xr:uid="{00000000-0004-0000-0500-0000F2000000}"/>
    <hyperlink ref="E252" location="'Feuille1'!D119:D120" display="'Feuille1'!D119:D120" xr:uid="{00000000-0004-0000-0500-0000F3000000}"/>
    <hyperlink ref="E253" location="'Feuille1'!F119:I120" display="'Feuille1'!F119:I120" xr:uid="{00000000-0004-0000-0500-0000F4000000}"/>
    <hyperlink ref="E254" location="'Feuille1'!L119:L120" display="'Feuille1'!L119:L120" xr:uid="{00000000-0004-0000-0500-0000F5000000}"/>
    <hyperlink ref="E255" location="'Feuille1'!N119:O120" display="'Feuille1'!N119:O120" xr:uid="{00000000-0004-0000-0500-0000F6000000}"/>
    <hyperlink ref="E256" location="'Feuille1'!E109:E113" display="'Feuille1'!E109:E113" xr:uid="{00000000-0004-0000-0500-0000F7000000}"/>
    <hyperlink ref="E257" location="'Feuille1'!I109:I113" display="'Feuille1'!I109:I113" xr:uid="{00000000-0004-0000-0500-0000F8000000}"/>
    <hyperlink ref="E258" location="'Feuille1'!M109:M113" display="'Feuille1'!M109:M113" xr:uid="{00000000-0004-0000-0500-0000F9000000}"/>
    <hyperlink ref="E259" location="'Feuille1'!Q109:Q113" display="'Feuille1'!Q109:Q113" xr:uid="{00000000-0004-0000-0500-0000FA000000}"/>
    <hyperlink ref="E260" location="'Feuille1'!E116:E118" display="'Feuille1'!E116:E118" xr:uid="{00000000-0004-0000-0500-0000FB000000}"/>
    <hyperlink ref="E261" location="'Feuille1'!I116:I118" display="'Feuille1'!I116:I118" xr:uid="{00000000-0004-0000-0500-0000FC000000}"/>
    <hyperlink ref="E262" location="'Feuille1'!M116:M118" display="'Feuille1'!M116:M118" xr:uid="{00000000-0004-0000-0500-0000FD000000}"/>
    <hyperlink ref="E263" location="'Feuille1'!Q116:Q118" display="'Feuille1'!Q116:Q118" xr:uid="{00000000-0004-0000-0500-0000FE000000}"/>
    <hyperlink ref="E264" location="'Feuille1'!C103" display="'Feuille1'!C103" xr:uid="{00000000-0004-0000-0500-0000FF000000}"/>
    <hyperlink ref="E265" location="'Feuille1'!G103" display="'Feuille1'!G103" xr:uid="{00000000-0004-0000-0500-000000010000}"/>
    <hyperlink ref="E266" location="'Feuille1'!K103" display="'Feuille1'!K103" xr:uid="{00000000-0004-0000-0500-000001010000}"/>
    <hyperlink ref="E267" location="'Feuille1'!C105:C106" display="'Feuille1'!C105:C106" xr:uid="{00000000-0004-0000-0500-000002010000}"/>
    <hyperlink ref="E268" location="'Feuille1'!G105:G106" display="'Feuille1'!G105:G106" xr:uid="{00000000-0004-0000-0500-000003010000}"/>
    <hyperlink ref="E269" location="'Feuille1'!K105:K106" display="'Feuille1'!K105:K106" xr:uid="{00000000-0004-0000-0500-000004010000}"/>
    <hyperlink ref="E270" location="'Feuille1'!O105:O106" display="'Feuille1'!O105:O106" xr:uid="{00000000-0004-0000-0500-000005010000}"/>
    <hyperlink ref="E271" location="'Feuille1'!Q105:Q106" display="'Feuille1'!Q105:Q106" xr:uid="{00000000-0004-0000-0500-000006010000}"/>
    <hyperlink ref="E272" location="'Feuille1'!E108" display="'Feuille1'!E108" xr:uid="{00000000-0004-0000-0500-000007010000}"/>
    <hyperlink ref="E273" location="'Feuille1'!I108" display="'Feuille1'!I108" xr:uid="{00000000-0004-0000-0500-000008010000}"/>
    <hyperlink ref="E274" location="'Feuille1'!M108" display="'Feuille1'!M108" xr:uid="{00000000-0004-0000-0500-000009010000}"/>
    <hyperlink ref="E275" location="'Feuille1'!Q108" display="'Feuille1'!Q108" xr:uid="{00000000-0004-0000-0500-00000A010000}"/>
    <hyperlink ref="E276" location="'Feuille1'!E115" display="'Feuille1'!E115" xr:uid="{00000000-0004-0000-0500-00000B010000}"/>
    <hyperlink ref="E277" location="'Feuille1'!I115" display="'Feuille1'!I115" xr:uid="{00000000-0004-0000-0500-00000C010000}"/>
    <hyperlink ref="E278" location="'Feuille1'!M115" display="'Feuille1'!M115" xr:uid="{00000000-0004-0000-0500-00000D010000}"/>
    <hyperlink ref="E279" location="'Feuille1'!Q115" display="'Feuille1'!Q115" xr:uid="{00000000-0004-0000-0500-00000E010000}"/>
    <hyperlink ref="E280" location="'Feuille1'!C115" display="'Feuille1'!C115" xr:uid="{00000000-0004-0000-0500-00000F010000}"/>
    <hyperlink ref="E281" location="'Feuille1'!G115" display="'Feuille1'!G115" xr:uid="{00000000-0004-0000-0500-000010010000}"/>
    <hyperlink ref="E282" location="'Feuille1'!K115" display="'Feuille1'!K115" xr:uid="{00000000-0004-0000-0500-000011010000}"/>
    <hyperlink ref="E283" location="'Feuille1'!O115" display="'Feuille1'!O115" xr:uid="{00000000-0004-0000-0500-000012010000}"/>
    <hyperlink ref="E284" location="'Feuille1'!C117" display="'Feuille1'!C117" xr:uid="{00000000-0004-0000-0500-000013010000}"/>
    <hyperlink ref="E285" location="'Feuille1'!G117" display="'Feuille1'!G117" xr:uid="{00000000-0004-0000-0500-000014010000}"/>
    <hyperlink ref="E286" location="'Feuille1'!K117" display="'Feuille1'!K117" xr:uid="{00000000-0004-0000-0500-000015010000}"/>
    <hyperlink ref="E287" location="'Feuille1'!O117" display="'Feuille1'!O117" xr:uid="{00000000-0004-0000-0500-000016010000}"/>
    <hyperlink ref="E288" location="'Feuille1'!B122" display="'Feuille1'!B122" xr:uid="{00000000-0004-0000-0500-00001701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tableau financier</vt:lpstr>
      <vt:lpstr>données</vt:lpstr>
      <vt:lpstr>constantes gp</vt:lpstr>
      <vt:lpstr>Feuil2</vt:lpstr>
      <vt:lpstr>Feuil1</vt:lpstr>
      <vt:lpstr>upgrade</vt:lpstr>
      <vt:lpstr>level voiture</vt:lpstr>
      <vt:lpstr>Rapport sur la compatibilité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Joël Becane</dc:creator>
  <cp:lastModifiedBy>Joël Becane</cp:lastModifiedBy>
  <dcterms:created xsi:type="dcterms:W3CDTF">2017-11-08T09:56:52Z</dcterms:created>
  <dcterms:modified xsi:type="dcterms:W3CDTF">2023-11-04T16:09:18Z</dcterms:modified>
</cp:coreProperties>
</file>